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filterPrivacy="1"/>
  <xr:revisionPtr revIDLastSave="0" documentId="8_{881A3437-E2F7-4C88-9A4D-26370578DEE4}" xr6:coauthVersionLast="47" xr6:coauthVersionMax="47" xr10:uidLastSave="{00000000-0000-0000-0000-000000000000}"/>
  <bookViews>
    <workbookView xWindow="-120" yWindow="-120" windowWidth="29040" windowHeight="15840" tabRatio="773" xr2:uid="{00000000-000D-0000-FFFF-FFFF00000000}"/>
  </bookViews>
  <sheets>
    <sheet name="AKTUÁLNÍ ZI" sheetId="69" r:id="rId1"/>
  </sheets>
  <definedNames>
    <definedName name="_xlnm._FilterDatabase" localSheetId="0" hidden="1">'AKTUÁLNÍ ZI'!$A$4:$AH$615</definedName>
    <definedName name="_xlnm.Print_Titles" localSheetId="0">'AKTUÁLNÍ ZI'!$1:$4</definedName>
    <definedName name="_xlnm.Print_Area" localSheetId="0">'AKTUÁLNÍ ZI'!$A$1:$AH$626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517" i="69" l="1"/>
  <c r="G517" i="69"/>
  <c r="N517" i="69"/>
  <c r="R8" i="69"/>
  <c r="N8" i="69"/>
  <c r="P8" i="69"/>
  <c r="Q58" i="69"/>
  <c r="N58" i="69"/>
  <c r="M58" i="69"/>
  <c r="G58" i="69"/>
  <c r="R204" i="69" l="1"/>
  <c r="Q204" i="69"/>
  <c r="D623" i="69" l="1"/>
  <c r="P348" i="69"/>
  <c r="P435" i="69" s="1"/>
  <c r="N348" i="69"/>
  <c r="G348" i="69"/>
  <c r="G105" i="69"/>
  <c r="AA600" i="69"/>
  <c r="Z600" i="69"/>
  <c r="X600" i="69"/>
  <c r="W600" i="69"/>
  <c r="V600" i="69"/>
  <c r="U600" i="69"/>
  <c r="T600" i="69"/>
  <c r="S600" i="69"/>
  <c r="R600" i="69"/>
  <c r="P600" i="69"/>
  <c r="O600" i="69"/>
  <c r="J600" i="69"/>
  <c r="I600" i="69"/>
  <c r="H600" i="69"/>
  <c r="AA577" i="69"/>
  <c r="Z577" i="69"/>
  <c r="X577" i="69"/>
  <c r="W577" i="69"/>
  <c r="V577" i="69"/>
  <c r="U577" i="69"/>
  <c r="T577" i="69"/>
  <c r="S577" i="69"/>
  <c r="R577" i="69"/>
  <c r="P577" i="69"/>
  <c r="O577" i="69"/>
  <c r="M577" i="69"/>
  <c r="L577" i="69"/>
  <c r="J577" i="69"/>
  <c r="I577" i="69"/>
  <c r="H577" i="69"/>
  <c r="X573" i="69"/>
  <c r="V573" i="69"/>
  <c r="U573" i="69"/>
  <c r="S573" i="69"/>
  <c r="R573" i="69"/>
  <c r="O573" i="69"/>
  <c r="J573" i="69"/>
  <c r="I573" i="69"/>
  <c r="H573" i="69"/>
  <c r="AA495" i="69"/>
  <c r="Z495" i="69"/>
  <c r="X495" i="69"/>
  <c r="W495" i="69"/>
  <c r="V495" i="69"/>
  <c r="U495" i="69"/>
  <c r="T495" i="69"/>
  <c r="S495" i="69"/>
  <c r="R495" i="69"/>
  <c r="P495" i="69"/>
  <c r="O495" i="69"/>
  <c r="N495" i="69"/>
  <c r="L495" i="69"/>
  <c r="J495" i="69"/>
  <c r="I495" i="69"/>
  <c r="H495" i="69"/>
  <c r="AA490" i="69"/>
  <c r="Z490" i="69"/>
  <c r="X490" i="69"/>
  <c r="W490" i="69"/>
  <c r="V490" i="69"/>
  <c r="U490" i="69"/>
  <c r="T490" i="69"/>
  <c r="S490" i="69"/>
  <c r="R490" i="69"/>
  <c r="P490" i="69"/>
  <c r="O490" i="69"/>
  <c r="M490" i="69"/>
  <c r="J490" i="69"/>
  <c r="I490" i="69"/>
  <c r="H490" i="69"/>
  <c r="AA485" i="69"/>
  <c r="Z485" i="69"/>
  <c r="X485" i="69"/>
  <c r="W485" i="69"/>
  <c r="V485" i="69"/>
  <c r="U485" i="69"/>
  <c r="T485" i="69"/>
  <c r="S485" i="69"/>
  <c r="R485" i="69"/>
  <c r="P485" i="69"/>
  <c r="O485" i="69"/>
  <c r="L485" i="69"/>
  <c r="J485" i="69"/>
  <c r="I485" i="69"/>
  <c r="H485" i="69"/>
  <c r="AA476" i="69"/>
  <c r="Z476" i="69"/>
  <c r="X476" i="69"/>
  <c r="W476" i="69"/>
  <c r="V476" i="69"/>
  <c r="U476" i="69"/>
  <c r="T476" i="69"/>
  <c r="S476" i="69"/>
  <c r="R476" i="69"/>
  <c r="P476" i="69"/>
  <c r="O476" i="69"/>
  <c r="M476" i="69"/>
  <c r="L476" i="69"/>
  <c r="J476" i="69"/>
  <c r="I476" i="69"/>
  <c r="H476" i="69"/>
  <c r="AA473" i="69"/>
  <c r="X473" i="69"/>
  <c r="V473" i="69"/>
  <c r="U473" i="69"/>
  <c r="T473" i="69"/>
  <c r="S473" i="69"/>
  <c r="R473" i="69"/>
  <c r="P473" i="69"/>
  <c r="O473" i="69"/>
  <c r="J473" i="69"/>
  <c r="I473" i="69"/>
  <c r="H473" i="69"/>
  <c r="AA435" i="69"/>
  <c r="Z435" i="69"/>
  <c r="X435" i="69"/>
  <c r="W435" i="69"/>
  <c r="V435" i="69"/>
  <c r="U435" i="69"/>
  <c r="T435" i="69"/>
  <c r="O435" i="69"/>
  <c r="J435" i="69"/>
  <c r="I435" i="69"/>
  <c r="H435" i="69"/>
  <c r="AA275" i="69"/>
  <c r="Z275" i="69"/>
  <c r="X275" i="69"/>
  <c r="W275" i="69"/>
  <c r="V275" i="69"/>
  <c r="U275" i="69"/>
  <c r="S275" i="69"/>
  <c r="P275" i="69"/>
  <c r="O275" i="69"/>
  <c r="J275" i="69"/>
  <c r="I275" i="69"/>
  <c r="H275" i="69"/>
  <c r="AA206" i="69"/>
  <c r="V206" i="69"/>
  <c r="T206" i="69"/>
  <c r="O206" i="69"/>
  <c r="J206" i="69"/>
  <c r="I206" i="69"/>
  <c r="AA37" i="69"/>
  <c r="Z37" i="69"/>
  <c r="X37" i="69"/>
  <c r="W37" i="69"/>
  <c r="V37" i="69"/>
  <c r="U37" i="69"/>
  <c r="T37" i="69"/>
  <c r="S37" i="69"/>
  <c r="R37" i="69"/>
  <c r="P37" i="69"/>
  <c r="O37" i="69"/>
  <c r="M37" i="69"/>
  <c r="J37" i="69"/>
  <c r="I37" i="69"/>
  <c r="H37" i="69"/>
  <c r="AA26" i="69"/>
  <c r="Z26" i="69"/>
  <c r="X26" i="69"/>
  <c r="W26" i="69"/>
  <c r="V26" i="69"/>
  <c r="U26" i="69"/>
  <c r="T26" i="69"/>
  <c r="S26" i="69"/>
  <c r="R26" i="69"/>
  <c r="P26" i="69"/>
  <c r="O26" i="69"/>
  <c r="J26" i="69"/>
  <c r="I26" i="69"/>
  <c r="H26" i="69"/>
  <c r="G66" i="69"/>
  <c r="Q66" i="69"/>
  <c r="J601" i="69" l="1"/>
  <c r="K601" i="69"/>
  <c r="O601" i="69"/>
  <c r="I601" i="69"/>
  <c r="V601" i="69"/>
  <c r="N486" i="69"/>
  <c r="N490" i="69" s="1"/>
  <c r="L486" i="69"/>
  <c r="L490" i="69" s="1"/>
  <c r="Q488" i="69"/>
  <c r="Q487" i="69"/>
  <c r="Q486" i="69"/>
  <c r="Q490" i="69" l="1"/>
  <c r="R53" i="69"/>
  <c r="G53" i="69"/>
  <c r="Q203" i="69"/>
  <c r="Q202" i="69"/>
  <c r="Q201" i="69"/>
  <c r="Q200" i="69"/>
  <c r="Q199" i="69"/>
  <c r="Q198" i="69"/>
  <c r="Q197" i="69"/>
  <c r="Q196" i="69"/>
  <c r="Q195" i="69"/>
  <c r="Q194" i="69"/>
  <c r="Q193" i="69"/>
  <c r="Q192" i="69"/>
  <c r="Q191" i="69"/>
  <c r="Q190" i="69"/>
  <c r="Q189" i="69"/>
  <c r="Q169" i="69"/>
  <c r="Q168" i="69"/>
  <c r="Q167" i="69"/>
  <c r="Q166" i="69"/>
  <c r="Q165" i="69"/>
  <c r="Q164" i="69"/>
  <c r="Q163" i="69"/>
  <c r="Q162" i="69"/>
  <c r="Q161" i="69"/>
  <c r="Q160" i="69"/>
  <c r="Q159" i="69"/>
  <c r="Q158" i="69"/>
  <c r="Q157" i="69"/>
  <c r="Q156" i="69"/>
  <c r="Q155" i="69"/>
  <c r="Q154" i="69"/>
  <c r="Q153" i="69"/>
  <c r="G153" i="69"/>
  <c r="Q152" i="69"/>
  <c r="G152" i="69"/>
  <c r="Q151" i="69"/>
  <c r="G151" i="69"/>
  <c r="U150" i="69"/>
  <c r="P150" i="69"/>
  <c r="Q150" i="69" s="1"/>
  <c r="N150" i="69"/>
  <c r="G150" i="69"/>
  <c r="Q149" i="69"/>
  <c r="N149" i="69"/>
  <c r="M149" i="69"/>
  <c r="G149" i="69"/>
  <c r="Q148" i="69"/>
  <c r="G148" i="69"/>
  <c r="Q147" i="69"/>
  <c r="G147" i="69"/>
  <c r="U146" i="69"/>
  <c r="Q146" i="69"/>
  <c r="G146" i="69"/>
  <c r="Q145" i="69"/>
  <c r="G145" i="69"/>
  <c r="Q144" i="69"/>
  <c r="G144" i="69"/>
  <c r="Q143" i="69"/>
  <c r="N143" i="69"/>
  <c r="M143" i="69"/>
  <c r="G143" i="69"/>
  <c r="Q142" i="69"/>
  <c r="Q141" i="69"/>
  <c r="N141" i="69"/>
  <c r="M141" i="69"/>
  <c r="G141" i="69"/>
  <c r="R140" i="69"/>
  <c r="Q140" i="69"/>
  <c r="Q139" i="69"/>
  <c r="Q138" i="69"/>
  <c r="G138" i="69"/>
  <c r="R137" i="69"/>
  <c r="Q137" i="69"/>
  <c r="G137" i="69"/>
  <c r="R136" i="69"/>
  <c r="Q136" i="69"/>
  <c r="G136" i="69"/>
  <c r="U135" i="69"/>
  <c r="Q135" i="69"/>
  <c r="G135" i="69"/>
  <c r="Q134" i="69"/>
  <c r="G134" i="69"/>
  <c r="Q133" i="69"/>
  <c r="G133" i="69"/>
  <c r="Q132" i="69"/>
  <c r="G132" i="69"/>
  <c r="Q131" i="69"/>
  <c r="G131" i="69"/>
  <c r="Q130" i="69"/>
  <c r="N130" i="69"/>
  <c r="M130" i="69"/>
  <c r="G130" i="69"/>
  <c r="Q129" i="69"/>
  <c r="G129" i="69"/>
  <c r="P128" i="69"/>
  <c r="Q128" i="69" s="1"/>
  <c r="N128" i="69"/>
  <c r="G128" i="69"/>
  <c r="P127" i="69"/>
  <c r="Q127" i="69" s="1"/>
  <c r="N127" i="69"/>
  <c r="M127" i="69"/>
  <c r="G127" i="69"/>
  <c r="Q126" i="69"/>
  <c r="G126" i="69"/>
  <c r="Q125" i="69"/>
  <c r="N125" i="69"/>
  <c r="M125" i="69"/>
  <c r="G125" i="69"/>
  <c r="Q124" i="69"/>
  <c r="Q123" i="69"/>
  <c r="Q122" i="69"/>
  <c r="N122" i="69"/>
  <c r="M122" i="69"/>
  <c r="G122" i="69"/>
  <c r="Q121" i="69"/>
  <c r="N121" i="69"/>
  <c r="M121" i="69"/>
  <c r="G121" i="69"/>
  <c r="R120" i="69"/>
  <c r="Q120" i="69"/>
  <c r="Q119" i="69"/>
  <c r="N119" i="69"/>
  <c r="M119" i="69"/>
  <c r="G119" i="69"/>
  <c r="Q118" i="69"/>
  <c r="N118" i="69"/>
  <c r="M118" i="69"/>
  <c r="G118" i="69"/>
  <c r="Q117" i="69"/>
  <c r="N117" i="69"/>
  <c r="M117" i="69"/>
  <c r="G117" i="69"/>
  <c r="Q116" i="69"/>
  <c r="N116" i="69"/>
  <c r="M116" i="69"/>
  <c r="G116" i="69"/>
  <c r="Q115" i="69"/>
  <c r="M115" i="69"/>
  <c r="G115" i="69"/>
  <c r="P114" i="69"/>
  <c r="Q114" i="69" s="1"/>
  <c r="P113" i="69"/>
  <c r="Q113" i="69" s="1"/>
  <c r="M113" i="69"/>
  <c r="Q112" i="69"/>
  <c r="N112" i="69"/>
  <c r="G112" i="69"/>
  <c r="Q111" i="69"/>
  <c r="N111" i="69"/>
  <c r="M111" i="69"/>
  <c r="G111" i="69"/>
  <c r="P110" i="69"/>
  <c r="Q110" i="69" s="1"/>
  <c r="M110" i="69"/>
  <c r="G110" i="69"/>
  <c r="Q109" i="69"/>
  <c r="N109" i="69"/>
  <c r="M109" i="69"/>
  <c r="G109" i="69"/>
  <c r="Q108" i="69"/>
  <c r="G108" i="69"/>
  <c r="Q107" i="69"/>
  <c r="N107" i="69"/>
  <c r="M107" i="69"/>
  <c r="G107" i="69"/>
  <c r="Q106" i="69"/>
  <c r="N106" i="69"/>
  <c r="M106" i="69"/>
  <c r="G106" i="69"/>
  <c r="U105" i="69"/>
  <c r="Q105" i="69"/>
  <c r="Q104" i="69"/>
  <c r="N104" i="69"/>
  <c r="M104" i="69"/>
  <c r="Q103" i="69"/>
  <c r="M103" i="69"/>
  <c r="Q102" i="69"/>
  <c r="N102" i="69"/>
  <c r="M102" i="69"/>
  <c r="G102" i="69"/>
  <c r="R101" i="69"/>
  <c r="Q101" i="69"/>
  <c r="Q100" i="69"/>
  <c r="N100" i="69"/>
  <c r="M100" i="69"/>
  <c r="Q99" i="69"/>
  <c r="Q98" i="69"/>
  <c r="N98" i="69"/>
  <c r="M98" i="69"/>
  <c r="L98" i="69"/>
  <c r="G98" i="69"/>
  <c r="R97" i="69"/>
  <c r="Q97" i="69"/>
  <c r="L97" i="69"/>
  <c r="Q96" i="69"/>
  <c r="Q95" i="69"/>
  <c r="Q94" i="69"/>
  <c r="R93" i="69"/>
  <c r="Q93" i="69"/>
  <c r="N93" i="69"/>
  <c r="L93" i="69"/>
  <c r="Z92" i="69"/>
  <c r="Z206" i="69" s="1"/>
  <c r="R92" i="69"/>
  <c r="Q92" i="69"/>
  <c r="N92" i="69"/>
  <c r="M92" i="69"/>
  <c r="Q91" i="69"/>
  <c r="G91" i="69"/>
  <c r="Q90" i="69"/>
  <c r="L90" i="69"/>
  <c r="G90" i="69"/>
  <c r="Q89" i="69"/>
  <c r="N89" i="69"/>
  <c r="M89" i="69"/>
  <c r="G89" i="69"/>
  <c r="Q88" i="69"/>
  <c r="M88" i="69"/>
  <c r="L88" i="69"/>
  <c r="G88" i="69"/>
  <c r="R87" i="69"/>
  <c r="Q87" i="69"/>
  <c r="L87" i="69"/>
  <c r="G87" i="69"/>
  <c r="U86" i="69"/>
  <c r="Q86" i="69"/>
  <c r="G86" i="69"/>
  <c r="R85" i="69"/>
  <c r="P85" i="69"/>
  <c r="Q85" i="69" s="1"/>
  <c r="G85" i="69"/>
  <c r="U84" i="69"/>
  <c r="Q84" i="69"/>
  <c r="N84" i="69"/>
  <c r="M84" i="69"/>
  <c r="L84" i="69"/>
  <c r="G84" i="69"/>
  <c r="Q83" i="69"/>
  <c r="N83" i="69"/>
  <c r="M83" i="69"/>
  <c r="L83" i="69"/>
  <c r="Q82" i="69"/>
  <c r="N82" i="69"/>
  <c r="M82" i="69"/>
  <c r="Q81" i="69"/>
  <c r="N81" i="69"/>
  <c r="M81" i="69"/>
  <c r="L81" i="69"/>
  <c r="G81" i="69"/>
  <c r="U80" i="69"/>
  <c r="P80" i="69"/>
  <c r="Q80" i="69" s="1"/>
  <c r="L80" i="69"/>
  <c r="G80" i="69"/>
  <c r="Q79" i="69"/>
  <c r="N79" i="69"/>
  <c r="M79" i="69"/>
  <c r="L79" i="69"/>
  <c r="G79" i="69"/>
  <c r="Q78" i="69"/>
  <c r="M78" i="69"/>
  <c r="Q77" i="69"/>
  <c r="M77" i="69"/>
  <c r="G77" i="69"/>
  <c r="Q76" i="69"/>
  <c r="G76" i="69"/>
  <c r="Q75" i="69"/>
  <c r="L75" i="69"/>
  <c r="Q74" i="69"/>
  <c r="L74" i="69"/>
  <c r="Q73" i="69"/>
  <c r="G73" i="69"/>
  <c r="Q72" i="69"/>
  <c r="N72" i="69"/>
  <c r="M72" i="69"/>
  <c r="L72" i="69"/>
  <c r="G72" i="69"/>
  <c r="Q71" i="69"/>
  <c r="G71" i="69"/>
  <c r="Q70" i="69"/>
  <c r="N70" i="69"/>
  <c r="M70" i="69"/>
  <c r="G70" i="69"/>
  <c r="Q69" i="69"/>
  <c r="P68" i="69"/>
  <c r="Q68" i="69" s="1"/>
  <c r="N68" i="69"/>
  <c r="M68" i="69"/>
  <c r="L68" i="69"/>
  <c r="G68" i="69"/>
  <c r="Q67" i="69"/>
  <c r="N67" i="69"/>
  <c r="M67" i="69"/>
  <c r="G67" i="69"/>
  <c r="R65" i="69"/>
  <c r="Q65" i="69"/>
  <c r="G65" i="69"/>
  <c r="Q64" i="69"/>
  <c r="N64" i="69"/>
  <c r="M64" i="69"/>
  <c r="L64" i="69"/>
  <c r="G64" i="69"/>
  <c r="Q63" i="69"/>
  <c r="N63" i="69"/>
  <c r="M63" i="69"/>
  <c r="G63" i="69"/>
  <c r="U62" i="69"/>
  <c r="P62" i="69"/>
  <c r="Q62" i="69" s="1"/>
  <c r="L62" i="69"/>
  <c r="G62" i="69"/>
  <c r="P61" i="69"/>
  <c r="Q61" i="69" s="1"/>
  <c r="N61" i="69"/>
  <c r="G61" i="69"/>
  <c r="Q60" i="69"/>
  <c r="N60" i="69"/>
  <c r="M60" i="69"/>
  <c r="Q59" i="69"/>
  <c r="W57" i="69"/>
  <c r="Q57" i="69"/>
  <c r="N57" i="69"/>
  <c r="M57" i="69"/>
  <c r="L57" i="69"/>
  <c r="G57" i="69"/>
  <c r="Q56" i="69"/>
  <c r="M56" i="69"/>
  <c r="G56" i="69"/>
  <c r="S55" i="69"/>
  <c r="Q55" i="69"/>
  <c r="G55" i="69"/>
  <c r="S54" i="69"/>
  <c r="Q54" i="69"/>
  <c r="Q53" i="69"/>
  <c r="L53" i="69"/>
  <c r="X52" i="69"/>
  <c r="X206" i="69" s="1"/>
  <c r="X601" i="69" s="1"/>
  <c r="W52" i="69"/>
  <c r="P52" i="69"/>
  <c r="H52" i="69"/>
  <c r="H206" i="69" s="1"/>
  <c r="H601" i="69" s="1"/>
  <c r="G52" i="69"/>
  <c r="Q51" i="69"/>
  <c r="L51" i="69"/>
  <c r="G51" i="69"/>
  <c r="S50" i="69"/>
  <c r="Q50" i="69"/>
  <c r="R49" i="69"/>
  <c r="Q49" i="69"/>
  <c r="N49" i="69"/>
  <c r="M49" i="69"/>
  <c r="R48" i="69"/>
  <c r="Q48" i="69"/>
  <c r="N48" i="69"/>
  <c r="M48" i="69"/>
  <c r="G48" i="69"/>
  <c r="S47" i="69"/>
  <c r="R47" i="69"/>
  <c r="Q47" i="69"/>
  <c r="N47" i="69"/>
  <c r="M47" i="69"/>
  <c r="L47" i="69"/>
  <c r="Q46" i="69"/>
  <c r="N46" i="69"/>
  <c r="M46" i="69"/>
  <c r="Q45" i="69"/>
  <c r="N45" i="69"/>
  <c r="M45" i="69"/>
  <c r="Q44" i="69"/>
  <c r="N44" i="69"/>
  <c r="L44" i="69"/>
  <c r="Q43" i="69"/>
  <c r="R42" i="69"/>
  <c r="Q42" i="69"/>
  <c r="N42" i="69"/>
  <c r="Q41" i="69"/>
  <c r="N41" i="69"/>
  <c r="M41" i="69"/>
  <c r="Q40" i="69"/>
  <c r="Q39" i="69"/>
  <c r="N39" i="69"/>
  <c r="M39" i="69"/>
  <c r="L39" i="69"/>
  <c r="G39" i="69"/>
  <c r="Q38" i="69"/>
  <c r="N38" i="69"/>
  <c r="M38" i="69"/>
  <c r="L38" i="69"/>
  <c r="G38" i="69"/>
  <c r="S206" i="69" l="1"/>
  <c r="L206" i="69"/>
  <c r="M206" i="69"/>
  <c r="W206" i="69"/>
  <c r="U206" i="69"/>
  <c r="U601" i="69" s="1"/>
  <c r="N206" i="69"/>
  <c r="Q52" i="69"/>
  <c r="Q206" i="69" s="1"/>
  <c r="P206" i="69"/>
  <c r="R206" i="69"/>
  <c r="Q273" i="69"/>
  <c r="Q272" i="69"/>
  <c r="Q271" i="69"/>
  <c r="Q270" i="69"/>
  <c r="Q269" i="69"/>
  <c r="Q268" i="69"/>
  <c r="Q267" i="69"/>
  <c r="Q266" i="69"/>
  <c r="Q265" i="69"/>
  <c r="Q264" i="69"/>
  <c r="Q263" i="69"/>
  <c r="Q262" i="69"/>
  <c r="G262" i="69"/>
  <c r="Q261" i="69"/>
  <c r="Q260" i="69"/>
  <c r="Q259" i="69"/>
  <c r="Q258" i="69"/>
  <c r="Q257" i="69"/>
  <c r="Q256" i="69"/>
  <c r="Q255" i="69"/>
  <c r="Q254" i="69"/>
  <c r="Q253" i="69"/>
  <c r="Q252" i="69"/>
  <c r="Q251" i="69"/>
  <c r="Q250" i="69"/>
  <c r="Q249" i="69"/>
  <c r="Q248" i="69"/>
  <c r="Q247" i="69"/>
  <c r="Q246" i="69"/>
  <c r="Q245" i="69"/>
  <c r="Q244" i="69"/>
  <c r="Q243" i="69"/>
  <c r="Q242" i="69"/>
  <c r="Q241" i="69"/>
  <c r="M241" i="69"/>
  <c r="L241" i="69"/>
  <c r="Q240" i="69"/>
  <c r="Q239" i="69"/>
  <c r="Q238" i="69"/>
  <c r="N238" i="69"/>
  <c r="M238" i="69"/>
  <c r="L238" i="69"/>
  <c r="Q237" i="69"/>
  <c r="L237" i="69"/>
  <c r="Q236" i="69"/>
  <c r="L236" i="69"/>
  <c r="Q235" i="69"/>
  <c r="Q234" i="69"/>
  <c r="N234" i="69"/>
  <c r="M234" i="69"/>
  <c r="Q233" i="69"/>
  <c r="N233" i="69"/>
  <c r="M233" i="69"/>
  <c r="Q232" i="69"/>
  <c r="N232" i="69"/>
  <c r="M232" i="69"/>
  <c r="Q231" i="69"/>
  <c r="N231" i="69"/>
  <c r="M231" i="69"/>
  <c r="L231" i="69"/>
  <c r="Q230" i="69"/>
  <c r="N230" i="69"/>
  <c r="M230" i="69"/>
  <c r="Q229" i="69"/>
  <c r="Q228" i="69"/>
  <c r="Q227" i="69"/>
  <c r="L227" i="69"/>
  <c r="G227" i="69"/>
  <c r="Q226" i="69"/>
  <c r="T225" i="69"/>
  <c r="T275" i="69" s="1"/>
  <c r="Q225" i="69"/>
  <c r="Q224" i="69"/>
  <c r="Q223" i="69"/>
  <c r="N223" i="69"/>
  <c r="M223" i="69"/>
  <c r="L223" i="69"/>
  <c r="Q222" i="69"/>
  <c r="M222" i="69"/>
  <c r="Q221" i="69"/>
  <c r="N221" i="69"/>
  <c r="M221" i="69"/>
  <c r="L221" i="69"/>
  <c r="Q220" i="69"/>
  <c r="Q219" i="69"/>
  <c r="G219" i="69"/>
  <c r="R218" i="69"/>
  <c r="Q218" i="69"/>
  <c r="G218" i="69"/>
  <c r="Q217" i="69"/>
  <c r="Q216" i="69"/>
  <c r="M216" i="69"/>
  <c r="L216" i="69"/>
  <c r="Q215" i="69"/>
  <c r="Q214" i="69"/>
  <c r="Q213" i="69"/>
  <c r="G213" i="69"/>
  <c r="Q212" i="69"/>
  <c r="R211" i="69"/>
  <c r="R275" i="69" s="1"/>
  <c r="Q211" i="69"/>
  <c r="N211" i="69"/>
  <c r="Q210" i="69"/>
  <c r="N210" i="69"/>
  <c r="G210" i="69"/>
  <c r="Q209" i="69"/>
  <c r="Q208" i="69"/>
  <c r="Q207" i="69"/>
  <c r="N207" i="69"/>
  <c r="M207" i="69"/>
  <c r="L207" i="69"/>
  <c r="G207" i="69"/>
  <c r="L275" i="69" l="1"/>
  <c r="M275" i="69"/>
  <c r="N275" i="69"/>
  <c r="Q275" i="69"/>
  <c r="Q433" i="69" l="1"/>
  <c r="Q432" i="69"/>
  <c r="Q431" i="69"/>
  <c r="Q430" i="69"/>
  <c r="Q429" i="69"/>
  <c r="Q428" i="69"/>
  <c r="Q427" i="69"/>
  <c r="Q426" i="69"/>
  <c r="Q425" i="69"/>
  <c r="Q424" i="69"/>
  <c r="Q423" i="69"/>
  <c r="Q422" i="69"/>
  <c r="Q421" i="69"/>
  <c r="Q420" i="69"/>
  <c r="Q419" i="69"/>
  <c r="N419" i="69"/>
  <c r="Q418" i="69"/>
  <c r="Q417" i="69"/>
  <c r="Q416" i="69"/>
  <c r="Q415" i="69"/>
  <c r="Q414" i="69"/>
  <c r="Q413" i="69"/>
  <c r="Q412" i="69"/>
  <c r="Q411" i="69"/>
  <c r="Q410" i="69"/>
  <c r="Q409" i="69"/>
  <c r="Q408" i="69"/>
  <c r="Q407" i="69"/>
  <c r="Q406" i="69"/>
  <c r="Q405" i="69"/>
  <c r="Q404" i="69"/>
  <c r="Q403" i="69"/>
  <c r="Q402" i="69"/>
  <c r="Q401" i="69"/>
  <c r="Q400" i="69"/>
  <c r="Q399" i="69"/>
  <c r="Q398" i="69"/>
  <c r="Q397" i="69"/>
  <c r="R396" i="69"/>
  <c r="Q396" i="69"/>
  <c r="Q395" i="69"/>
  <c r="Q394" i="69"/>
  <c r="Q393" i="69"/>
  <c r="Q392" i="69"/>
  <c r="Q391" i="69"/>
  <c r="Q390" i="69"/>
  <c r="Q389" i="69"/>
  <c r="Q388" i="69"/>
  <c r="Q387" i="69"/>
  <c r="Q386" i="69"/>
  <c r="Q385" i="69"/>
  <c r="Q384" i="69"/>
  <c r="Q383" i="69"/>
  <c r="Q382" i="69"/>
  <c r="Q381" i="69"/>
  <c r="Q380" i="69"/>
  <c r="Q379" i="69"/>
  <c r="Q378" i="69"/>
  <c r="Q377" i="69"/>
  <c r="Q376" i="69"/>
  <c r="Q375" i="69"/>
  <c r="Q374" i="69"/>
  <c r="Q373" i="69"/>
  <c r="Q372" i="69"/>
  <c r="Q371" i="69"/>
  <c r="Q370" i="69"/>
  <c r="Q369" i="69"/>
  <c r="Q368" i="69"/>
  <c r="N368" i="69"/>
  <c r="M368" i="69"/>
  <c r="Q367" i="69"/>
  <c r="Q366" i="69"/>
  <c r="Q365" i="69"/>
  <c r="Q364" i="69"/>
  <c r="Q363" i="69"/>
  <c r="Q362" i="69"/>
  <c r="Q361" i="69"/>
  <c r="Q360" i="69"/>
  <c r="Q359" i="69"/>
  <c r="Q358" i="69"/>
  <c r="Q357" i="69"/>
  <c r="Q356" i="69"/>
  <c r="Q355" i="69"/>
  <c r="Q354" i="69"/>
  <c r="M354" i="69"/>
  <c r="Q353" i="69"/>
  <c r="N353" i="69"/>
  <c r="M353" i="69"/>
  <c r="Q352" i="69"/>
  <c r="N352" i="69"/>
  <c r="M352" i="69"/>
  <c r="Q351" i="69"/>
  <c r="Q350" i="69"/>
  <c r="Q349" i="69"/>
  <c r="Q348" i="69"/>
  <c r="Q347" i="69"/>
  <c r="Q346" i="69"/>
  <c r="Q345" i="69"/>
  <c r="Q344" i="69"/>
  <c r="Q343" i="69"/>
  <c r="Q342" i="69"/>
  <c r="Q341" i="69"/>
  <c r="Q340" i="69"/>
  <c r="Q339" i="69"/>
  <c r="Q338" i="69"/>
  <c r="Q337" i="69"/>
  <c r="N337" i="69"/>
  <c r="Q336" i="69"/>
  <c r="Q335" i="69"/>
  <c r="Q334" i="69"/>
  <c r="Q333" i="69"/>
  <c r="Q332" i="69"/>
  <c r="Q331" i="69"/>
  <c r="N331" i="69"/>
  <c r="M331" i="69"/>
  <c r="G331" i="69"/>
  <c r="Q330" i="69"/>
  <c r="Q329" i="69"/>
  <c r="Q328" i="69"/>
  <c r="Q327" i="69"/>
  <c r="R326" i="69"/>
  <c r="Q326" i="69"/>
  <c r="Q325" i="69"/>
  <c r="Q324" i="69"/>
  <c r="N324" i="69"/>
  <c r="Q323" i="69"/>
  <c r="R322" i="69"/>
  <c r="Q322" i="69"/>
  <c r="Q321" i="69"/>
  <c r="Q320" i="69"/>
  <c r="Q319" i="69"/>
  <c r="Q318" i="69"/>
  <c r="Q317" i="69"/>
  <c r="Q316" i="69"/>
  <c r="Q315" i="69"/>
  <c r="Q314" i="69"/>
  <c r="N314" i="69"/>
  <c r="Q313" i="69"/>
  <c r="Q312" i="69"/>
  <c r="Q311" i="69"/>
  <c r="Q310" i="69"/>
  <c r="R309" i="69"/>
  <c r="Q309" i="69"/>
  <c r="Q308" i="69"/>
  <c r="Q307" i="69"/>
  <c r="Q306" i="69"/>
  <c r="Q305" i="69"/>
  <c r="Q304" i="69"/>
  <c r="Q303" i="69"/>
  <c r="Q302" i="69"/>
  <c r="Q301" i="69"/>
  <c r="Q300" i="69"/>
  <c r="Q299" i="69"/>
  <c r="Q298" i="69"/>
  <c r="Q297" i="69"/>
  <c r="Q296" i="69"/>
  <c r="Q295" i="69"/>
  <c r="Q294" i="69"/>
  <c r="Q293" i="69"/>
  <c r="Q292" i="69"/>
  <c r="Q291" i="69"/>
  <c r="Q290" i="69"/>
  <c r="G290" i="69"/>
  <c r="Q289" i="69"/>
  <c r="Q288" i="69"/>
  <c r="Q287" i="69"/>
  <c r="G287" i="69"/>
  <c r="S286" i="69"/>
  <c r="S435" i="69" s="1"/>
  <c r="S601" i="69" s="1"/>
  <c r="Q286" i="69"/>
  <c r="Q285" i="69"/>
  <c r="Q284" i="69"/>
  <c r="Q283" i="69"/>
  <c r="L283" i="69"/>
  <c r="Q282" i="69"/>
  <c r="Q281" i="69"/>
  <c r="G281" i="69"/>
  <c r="Q280" i="69"/>
  <c r="Q279" i="69"/>
  <c r="Q278" i="69"/>
  <c r="Q277" i="69"/>
  <c r="Q276" i="69"/>
  <c r="L276" i="69"/>
  <c r="L435" i="69" l="1"/>
  <c r="R435" i="69"/>
  <c r="R601" i="69" s="1"/>
  <c r="M435" i="69"/>
  <c r="N435" i="69"/>
  <c r="Q435" i="69"/>
  <c r="N445" i="69" l="1"/>
  <c r="M445" i="69"/>
  <c r="N436" i="69"/>
  <c r="M436" i="69"/>
  <c r="Q471" i="69"/>
  <c r="Q470" i="69"/>
  <c r="Q469" i="69"/>
  <c r="Q468" i="69"/>
  <c r="Q467" i="69"/>
  <c r="Q466" i="69"/>
  <c r="Q465" i="69"/>
  <c r="Q464" i="69"/>
  <c r="Q463" i="69"/>
  <c r="Q462" i="69"/>
  <c r="Q461" i="69"/>
  <c r="Q460" i="69"/>
  <c r="Q459" i="69"/>
  <c r="Q458" i="69"/>
  <c r="Q457" i="69"/>
  <c r="Q456" i="69"/>
  <c r="Q455" i="69"/>
  <c r="Q454" i="69"/>
  <c r="N454" i="69"/>
  <c r="M454" i="69"/>
  <c r="Q453" i="69"/>
  <c r="Q452" i="69"/>
  <c r="Q451" i="69"/>
  <c r="Q450" i="69"/>
  <c r="Q449" i="69"/>
  <c r="Q448" i="69"/>
  <c r="Q447" i="69"/>
  <c r="Q446" i="69"/>
  <c r="Q445" i="69"/>
  <c r="Q444" i="69"/>
  <c r="Q443" i="69"/>
  <c r="Q442" i="69"/>
  <c r="N442" i="69"/>
  <c r="M442" i="69"/>
  <c r="L442" i="69"/>
  <c r="Q441" i="69"/>
  <c r="Q440" i="69"/>
  <c r="Q439" i="69"/>
  <c r="Q438" i="69"/>
  <c r="N438" i="69"/>
  <c r="M438" i="69"/>
  <c r="L438" i="69"/>
  <c r="Q437" i="69"/>
  <c r="Z436" i="69"/>
  <c r="Z473" i="69" s="1"/>
  <c r="W436" i="69"/>
  <c r="W473" i="69" s="1"/>
  <c r="Q436" i="69"/>
  <c r="L436" i="69"/>
  <c r="M473" i="69" l="1"/>
  <c r="Y601" i="69"/>
  <c r="N473" i="69"/>
  <c r="L473" i="69"/>
  <c r="Q473" i="69"/>
  <c r="N582" i="69"/>
  <c r="M582" i="69"/>
  <c r="Q590" i="69" l="1"/>
  <c r="Q589" i="69"/>
  <c r="Q588" i="69"/>
  <c r="Q587" i="69"/>
  <c r="M587" i="69"/>
  <c r="M600" i="69" s="1"/>
  <c r="G587" i="69"/>
  <c r="Q586" i="69"/>
  <c r="Q585" i="69"/>
  <c r="Q584" i="69"/>
  <c r="Q583" i="69"/>
  <c r="Q582" i="69"/>
  <c r="L582" i="69"/>
  <c r="L600" i="69" s="1"/>
  <c r="Q581" i="69"/>
  <c r="Q580" i="69"/>
  <c r="Q579" i="69"/>
  <c r="Q578" i="69"/>
  <c r="N578" i="69"/>
  <c r="N600" i="69" s="1"/>
  <c r="Q600" i="69" l="1"/>
  <c r="Q575" i="69" l="1"/>
  <c r="N575" i="69"/>
  <c r="Q574" i="69"/>
  <c r="N574" i="69"/>
  <c r="N5" i="69"/>
  <c r="N20" i="69"/>
  <c r="G19" i="69"/>
  <c r="N18" i="69"/>
  <c r="N17" i="69"/>
  <c r="N16" i="69"/>
  <c r="M14" i="69"/>
  <c r="N14" i="69"/>
  <c r="N6" i="69"/>
  <c r="N7" i="69"/>
  <c r="M20" i="69"/>
  <c r="M18" i="69"/>
  <c r="M17" i="69"/>
  <c r="M16" i="69"/>
  <c r="M12" i="69"/>
  <c r="N12" i="69"/>
  <c r="M10" i="69"/>
  <c r="M9" i="69"/>
  <c r="Q24" i="69"/>
  <c r="Q23" i="69"/>
  <c r="Q22" i="69"/>
  <c r="Q21" i="69"/>
  <c r="Q20" i="69"/>
  <c r="Q19" i="69"/>
  <c r="Q18" i="69"/>
  <c r="Q17" i="69"/>
  <c r="Q16" i="69"/>
  <c r="Q15" i="69"/>
  <c r="M15" i="69"/>
  <c r="L15" i="69"/>
  <c r="G15" i="69"/>
  <c r="Q14" i="69"/>
  <c r="Q13" i="69"/>
  <c r="M13" i="69"/>
  <c r="G13" i="69"/>
  <c r="Q12" i="69"/>
  <c r="Q11" i="69"/>
  <c r="N11" i="69"/>
  <c r="Q10" i="69"/>
  <c r="Q9" i="69"/>
  <c r="Q8" i="69"/>
  <c r="M8" i="69"/>
  <c r="Q7" i="69"/>
  <c r="M7" i="69"/>
  <c r="L7" i="69"/>
  <c r="Q6" i="69"/>
  <c r="M6" i="69"/>
  <c r="G6" i="69"/>
  <c r="Q5" i="69"/>
  <c r="M5" i="69"/>
  <c r="Q569" i="69"/>
  <c r="Q568" i="69"/>
  <c r="Q567" i="69"/>
  <c r="G567" i="69"/>
  <c r="Q566" i="69"/>
  <c r="Q565" i="69"/>
  <c r="Q564" i="69"/>
  <c r="Q563" i="69"/>
  <c r="Q562" i="69"/>
  <c r="Q561" i="69"/>
  <c r="Q560" i="69"/>
  <c r="Q559" i="69"/>
  <c r="Q558" i="69"/>
  <c r="Q557" i="69"/>
  <c r="Q556" i="69"/>
  <c r="Q555" i="69"/>
  <c r="Q554" i="69"/>
  <c r="G554" i="69"/>
  <c r="Q553" i="69"/>
  <c r="G553" i="69"/>
  <c r="Q552" i="69"/>
  <c r="Q551" i="69"/>
  <c r="G551" i="69"/>
  <c r="Q550" i="69"/>
  <c r="G550" i="69"/>
  <c r="Q549" i="69"/>
  <c r="Q548" i="69"/>
  <c r="Q547" i="69"/>
  <c r="L547" i="69"/>
  <c r="G547" i="69"/>
  <c r="Q546" i="69"/>
  <c r="Q545" i="69"/>
  <c r="Q544" i="69"/>
  <c r="Q543" i="69"/>
  <c r="G543" i="69"/>
  <c r="Q542" i="69"/>
  <c r="G542" i="69"/>
  <c r="Q541" i="69"/>
  <c r="G541" i="69"/>
  <c r="Q540" i="69"/>
  <c r="N540" i="69"/>
  <c r="M540" i="69"/>
  <c r="Q539" i="69"/>
  <c r="N539" i="69"/>
  <c r="M539" i="69"/>
  <c r="Q538" i="69"/>
  <c r="Q537" i="69"/>
  <c r="P536" i="69"/>
  <c r="Q535" i="69"/>
  <c r="N535" i="69"/>
  <c r="G535" i="69"/>
  <c r="Q534" i="69"/>
  <c r="G534" i="69"/>
  <c r="Q533" i="69"/>
  <c r="G533" i="69"/>
  <c r="Q532" i="69"/>
  <c r="L532" i="69"/>
  <c r="G532" i="69"/>
  <c r="Q531" i="69"/>
  <c r="Q530" i="69"/>
  <c r="Q529" i="69"/>
  <c r="Q528" i="69"/>
  <c r="L528" i="69"/>
  <c r="G528" i="69"/>
  <c r="Q527" i="69"/>
  <c r="G527" i="69"/>
  <c r="Q526" i="69"/>
  <c r="N526" i="69"/>
  <c r="M526" i="69"/>
  <c r="Q525" i="69"/>
  <c r="G525" i="69"/>
  <c r="Q524" i="69"/>
  <c r="Q523" i="69"/>
  <c r="G523" i="69"/>
  <c r="Q522" i="69"/>
  <c r="Q521" i="69"/>
  <c r="G521" i="69"/>
  <c r="Q520" i="69"/>
  <c r="Q519" i="69"/>
  <c r="L519" i="69"/>
  <c r="G519" i="69"/>
  <c r="Q518" i="69"/>
  <c r="N518" i="69"/>
  <c r="M518" i="69"/>
  <c r="G518" i="69"/>
  <c r="Q517" i="69"/>
  <c r="M517" i="69"/>
  <c r="Q516" i="69"/>
  <c r="Q515" i="69"/>
  <c r="N515" i="69"/>
  <c r="M515" i="69"/>
  <c r="G515" i="69"/>
  <c r="Q514" i="69"/>
  <c r="Q513" i="69"/>
  <c r="Q512" i="69"/>
  <c r="G512" i="69"/>
  <c r="Q511" i="69"/>
  <c r="G511" i="69"/>
  <c r="Q510" i="69"/>
  <c r="Q509" i="69"/>
  <c r="N509" i="69"/>
  <c r="G509" i="69"/>
  <c r="Q508" i="69"/>
  <c r="G508" i="69"/>
  <c r="Q507" i="69"/>
  <c r="M507" i="69"/>
  <c r="G507" i="69"/>
  <c r="Q506" i="69"/>
  <c r="N506" i="69"/>
  <c r="M506" i="69"/>
  <c r="G506" i="69"/>
  <c r="Q505" i="69"/>
  <c r="G505" i="69"/>
  <c r="Q504" i="69"/>
  <c r="G504" i="69"/>
  <c r="Q503" i="69"/>
  <c r="G503" i="69"/>
  <c r="Q502" i="69"/>
  <c r="G502" i="69"/>
  <c r="AA501" i="69"/>
  <c r="Z501" i="69"/>
  <c r="Q501" i="69"/>
  <c r="L501" i="69"/>
  <c r="AA500" i="69"/>
  <c r="Z500" i="69"/>
  <c r="W500" i="69"/>
  <c r="W573" i="69" s="1"/>
  <c r="W601" i="69" s="1"/>
  <c r="Q500" i="69"/>
  <c r="G500" i="69"/>
  <c r="AA499" i="69"/>
  <c r="Z499" i="69"/>
  <c r="Q499" i="69"/>
  <c r="T498" i="69"/>
  <c r="T573" i="69" s="1"/>
  <c r="T601" i="69" s="1"/>
  <c r="Q498" i="69"/>
  <c r="N498" i="69"/>
  <c r="M498" i="69"/>
  <c r="L498" i="69"/>
  <c r="G498" i="69"/>
  <c r="Q497" i="69"/>
  <c r="Q496" i="69"/>
  <c r="G496" i="69"/>
  <c r="L26" i="69" l="1"/>
  <c r="AA573" i="69"/>
  <c r="AA601" i="69" s="1"/>
  <c r="N26" i="69"/>
  <c r="M573" i="69"/>
  <c r="N577" i="69"/>
  <c r="L573" i="69"/>
  <c r="N573" i="69"/>
  <c r="Z573" i="69"/>
  <c r="Z601" i="69" s="1"/>
  <c r="Q536" i="69"/>
  <c r="P573" i="69"/>
  <c r="P601" i="69" s="1"/>
  <c r="M26" i="69"/>
  <c r="Q26" i="69"/>
  <c r="Q573" i="69"/>
  <c r="Q577" i="69"/>
  <c r="N482" i="69"/>
  <c r="N485" i="69" s="1"/>
  <c r="M482" i="69"/>
  <c r="M485" i="69" s="1"/>
  <c r="Q483" i="69"/>
  <c r="Q482" i="69"/>
  <c r="Q481" i="69"/>
  <c r="Q480" i="69"/>
  <c r="Q479" i="69"/>
  <c r="Q478" i="69"/>
  <c r="Q477" i="69"/>
  <c r="G477" i="69"/>
  <c r="Q485" i="69" l="1"/>
  <c r="F624" i="69" l="1"/>
  <c r="Q35" i="69"/>
  <c r="Q34" i="69"/>
  <c r="Q33" i="69"/>
  <c r="Q32" i="69"/>
  <c r="G32" i="69"/>
  <c r="Q31" i="69"/>
  <c r="G31" i="69"/>
  <c r="Q30" i="69"/>
  <c r="G30" i="69"/>
  <c r="Q29" i="69"/>
  <c r="N29" i="69"/>
  <c r="G29" i="69"/>
  <c r="Q28" i="69"/>
  <c r="G28" i="69"/>
  <c r="Q27" i="69"/>
  <c r="N27" i="69"/>
  <c r="L27" i="69"/>
  <c r="L37" i="69" s="1"/>
  <c r="L601" i="69" s="1"/>
  <c r="G27" i="69"/>
  <c r="Q474" i="69"/>
  <c r="Q476" i="69" s="1"/>
  <c r="N474" i="69"/>
  <c r="N476" i="69" s="1"/>
  <c r="G474" i="69"/>
  <c r="N37" i="69" l="1"/>
  <c r="N601" i="69" s="1"/>
  <c r="Q37" i="69"/>
  <c r="Q491" i="69"/>
  <c r="Q492" i="69"/>
  <c r="Q493" i="69"/>
  <c r="Q495" i="69" l="1"/>
  <c r="Q601" i="69" s="1"/>
  <c r="D622" i="69"/>
  <c r="D621" i="69" l="1"/>
  <c r="M492" i="69" l="1"/>
  <c r="M491" i="69"/>
  <c r="M495" i="69" l="1"/>
  <c r="M601" i="69" s="1"/>
  <c r="D620" i="69" l="1"/>
  <c r="G435" i="69" l="1"/>
  <c r="D618" i="69" l="1"/>
  <c r="E619" i="69" l="1"/>
  <c r="E624" i="69" s="1"/>
  <c r="D619" i="69" l="1"/>
  <c r="D624" i="69" s="1"/>
  <c r="F626" i="69" l="1"/>
  <c r="D626" i="69" l="1"/>
  <c r="E626" i="69" s="1"/>
  <c r="G600" i="69" l="1"/>
  <c r="G577" i="69"/>
  <c r="G495" i="69"/>
  <c r="G490" i="69"/>
  <c r="G485" i="69"/>
  <c r="G476" i="69"/>
  <c r="G473" i="69"/>
  <c r="G26" i="69"/>
  <c r="G206" i="69" l="1"/>
  <c r="G37" i="69"/>
  <c r="G275" i="69"/>
  <c r="G573" i="69"/>
  <c r="G601" i="69" l="1"/>
</calcChain>
</file>

<file path=xl/sharedStrings.xml><?xml version="1.0" encoding="utf-8"?>
<sst xmlns="http://schemas.openxmlformats.org/spreadsheetml/2006/main" count="7711" uniqueCount="2101">
  <si>
    <t>v tis. Kč</t>
  </si>
  <si>
    <t>Číslo akce ADA</t>
  </si>
  <si>
    <t>Realizátor akce (zadavatel)</t>
  </si>
  <si>
    <t>Organizace</t>
  </si>
  <si>
    <t>Název akce</t>
  </si>
  <si>
    <t xml:space="preserve">Celkové náklady </t>
  </si>
  <si>
    <t>Jiné zdroje</t>
  </si>
  <si>
    <t>SK</t>
  </si>
  <si>
    <t xml:space="preserve">Materiální a technické vybavení pracoviště krizového řízení, zajištění komunikačních prostředků a informační podpory pro krizové řízení v kraji </t>
  </si>
  <si>
    <t>PROBÍHÁ VZ</t>
  </si>
  <si>
    <t>Výměna oken v budově KÚ</t>
  </si>
  <si>
    <t>PŘÍPRAVA VZ</t>
  </si>
  <si>
    <t>Investiční software dle konkrétních požadavků odborů</t>
  </si>
  <si>
    <t>REALIZACE</t>
  </si>
  <si>
    <t>Software pro Informační systém KÚ</t>
  </si>
  <si>
    <t>Obnova technologických center kraje - Praha a Kladno (TCK)</t>
  </si>
  <si>
    <t>Zvýšení kybernetické bezpečnosti informačního systému KÚ</t>
  </si>
  <si>
    <t>Příprava a zabezpečení staveb silnic II. a III. třídy a drážní stavby pro lehká kolejová vozidla-tramvaje</t>
  </si>
  <si>
    <t>KSÚS</t>
  </si>
  <si>
    <t>IDSK</t>
  </si>
  <si>
    <t>IDSK - vybavení IT technika</t>
  </si>
  <si>
    <t>Obec Postřižín - rekonstrukce povrchů komunikací včetně chodníků</t>
  </si>
  <si>
    <t>Gymnázium Říčany, Komenského 1280</t>
  </si>
  <si>
    <t>Výstavba nové tělocvičny u Gymnázia Říčany</t>
  </si>
  <si>
    <t>Střední průmyslová škola stavební a Obchodní akademie, Kladno, Cyrila Boudy 2954</t>
  </si>
  <si>
    <t>Vyšší odborná škola, Střední průmyslová škola a Jazyková škola s právem státní jazykové zkoušky, Kutná Hora, Masarykova 197</t>
  </si>
  <si>
    <t>Střední odborná škola a Střední odborné učiliště řemesel, Kutná Hora, Čáslavská 202</t>
  </si>
  <si>
    <t>Základní škola speciální, Mladá Boleslav, Václavkova 950</t>
  </si>
  <si>
    <t>Střední odborná škola a Střední odborné učiliště, Horky nad Jizerou 35</t>
  </si>
  <si>
    <t>Vyšší odborná škola a Střední zemědělská škola, Benešov, Mendelova 131</t>
  </si>
  <si>
    <t>Gymnázium Františka Palackého, Neratovice, Masarykova 450</t>
  </si>
  <si>
    <t>Střední odborná škola a Střední odborné učiliště, Vlašim, Zámek 1</t>
  </si>
  <si>
    <t>BEZ VZ</t>
  </si>
  <si>
    <t>Gymnázium Joachima Barranda, Beroun, Talichova 824</t>
  </si>
  <si>
    <t>Památník národního útlaku a odboje Panenské Břežany - III. etapa zahrada</t>
  </si>
  <si>
    <t>Muzeum Mladoboleslavska</t>
  </si>
  <si>
    <t>Galerie Středočeského kraje</t>
  </si>
  <si>
    <t>Rabasova galerie Rakovník</t>
  </si>
  <si>
    <t>Regionální muzeum v Kolíně</t>
  </si>
  <si>
    <t>Středočeské muzeum v Roztokách u Prahy</t>
  </si>
  <si>
    <t>Památník A. Dvořáka ve Vysoké u Příbrami</t>
  </si>
  <si>
    <t>Sbírkotvorná činnost příspěvkových organizací - rozšiřování sbírek nákupem předmětů</t>
  </si>
  <si>
    <t>Regionální muzeum v Jílovém u Prahy</t>
  </si>
  <si>
    <t>Hornické muzeum Příbram</t>
  </si>
  <si>
    <t xml:space="preserve">Sládečkovo vlastivědné muzeum v Kladně </t>
  </si>
  <si>
    <t>37/2019/KUL</t>
  </si>
  <si>
    <t xml:space="preserve">Výstavba vstupního objektu ve skanzenu Muzea lidových staveb v Kouřimi </t>
  </si>
  <si>
    <t>40/2019/KUL</t>
  </si>
  <si>
    <t>41/2019/KUL</t>
  </si>
  <si>
    <t>Rekonstrukce parku Památníku Antonína Dvořáka</t>
  </si>
  <si>
    <t>ON Kladno, a.s., nem. SČK</t>
  </si>
  <si>
    <t>ON Kolín, a.s., nem. SČK</t>
  </si>
  <si>
    <t>Pořízení zdravotnické technologie pro Pavilon "N" - neproplacené dotace ROP</t>
  </si>
  <si>
    <t>Nem. Rudolfa a Stefanie Benešov, a. s., nem. SČK</t>
  </si>
  <si>
    <t>Železniční zastávky v Hostivici, Chýni, Rudné a Jinočanech - neželezniční části</t>
  </si>
  <si>
    <t>Středočeská centrála cestovního ruchu</t>
  </si>
  <si>
    <t>RDK</t>
  </si>
  <si>
    <t>Domov Sedlčany</t>
  </si>
  <si>
    <t>Domov seniorů Vidim</t>
  </si>
  <si>
    <t>Domov seniorů Benešov</t>
  </si>
  <si>
    <t xml:space="preserve">Rekonstrukce budovy č.2 </t>
  </si>
  <si>
    <t>Domov Hostomice - Zátor</t>
  </si>
  <si>
    <t>Domov seniorů Uhlířské Janovice</t>
  </si>
  <si>
    <t>Nalžovický zámek</t>
  </si>
  <si>
    <t>Domov seniorů Nové Strašecí</t>
  </si>
  <si>
    <t>Projekt zvyšování bezpečnosti KÚSK</t>
  </si>
  <si>
    <t xml:space="preserve"> </t>
  </si>
  <si>
    <t>akce nově zařazené</t>
  </si>
  <si>
    <t>snížení celkových nákladů na akci</t>
  </si>
  <si>
    <t>akce zrušené, ukončené</t>
  </si>
  <si>
    <t>CELKEM</t>
  </si>
  <si>
    <t>Střední průmyslová škola strojírenská a Jazyková škola s právem státní jazykové zkoušky, Kolín IV, Heverova 191</t>
  </si>
  <si>
    <t>Střední odborné učiliště stavební, Benešov, Jana Nohy 1302</t>
  </si>
  <si>
    <t>Dětský domov, Unhošť, Berounská 1292</t>
  </si>
  <si>
    <t>Střední odborná škola a Střední odborné učiliště, Kladno, Dubská</t>
  </si>
  <si>
    <t>Sportovní gymnázium, Kladno, Plzeňská 3103</t>
  </si>
  <si>
    <t>Střední odborná škola informatiky a spojů a Střední odborné učiliště, Kolín, Jaselská 826</t>
  </si>
  <si>
    <t>Gymnázium a Střední odborná škola ekonomická, Sedlčany, Nádražní 90</t>
  </si>
  <si>
    <t>III/33420 Molitorov, most ev.č. 33420-1</t>
  </si>
  <si>
    <t>navýšení celkových nákladů na akci</t>
  </si>
  <si>
    <t>Domov Vraný</t>
  </si>
  <si>
    <t>89/2019/DOP</t>
  </si>
  <si>
    <t>102/2019/DOP</t>
  </si>
  <si>
    <t>Neurčito</t>
  </si>
  <si>
    <t>x</t>
  </si>
  <si>
    <t>průběžně</t>
  </si>
  <si>
    <t>Rozvoj Rabasovy galerie Rakovník, stavební úpravy a dostavba</t>
  </si>
  <si>
    <t>*</t>
  </si>
  <si>
    <t>Realizace fyzicky začala Ano/Ne</t>
  </si>
  <si>
    <t>018-34/2018/RK ze dne 5.11.2018 128-16/2018/ZK ze dne 24.11.2018</t>
  </si>
  <si>
    <t>Průběžně</t>
  </si>
  <si>
    <t>NE</t>
  </si>
  <si>
    <t>ANO</t>
  </si>
  <si>
    <t>ZRUŠENO</t>
  </si>
  <si>
    <t>Koupě zámku v Přerově nad Labem (splátky hodnoty nemovitosti jsou naplánovány na 5 let)</t>
  </si>
  <si>
    <t>UKONČENO</t>
  </si>
  <si>
    <t>.</t>
  </si>
  <si>
    <t>018-34/2018/RK ze dne 5.11.2018 128-16/2018/ZK ze dne 26.11.2018</t>
  </si>
  <si>
    <t>Zřízení vodorovného dopravního značení, bezpečnostní prvky</t>
  </si>
  <si>
    <t>celkem</t>
  </si>
  <si>
    <t>3</t>
  </si>
  <si>
    <t>1</t>
  </si>
  <si>
    <t>2</t>
  </si>
  <si>
    <t>4</t>
  </si>
  <si>
    <t>CELKEM 17 - Odbor sociálních věcí</t>
  </si>
  <si>
    <t>CELKEM 10 - Odbor životního prostředí a zemědělství</t>
  </si>
  <si>
    <t>CELKEM 07 - Odbor zdravotnictví</t>
  </si>
  <si>
    <t>CELKEM 06 - Odbor kultury a památkové péče</t>
  </si>
  <si>
    <t>CELKEM 05 - Odbor školství</t>
  </si>
  <si>
    <t>CELKEM 04 - Odbor dopravy</t>
  </si>
  <si>
    <t>CELKEM 03 - Odbor informatiky</t>
  </si>
  <si>
    <t>116/2019/SOC</t>
  </si>
  <si>
    <t>Domov Laguna, Psáry</t>
  </si>
  <si>
    <t>Domov Na Zámku, Lysá</t>
  </si>
  <si>
    <t>Odborné učiliště, Praktická škola, Základní škola a Mateřská škola Příbram IV</t>
  </si>
  <si>
    <t>vlastní prostředky PO, a.s.</t>
  </si>
  <si>
    <t>prostředky rozpočtu SK kromě kap. 12</t>
  </si>
  <si>
    <t>87/2019/SKOL</t>
  </si>
  <si>
    <t>116/2019/SKOL</t>
  </si>
  <si>
    <t>Gymnázium Dr. Josefa Pekaře, Mladá Boleslav, Palackého 211</t>
  </si>
  <si>
    <t>Středočeská vědecká knihovna v Kladně</t>
  </si>
  <si>
    <t>57/2019/KUL</t>
  </si>
  <si>
    <t xml:space="preserve">Místa pro kontrolu nákladních vozidel </t>
  </si>
  <si>
    <t>Rekonstrukce vážních míst VRN vozidel - II/101 Neratovice, II/101 Říčany, II/125 Kolín-Sendražice a II/331 Ovčáry u Mělníka</t>
  </si>
  <si>
    <t xml:space="preserve">Přípravné a projekční práce zabezpečení investičních staveb </t>
  </si>
  <si>
    <t>109/2019/DOP</t>
  </si>
  <si>
    <t>112/2019/DOP</t>
  </si>
  <si>
    <t>113/2019/DOP</t>
  </si>
  <si>
    <t>128/2019/DOP</t>
  </si>
  <si>
    <t>III/1057 komunikace na hrázi Dunávického rybníka</t>
  </si>
  <si>
    <t>Ústav archeologické památkové péče středních Čech</t>
  </si>
  <si>
    <t>snížení CN o 1 tis. Kč</t>
  </si>
  <si>
    <t>Rekonstrukce sociálních zařízení v budově KÚ</t>
  </si>
  <si>
    <t>Časový horizont změny aktuálního stavu (měsíc /rok)</t>
  </si>
  <si>
    <t>Zařazeno do Zásobníku investic usnesením RK/ZK</t>
  </si>
  <si>
    <t>203/2020/DOP</t>
  </si>
  <si>
    <t>Obnova budov cestmistrovství</t>
  </si>
  <si>
    <t>205/2020/DOP</t>
  </si>
  <si>
    <t>206/2020/DOP</t>
  </si>
  <si>
    <t>207/2020/DOP</t>
  </si>
  <si>
    <t xml:space="preserve"> Lineární směrovací systém (BESIP)</t>
  </si>
  <si>
    <t>213/2020/DOP</t>
  </si>
  <si>
    <t>II/336 Buda - Čejtice</t>
  </si>
  <si>
    <t>214/2020/DOP</t>
  </si>
  <si>
    <t>215/2020/DOP</t>
  </si>
  <si>
    <t>II/328 Sloveč - Kněžice</t>
  </si>
  <si>
    <t>224/2020/DOP</t>
  </si>
  <si>
    <t>Dopravní značení - omezení tranzitní dopravy</t>
  </si>
  <si>
    <t>Domov Seniorů Vojkov</t>
  </si>
  <si>
    <t>Domov u Anežky Luštěnice</t>
  </si>
  <si>
    <t>048-24/2019/RK ze dne  29.7.2019 088-20/2019/ZK ze dne 26.8.2019</t>
  </si>
  <si>
    <t>Instalace a oprava svodidel u silnic II. a III.tříd</t>
  </si>
  <si>
    <t>Výkup nové přípojky elektřiny Bratronice</t>
  </si>
  <si>
    <t>67/2020/KUL</t>
  </si>
  <si>
    <t>151/2020/SKOL</t>
  </si>
  <si>
    <t>Středočeský portál služeb</t>
  </si>
  <si>
    <t>2/2020/ŘDP</t>
  </si>
  <si>
    <t>Aktuální stav (Příprava VZ, Probíhá VZ, Realizace, Finanční vypořádání, Ukončeno,  Zrušeno)</t>
  </si>
  <si>
    <t>Rekonstrukce podatelny KÚ - část pro veřejnost</t>
  </si>
  <si>
    <t>71/2020/KUL</t>
  </si>
  <si>
    <t>246/2020/DOP</t>
  </si>
  <si>
    <t>III/1064 Nedvězí</t>
  </si>
  <si>
    <t>249/2020/DOP</t>
  </si>
  <si>
    <t>III/32819 Běrunice</t>
  </si>
  <si>
    <t>025-13/2020/RK ze dne 30.3.2020 115-24/2020/ZK ze dne 1.6.2020</t>
  </si>
  <si>
    <t>mimo rozpočet SK</t>
  </si>
  <si>
    <t>139/2020/ZDR</t>
  </si>
  <si>
    <t>Pavilon centrálního příjmu</t>
  </si>
  <si>
    <t>142/2020/ZDR</t>
  </si>
  <si>
    <t>Rekonstrukce objektu SO 03, pavilon "O"</t>
  </si>
  <si>
    <t>143/2020/ZDR</t>
  </si>
  <si>
    <t>Rekonstrukce objektu SO 05, pavilon "E"</t>
  </si>
  <si>
    <t xml:space="preserve">ZZS SČK, p. o. </t>
  </si>
  <si>
    <t>146/2020/ZDR</t>
  </si>
  <si>
    <t>Vybudování nového stanoviště ZZS SK, Benešov</t>
  </si>
  <si>
    <t>148/2020/ZDR</t>
  </si>
  <si>
    <t>ON Příbram, a. s.</t>
  </si>
  <si>
    <t>137/2020/SOC</t>
  </si>
  <si>
    <t>Domov seniorů Jenštejn</t>
  </si>
  <si>
    <t>Rozšíření kapacity Domova seniorů Jenštejn</t>
  </si>
  <si>
    <t>138/2020/SOC</t>
  </si>
  <si>
    <t>Rozšíření objektu Domov u Anežky Luštenice</t>
  </si>
  <si>
    <t>II/322 Týnec nad Labem, most ev.č.322-005-oprava mostu v režimu "vyprojektuj a postav" ve smyslu Žluté knihy FIDIC</t>
  </si>
  <si>
    <t>254/2020/DOP</t>
  </si>
  <si>
    <t>úvěr EIB</t>
  </si>
  <si>
    <t>Výkup pozemků (včetně pod stávající sítí) - silniční síť</t>
  </si>
  <si>
    <t>FINANČNÍ VYPOŘÁDÁNÍ</t>
  </si>
  <si>
    <t>040-84/2020/RK ze dne 26.11.2020 021-2/2020/ZK ze dne 14.12.2020</t>
  </si>
  <si>
    <t>76/2021/KUL</t>
  </si>
  <si>
    <t>Hornický domek v areálu Ševčinské štoly</t>
  </si>
  <si>
    <t>12/2024</t>
  </si>
  <si>
    <t>11/2024</t>
  </si>
  <si>
    <t>II/339 Štipoklasy - Červené Janovice</t>
  </si>
  <si>
    <t>256/2021/DOP</t>
  </si>
  <si>
    <t>III/1114 Líšno, svah a část vozovky</t>
  </si>
  <si>
    <t>Pozn. - číselné hodnoty finančních prostředků jsou ukládány s přesností na haléře, pro přehlednost jsou zobrazovány zaokrouhleně na celé tis. Kč.</t>
  </si>
  <si>
    <t>Rekonstrukce a přístavba budovy N a D2</t>
  </si>
  <si>
    <t>CELKEM 26 - Odbor veřejné mobility</t>
  </si>
  <si>
    <t>CELKEM 25 - Odbor bezpečnosti a krizového řízení</t>
  </si>
  <si>
    <t xml:space="preserve"> Kap. 12    celkem             </t>
  </si>
  <si>
    <t>CELKEM 08 - Oddělení regionálního rozvoje</t>
  </si>
  <si>
    <t xml:space="preserve">PD + Rekonstrukce osvětlení  - veřejné prostory KÚ </t>
  </si>
  <si>
    <t>ORP</t>
  </si>
  <si>
    <t>Mladá Boleslav</t>
  </si>
  <si>
    <t>Černošice</t>
  </si>
  <si>
    <t>Sedlčany</t>
  </si>
  <si>
    <t>Říčany</t>
  </si>
  <si>
    <t>Neratovice</t>
  </si>
  <si>
    <t>Benešov</t>
  </si>
  <si>
    <t>Kutná Hora</t>
  </si>
  <si>
    <t>Nymburk</t>
  </si>
  <si>
    <t>Beroun</t>
  </si>
  <si>
    <t>Kolín</t>
  </si>
  <si>
    <t>Slaný</t>
  </si>
  <si>
    <t>Mnichovo Hradiště</t>
  </si>
  <si>
    <t>Rakovník</t>
  </si>
  <si>
    <t>Poděbrady</t>
  </si>
  <si>
    <t>Kladno</t>
  </si>
  <si>
    <t>Příbram</t>
  </si>
  <si>
    <t>Český Brod</t>
  </si>
  <si>
    <t>Mělník</t>
  </si>
  <si>
    <t>Dobříš</t>
  </si>
  <si>
    <t>Vlašim</t>
  </si>
  <si>
    <t>Hořovice</t>
  </si>
  <si>
    <t>Votice</t>
  </si>
  <si>
    <t>Nákup a obnova výpočetní techniky a zařízení</t>
  </si>
  <si>
    <t>Pořízení nových kopírovacích strojů pro KÚ</t>
  </si>
  <si>
    <t>Výměna garážových vrat na KÚ</t>
  </si>
  <si>
    <t>Chytrý úřad - elektronický vnitřní informační systém KÚ</t>
  </si>
  <si>
    <t>177/2021/SKOL</t>
  </si>
  <si>
    <t>Základní škola, Zruč nad Sázavou, Okružní 643</t>
  </si>
  <si>
    <t>178/2021/SKOL</t>
  </si>
  <si>
    <t>180/2021/SKOL</t>
  </si>
  <si>
    <t>Základní škola, Brandýs nad Labem - Stará Boleslav, příspěvková organizace</t>
  </si>
  <si>
    <t>181/2021/SKOL</t>
  </si>
  <si>
    <t>182/2021/SKOL</t>
  </si>
  <si>
    <t>Úprava půdních prostorů DM Jaselská</t>
  </si>
  <si>
    <t>184/2021/SKOL</t>
  </si>
  <si>
    <t>259/2021/DOP</t>
  </si>
  <si>
    <t>III/11816 Jelence</t>
  </si>
  <si>
    <t>82/2021/KUL</t>
  </si>
  <si>
    <t>Oblastní muzeum Praha - východ</t>
  </si>
  <si>
    <t>83/2021/KUL</t>
  </si>
  <si>
    <t>REKO soc. zařízení DM-SOŠ a SOU řemesel KH</t>
  </si>
  <si>
    <t>Nový objekt základní školy speciální - Mladá Boleslav</t>
  </si>
  <si>
    <t>Výměna el. rozvodů - dílny - OU, PŠ, ZŠ Příbram</t>
  </si>
  <si>
    <t>Odizolování základů-Gym. F. Palackého, Neratovice</t>
  </si>
  <si>
    <t>Nová budova ZŠ - Brandýs nad Labem</t>
  </si>
  <si>
    <t>Hotelová škola Poděbrady, příspěvková organizace</t>
  </si>
  <si>
    <t>Modernizace školních kuchyněk - HŠ Poděbrady</t>
  </si>
  <si>
    <t>1/2011/INF</t>
  </si>
  <si>
    <t>3/2013/INF</t>
  </si>
  <si>
    <t>5/2018/INF</t>
  </si>
  <si>
    <t>6/2018/INF</t>
  </si>
  <si>
    <t>9/2018/INF</t>
  </si>
  <si>
    <t>10/2018/INF</t>
  </si>
  <si>
    <t>1/2013/DOP</t>
  </si>
  <si>
    <t>2/2006/DOP</t>
  </si>
  <si>
    <t>35/2018/DOP</t>
  </si>
  <si>
    <t>6/2017/SKOL</t>
  </si>
  <si>
    <t>17/2017/SKOL</t>
  </si>
  <si>
    <t>18/2017/SKOL</t>
  </si>
  <si>
    <t>31/2018/SKOL</t>
  </si>
  <si>
    <t>66/2018/SKOL</t>
  </si>
  <si>
    <t>1/2011/KUL</t>
  </si>
  <si>
    <t>20/2018/KUL</t>
  </si>
  <si>
    <t>29/2018/KUL</t>
  </si>
  <si>
    <t>32/2018/KUL</t>
  </si>
  <si>
    <t>2/2012/ZDR</t>
  </si>
  <si>
    <t>4/2015/ZDR</t>
  </si>
  <si>
    <t>1/2014/REG</t>
  </si>
  <si>
    <t>4/2017/SOC</t>
  </si>
  <si>
    <t>12/2017/SOC</t>
  </si>
  <si>
    <t>1/2018/OBŘ</t>
  </si>
  <si>
    <t>2/2016/OBŘ</t>
  </si>
  <si>
    <t>1/2017/OVM</t>
  </si>
  <si>
    <t>2/2019/OVM</t>
  </si>
  <si>
    <t>č. inv. akce</t>
  </si>
  <si>
    <t>Rekonstrukce elektrických rozvodů a svítidel - Gym. Dr. Pekaře, Mladá Boleslav</t>
  </si>
  <si>
    <t>z toho EIB</t>
  </si>
  <si>
    <t xml:space="preserve">Legenda </t>
  </si>
  <si>
    <t>Senzorické zabezpečení silnic Středočeského kraje</t>
  </si>
  <si>
    <t>047-42/2021/RK ze dne 11.11.2021 031-11/2021/ZK ze dne 29.11.2021</t>
  </si>
  <si>
    <t>261/2021/DOP</t>
  </si>
  <si>
    <t>Areál CMS Říčany - dostavba areálu</t>
  </si>
  <si>
    <t>262/2021/DOP</t>
  </si>
  <si>
    <t>III33355 Kutná Hora, Gruntecká</t>
  </si>
  <si>
    <t>Čáslav</t>
  </si>
  <si>
    <t>187/2022/SKOL</t>
  </si>
  <si>
    <t>Gymnázium Hostivice, příspěvková organizace</t>
  </si>
  <si>
    <t>Nástavba budovy Gymnázia Hostivice</t>
  </si>
  <si>
    <t>Rekonstrukce / revitalizace areálu Regionálního muzea v Jílovém u Prahy</t>
  </si>
  <si>
    <t>147/2022/SOC</t>
  </si>
  <si>
    <t>6/2021/OVM</t>
  </si>
  <si>
    <t>Vyznačení EuroVelo 4 CT 39 Zdice - hranice Plzeňského kraje</t>
  </si>
  <si>
    <t>Rakovník, Beroun</t>
  </si>
  <si>
    <t>7/2021/OVM</t>
  </si>
  <si>
    <t>Vyznačení EuroVelo 7 CT 7 Praha - hranice Jihočeského kraje</t>
  </si>
  <si>
    <t xml:space="preserve">Černošice, Příbram, Sedlčany, </t>
  </si>
  <si>
    <t>8/2021/OVM</t>
  </si>
  <si>
    <t>Vyznačení CT1 Kouřim - Kutná Hora</t>
  </si>
  <si>
    <t>Kutná Hora, Kolín</t>
  </si>
  <si>
    <t>Výstavba nového centrálního muzejního depozitáře pro RM Kolín</t>
  </si>
  <si>
    <t>Polabské muzeum</t>
  </si>
  <si>
    <t>Adaptace expozičních objektů pro veřejnost "Hrabalova chata"</t>
  </si>
  <si>
    <t>87/2022/KUL</t>
  </si>
  <si>
    <t>Centrum 83</t>
  </si>
  <si>
    <t>Kralupy n. Vl.</t>
  </si>
  <si>
    <t>2/2024</t>
  </si>
  <si>
    <t>Muzeum Českého krasu</t>
  </si>
  <si>
    <t>90/2022/KUL</t>
  </si>
  <si>
    <t>4/2024</t>
  </si>
  <si>
    <t>268/2021/DOP</t>
  </si>
  <si>
    <t>III/32926 x III/33014 Bobnice zpřehlednění křižovatky a rekonstrukce autobusových zastávek</t>
  </si>
  <si>
    <t>7/2024</t>
  </si>
  <si>
    <t>9/2024</t>
  </si>
  <si>
    <t>Akce EPC II - energetické úspory Středočeského kraje - soubor objektů č. 7</t>
  </si>
  <si>
    <t>Akce EPC II - energetické úspory Středočeského kraje - soubor objektů č. 8</t>
  </si>
  <si>
    <t>Akce EPC II - energetické úspory Středočeského kraje - soubor objektů č. 9</t>
  </si>
  <si>
    <t>Akce EPC II - energetické úspory Středočeského kraje - soubor objektů č. 10</t>
  </si>
  <si>
    <t>Akce EPC II - energetické úspory Středočeského kraje - soubor objektů č. 11</t>
  </si>
  <si>
    <t>10/2024</t>
  </si>
  <si>
    <t xml:space="preserve">Rekonstrukce el. rozvodů </t>
  </si>
  <si>
    <t>Domov Buda</t>
  </si>
  <si>
    <t>Domov Unhošť</t>
  </si>
  <si>
    <t>162/2022/SOC</t>
  </si>
  <si>
    <t>Domov Slaný</t>
  </si>
  <si>
    <t>Vyšší Hrádek</t>
  </si>
  <si>
    <t>Centrum Rožmitál</t>
  </si>
  <si>
    <t>Přenosné osobní pokladny a revizorské vybavení</t>
  </si>
  <si>
    <t>9/2022/OVM</t>
  </si>
  <si>
    <t>Cyklostezka Koloděje  – Sibřina (po místní komunikaci)</t>
  </si>
  <si>
    <t>Výstavba úložných prostor a výměna střešní krytiny a oplechování Arnoldinovského domu</t>
  </si>
  <si>
    <t>Muzeum Podblanicka</t>
  </si>
  <si>
    <t>97/2022/KUL</t>
  </si>
  <si>
    <t>Aktualizace serverového a IT vybavení poboček Hornického muzea v Příbrami</t>
  </si>
  <si>
    <t>98/2022/KUL</t>
  </si>
  <si>
    <t>Vybudování příjezdové cesty k nákladní rampě depozitáře</t>
  </si>
  <si>
    <t>České muzeum stříbra</t>
  </si>
  <si>
    <t>Muzeum T.G.M. Rakovník</t>
  </si>
  <si>
    <t>Rozšíření expozičního prostoru Brandýsské katovny</t>
  </si>
  <si>
    <t>118/2022/KUL</t>
  </si>
  <si>
    <t>Stavebně-technická obnova Památníku Josefa Lady v Hrusicích</t>
  </si>
  <si>
    <t>Regionální muzeum Mělník</t>
  </si>
  <si>
    <t>Rekonstrukce elektroinstalace III. NP-SPŠ strojírenská, Kolín</t>
  </si>
  <si>
    <t>189/2019/SKOL</t>
  </si>
  <si>
    <t>Zabezpečení ochrany školy</t>
  </si>
  <si>
    <t>280/2021/DOP</t>
  </si>
  <si>
    <t>II/328, III/3279 a III/3287 Jestřabí Lhota</t>
  </si>
  <si>
    <t>285/2021/DOP</t>
  </si>
  <si>
    <t>II/272 Benátky nad Jizerou, připojení na silnici III/27212</t>
  </si>
  <si>
    <t>ON Mladá Boleslav, a. s., nem. SČK</t>
  </si>
  <si>
    <t>Podněty PČR, připraveny návrhy zlepšení BESIP</t>
  </si>
  <si>
    <t>299/2021/DOP</t>
  </si>
  <si>
    <t>Havarijní stav mostu ev.č. 114-017</t>
  </si>
  <si>
    <t>302/2021/DOP</t>
  </si>
  <si>
    <t>305/2021/DOP</t>
  </si>
  <si>
    <t>BESIP-III/27944 Žerčice, úprava vjezdu do obce</t>
  </si>
  <si>
    <t>309/2021/DOP</t>
  </si>
  <si>
    <t>311/2021/DOP</t>
  </si>
  <si>
    <t>190/2022/SKOL</t>
  </si>
  <si>
    <t>Střední odborné učiliště, Hubálov 17</t>
  </si>
  <si>
    <t>2/2022/OZP</t>
  </si>
  <si>
    <t>Projektová a inženýrská příprava Vodovodního přivaděče D3 do fáze projektové dokumentace do stadia získání stavebního povolení</t>
  </si>
  <si>
    <t>3/2022/OZP</t>
  </si>
  <si>
    <t>Projektová a inženýrská příprava na Vyvolaná opatření na Posázavském vodovodu</t>
  </si>
  <si>
    <t>4/2022/OZP</t>
  </si>
  <si>
    <t>Projektová a inženýrská příprava na Vyvolaná opatření na vodovodu Javorník - Benešov</t>
  </si>
  <si>
    <t>11/2022/OVM</t>
  </si>
  <si>
    <t>VDZ pro cyklistickou dopravu</t>
  </si>
  <si>
    <t>Benešov, Sedlčany, Votice</t>
  </si>
  <si>
    <t>Snížení CN o 14 tis. Kč</t>
  </si>
  <si>
    <t>177/2022/SOC</t>
  </si>
  <si>
    <t>Domov Pod Lipami Smečno</t>
  </si>
  <si>
    <t>Rekonstrukce komunikací v objektu domova pro seniory</t>
  </si>
  <si>
    <t>178/2022/SOC</t>
  </si>
  <si>
    <t xml:space="preserve">Vybudování EPS v Domově </t>
  </si>
  <si>
    <t>179/2022/SOC</t>
  </si>
  <si>
    <t>Rekonstrukce ohradní zdi domova</t>
  </si>
  <si>
    <t>Památník Karla Čapka ve Staré Huti u Dobříše</t>
  </si>
  <si>
    <t>Střední odborná škola a Střední odborné učiliště, Neratovice, Školní 664</t>
  </si>
  <si>
    <t>II/236 Černín, nestabilní svah</t>
  </si>
  <si>
    <t>III/11210 Městečko</t>
  </si>
  <si>
    <t>Probíhá soudní spor</t>
  </si>
  <si>
    <t>1/2011/OHS</t>
  </si>
  <si>
    <t>2/2011/OHS</t>
  </si>
  <si>
    <t>3/2015/OHS</t>
  </si>
  <si>
    <t>11/2019/OHS</t>
  </si>
  <si>
    <t>15/2020/OHS</t>
  </si>
  <si>
    <t>16/2020/OHS</t>
  </si>
  <si>
    <t>20/2021/OHS</t>
  </si>
  <si>
    <t>22/2021/OHS</t>
  </si>
  <si>
    <t>23/2021/OHS</t>
  </si>
  <si>
    <t>24/2021/OHS</t>
  </si>
  <si>
    <t>CELKEM 02 - Odbor hospodářské správy</t>
  </si>
  <si>
    <t>CELKEM 11 - Odbor majetku</t>
  </si>
  <si>
    <t>01911</t>
  </si>
  <si>
    <t>01513</t>
  </si>
  <si>
    <t>03151</t>
  </si>
  <si>
    <t>06071</t>
  </si>
  <si>
    <t>07083</t>
  </si>
  <si>
    <t>06860</t>
  </si>
  <si>
    <t>01514</t>
  </si>
  <si>
    <t>02821</t>
  </si>
  <si>
    <t>04972</t>
  </si>
  <si>
    <t>04971</t>
  </si>
  <si>
    <t>05482</t>
  </si>
  <si>
    <t>05549</t>
  </si>
  <si>
    <t>00120</t>
  </si>
  <si>
    <t>00121</t>
  </si>
  <si>
    <t>06044</t>
  </si>
  <si>
    <t>06432</t>
  </si>
  <si>
    <t>06290</t>
  </si>
  <si>
    <t>05940</t>
  </si>
  <si>
    <t>06720</t>
  </si>
  <si>
    <t>06828</t>
  </si>
  <si>
    <t>06218</t>
  </si>
  <si>
    <t>06744</t>
  </si>
  <si>
    <t>06745</t>
  </si>
  <si>
    <t>07103</t>
  </si>
  <si>
    <t>06903</t>
  </si>
  <si>
    <t>04848</t>
  </si>
  <si>
    <t>03709</t>
  </si>
  <si>
    <t>03847</t>
  </si>
  <si>
    <t>04093</t>
  </si>
  <si>
    <t>04063</t>
  </si>
  <si>
    <t>04988</t>
  </si>
  <si>
    <t>06984</t>
  </si>
  <si>
    <t>07107</t>
  </si>
  <si>
    <t>06985</t>
  </si>
  <si>
    <t>07108</t>
  </si>
  <si>
    <t>06981</t>
  </si>
  <si>
    <t>07102</t>
  </si>
  <si>
    <t>01913</t>
  </si>
  <si>
    <t>05086</t>
  </si>
  <si>
    <t>05458</t>
  </si>
  <si>
    <t>05464</t>
  </si>
  <si>
    <t>05560</t>
  </si>
  <si>
    <t>05563</t>
  </si>
  <si>
    <t>05564</t>
  </si>
  <si>
    <t>05876</t>
  </si>
  <si>
    <t>06944</t>
  </si>
  <si>
    <t>06706</t>
  </si>
  <si>
    <t>06710</t>
  </si>
  <si>
    <t>07170</t>
  </si>
  <si>
    <t>07105</t>
  </si>
  <si>
    <t>07153</t>
  </si>
  <si>
    <t>02170</t>
  </si>
  <si>
    <t>01500</t>
  </si>
  <si>
    <t>06412</t>
  </si>
  <si>
    <t>06414</t>
  </si>
  <si>
    <t>06730</t>
  </si>
  <si>
    <t>02348</t>
  </si>
  <si>
    <t>07112</t>
  </si>
  <si>
    <t>07113</t>
  </si>
  <si>
    <t>07114</t>
  </si>
  <si>
    <t>04267</t>
  </si>
  <si>
    <t>04634</t>
  </si>
  <si>
    <t>04724</t>
  </si>
  <si>
    <t>03475</t>
  </si>
  <si>
    <t>03947</t>
  </si>
  <si>
    <t>06961</t>
  </si>
  <si>
    <t>06958</t>
  </si>
  <si>
    <t>06959</t>
  </si>
  <si>
    <t>06960</t>
  </si>
  <si>
    <t>06962</t>
  </si>
  <si>
    <t>07188</t>
  </si>
  <si>
    <t>06722</t>
  </si>
  <si>
    <t>07193</t>
  </si>
  <si>
    <t>07254</t>
  </si>
  <si>
    <t xml:space="preserve">Nákup potřebných licencí programového vybavení.  </t>
  </si>
  <si>
    <t>Modernizace zasedacích a technických místností</t>
  </si>
  <si>
    <t>5/2024</t>
  </si>
  <si>
    <t xml:space="preserve"> Revitalizace plášťů budov včetně balkońů a technického vybavení Domova seniorů Sedlčany</t>
  </si>
  <si>
    <t>181/2022/SOC</t>
  </si>
  <si>
    <t>183/2023/SOC</t>
  </si>
  <si>
    <t>Komunikační a dorozumívací zařízení pro klienty a zaměstnance</t>
  </si>
  <si>
    <t>184/2023/SOC</t>
  </si>
  <si>
    <t>Zabezpečovací prvky v domově</t>
  </si>
  <si>
    <t>190/2023/SOC</t>
  </si>
  <si>
    <t>Revitalizace střechy levé křídlo</t>
  </si>
  <si>
    <t>191/2023/SOC</t>
  </si>
  <si>
    <t xml:space="preserve">Rekonstrukce historické pavlače </t>
  </si>
  <si>
    <t>192/2023/SOC</t>
  </si>
  <si>
    <t xml:space="preserve">Rekonstrukce prádelny </t>
  </si>
  <si>
    <t>195/2023/SOC</t>
  </si>
  <si>
    <t>Vybudování EPS</t>
  </si>
  <si>
    <t>196/2023/SOC</t>
  </si>
  <si>
    <t>Domov Iváň</t>
  </si>
  <si>
    <t>Dovybaveni EPS k zapojení na CP</t>
  </si>
  <si>
    <t>197/2023/SOC</t>
  </si>
  <si>
    <t>Domov Krajánek</t>
  </si>
  <si>
    <t xml:space="preserve">Rekonstrukce EPS </t>
  </si>
  <si>
    <t>198/2023/SOC</t>
  </si>
  <si>
    <t>Vybudování EPS včetně PBŘ</t>
  </si>
  <si>
    <t>199/2023/SOC</t>
  </si>
  <si>
    <t>Domov Mladá</t>
  </si>
  <si>
    <t>200/2023/SOC</t>
  </si>
  <si>
    <t>Elektronická požární signalizace a nouzový zvukový systém Domov Sedlčany</t>
  </si>
  <si>
    <t>Červený mlýn Všestudy</t>
  </si>
  <si>
    <t xml:space="preserve">Domov Velvary </t>
  </si>
  <si>
    <t>Domov Velvary</t>
  </si>
  <si>
    <t>314/2023/DOP</t>
  </si>
  <si>
    <t>Silnice II/120 Dobrošovice – rekonstrukce opěrné zdi</t>
  </si>
  <si>
    <t>315/2023/DOP</t>
  </si>
  <si>
    <t>II/112, II/125 Vlašim</t>
  </si>
  <si>
    <t>317/2023/DOP</t>
  </si>
  <si>
    <t>320/2023/DOP</t>
  </si>
  <si>
    <t>III/00325 Jažlovice</t>
  </si>
  <si>
    <t>322/2023/DOP</t>
  </si>
  <si>
    <t>II/240 Tursko</t>
  </si>
  <si>
    <t>324/2023/DOP</t>
  </si>
  <si>
    <t>III/0066 Hostouň</t>
  </si>
  <si>
    <t>327/2023/DOP</t>
  </si>
  <si>
    <t>III/27229 Rokytovec - Vinec</t>
  </si>
  <si>
    <t>328/2023/DOP</t>
  </si>
  <si>
    <t>III/27940 Domousnice - Bačálka</t>
  </si>
  <si>
    <t>329/2023/DOP</t>
  </si>
  <si>
    <t>II/605 Cerhovice</t>
  </si>
  <si>
    <t>07302</t>
  </si>
  <si>
    <t>1/2024</t>
  </si>
  <si>
    <t>07242</t>
  </si>
  <si>
    <t>194/2023/SKOL</t>
  </si>
  <si>
    <t>sloučené, rozdělené akce, změna názvu akce, změna financování, změna způsobu financování, převod do jiného odboru, změna realizátora</t>
  </si>
  <si>
    <t>12/2025</t>
  </si>
  <si>
    <t>Rozvoj informačního centra keltské kultury - 3 významná sídliště – oppida Závist, Stradonice a Hrazany</t>
  </si>
  <si>
    <t>6/2024</t>
  </si>
  <si>
    <t>snížení CN o 1 tis. Kč, akce ukončena</t>
  </si>
  <si>
    <t>125/2023/KUL</t>
  </si>
  <si>
    <t>126/2023/KUL</t>
  </si>
  <si>
    <t>Demontáž a převoz sýpky z Bakova nad Jizerou do MLS Kouřim</t>
  </si>
  <si>
    <t>Praha</t>
  </si>
  <si>
    <t>137/2023/KUL</t>
  </si>
  <si>
    <t>Obnova naučné stezky Karla Čapka</t>
  </si>
  <si>
    <t>142/2023/KUL</t>
  </si>
  <si>
    <t>EPS a EZS Muzea na pracovištích v Mladé Boleslavi a v Bělé p. B.</t>
  </si>
  <si>
    <t xml:space="preserve">Gymnázium, Příbram, Legionářů 402 </t>
  </si>
  <si>
    <t>oranžově podbarveno (celý řádek) + poznámka (komentář k důvodu zařazení nové akce)</t>
  </si>
  <si>
    <t>červené písmo (celý řádek)+ poznámka (odůvodnění)</t>
  </si>
  <si>
    <t>modré písmo (celý řádek) + poznámka</t>
  </si>
  <si>
    <t>písmo škrtnuto (celý řádek)</t>
  </si>
  <si>
    <t>zeleně podbarveno (celý řádek) + poznámka</t>
  </si>
  <si>
    <t>06731</t>
  </si>
  <si>
    <t>CELKEM 09 - Odbor řízení dotačních projektů</t>
  </si>
  <si>
    <t>1.plán. období       (1.1.-30.4.)</t>
  </si>
  <si>
    <t>2.plán. období       (1.5.-31.8.)</t>
  </si>
  <si>
    <t>3.plán. období     (1.9.-31.12.)</t>
  </si>
  <si>
    <t>07299</t>
  </si>
  <si>
    <t>06918</t>
  </si>
  <si>
    <t>Obměna vozového parku KÚ</t>
  </si>
  <si>
    <t>26/2023/OHS</t>
  </si>
  <si>
    <t>Rekonstrukce V. patra - střední budovy</t>
  </si>
  <si>
    <t>7/2022/ŘDP</t>
  </si>
  <si>
    <t>8/2023/ŘDP</t>
  </si>
  <si>
    <t>SW na správu dotací SK</t>
  </si>
  <si>
    <t>06327</t>
  </si>
  <si>
    <t>z toho vlastní zdroje SK</t>
  </si>
  <si>
    <t>Rekonstrukce historického hospodářského stavení a revitalizace zahrady v Dolní Krupé</t>
  </si>
  <si>
    <t>Modernizace a rekonstrukce vstupu do Polabského národopisného muzea v Přerově nad Labem</t>
  </si>
  <si>
    <t>Obnova střechy objektu na rychtě z Bradlecké Lhoty a pecí v chalupě z Budče a statku z Týřovic v areálu Muzea lidových staveb v Kouřimi</t>
  </si>
  <si>
    <t>145/2023/KUL</t>
  </si>
  <si>
    <t>6/2025</t>
  </si>
  <si>
    <t>146/2023/KUL</t>
  </si>
  <si>
    <t>Adaptace prostoru čítárny SVKKL na víceúčelový sál</t>
  </si>
  <si>
    <t>149/2023/KUL</t>
  </si>
  <si>
    <t>Zaměření stávajícího stavu objektu Gen. Klapálka čp. 1641, Kladno - metoda BIM</t>
  </si>
  <si>
    <t>151/2023/KUL</t>
  </si>
  <si>
    <t>Zajištění bezpečnosti návštěvnického provozu</t>
  </si>
  <si>
    <t>153/2023/KUL</t>
  </si>
  <si>
    <t>Pořízení nového dodávkového vozidla pro areál Skanzenu Vysoký Chlumec</t>
  </si>
  <si>
    <t>154/2023/KUL</t>
  </si>
  <si>
    <t>Pořízení nového dodávkového vozidla pro areál Hornického skanzenu na Březových Horách</t>
  </si>
  <si>
    <t>155/2023/KUL</t>
  </si>
  <si>
    <t>Pořízení nového osobního vozidla pro areál Památníku Vojna</t>
  </si>
  <si>
    <t>158/2023/KUL</t>
  </si>
  <si>
    <t>Úprava bastionu pro komerční skladování a podporu enologie</t>
  </si>
  <si>
    <t>159/2023/KUL</t>
  </si>
  <si>
    <t>Zahrady GASK – hygienické zázemí pro konzumaci „to-go“</t>
  </si>
  <si>
    <t>160/2023/KUL</t>
  </si>
  <si>
    <t>Nové expoziční osvětlení pro Muzeum T. G. Masaryka v Lánech</t>
  </si>
  <si>
    <t>161/2023/KUL</t>
  </si>
  <si>
    <t>Vybudování altánu pro edukační a kulturní aktivity v Muzeu Alice G. Masarykové</t>
  </si>
  <si>
    <t>162/2023/KUL</t>
  </si>
  <si>
    <t>Vybudování nové pokladny a zázemí pro návštěvníky včetně bezbariérového přístupu v Muzeu Rakovník</t>
  </si>
  <si>
    <t>07339</t>
  </si>
  <si>
    <t>07340</t>
  </si>
  <si>
    <t>07342</t>
  </si>
  <si>
    <t>Nástavba budovy Gymnázia Příbram - PD</t>
  </si>
  <si>
    <t>195/2023/SKOL</t>
  </si>
  <si>
    <t>Vybavení tělocvičny a přístavby učeben gymnázia Říčany</t>
  </si>
  <si>
    <t>196/2023/SKOL</t>
  </si>
  <si>
    <t>Stavební úpravy stávající učebny a půdní vestavba nových učeben Gymnázia Říčany - PD</t>
  </si>
  <si>
    <t>197/2023/SKOL</t>
  </si>
  <si>
    <t>198/2023/SKOL</t>
  </si>
  <si>
    <t>Vybudování venkovního sportoviště - SOŠ informatiky a spojů a SOU , Kolín</t>
  </si>
  <si>
    <t>199/2023/SKOL</t>
  </si>
  <si>
    <t>200/2023/SKOL</t>
  </si>
  <si>
    <t>Tělocvična pro Gymnázium Joachima Barranda - PD</t>
  </si>
  <si>
    <t>III/32914 Kostelní Lhota-Pečky</t>
  </si>
  <si>
    <t>330/2023/DOP</t>
  </si>
  <si>
    <t>III/2451 Stará Boleslav, ulice Okružní</t>
  </si>
  <si>
    <t>331/2023/DOP</t>
  </si>
  <si>
    <t>III/0093 Zlonín – Jiřice</t>
  </si>
  <si>
    <t>332/2023/DOP</t>
  </si>
  <si>
    <t>333/2023/DOP</t>
  </si>
  <si>
    <t>III/00324 Otice-Všechromy</t>
  </si>
  <si>
    <t>334/2023/DOP</t>
  </si>
  <si>
    <t>335/2023/DOP</t>
  </si>
  <si>
    <t>III/27522 a III/27950 Rožďalovice, Nový chodník v ul. Tyršova  a zvýšení bezpečnosti v ul. Boleslavská a ul. Tyršova Rožďalovice</t>
  </si>
  <si>
    <t>336/2023/DOP</t>
  </si>
  <si>
    <t>II/275 Zábrdovice Dymokury</t>
  </si>
  <si>
    <t>337/2023/DOP</t>
  </si>
  <si>
    <t>Geoportál KSÚS SK</t>
  </si>
  <si>
    <t>163/2023/KUL</t>
  </si>
  <si>
    <t>202/2023/SOC</t>
  </si>
  <si>
    <t>Vybudování nové EPS v objektu Zámku a Kláštera Domova Rožďalovice</t>
  </si>
  <si>
    <t>Domov Rožďalovice</t>
  </si>
  <si>
    <t>203/2023/SOC</t>
  </si>
  <si>
    <t>Připojení EPS na pult centrální ochrany</t>
  </si>
  <si>
    <t>Domov seniorů Rudná</t>
  </si>
  <si>
    <t>204/2023/SOC</t>
  </si>
  <si>
    <t>Domov Barbora Kutná Hora</t>
  </si>
  <si>
    <t>206/2023/SOC</t>
  </si>
  <si>
    <t>207/2023/SOC</t>
  </si>
  <si>
    <t>Rekonstrukce střechy Koniklec  Suchomasty</t>
  </si>
  <si>
    <t>Domov Koniklec Suchomasty</t>
  </si>
  <si>
    <t>05622</t>
  </si>
  <si>
    <t>8/2025</t>
  </si>
  <si>
    <t>8/2026</t>
  </si>
  <si>
    <t>12/2026</t>
  </si>
  <si>
    <t>14/2023/OVM</t>
  </si>
  <si>
    <t xml:space="preserve">Obnova vozidla pro zastávkovou službu </t>
  </si>
  <si>
    <t>15/2023/OVM</t>
  </si>
  <si>
    <t>Informační cedule k zahájení staveb</t>
  </si>
  <si>
    <t>3/2022/ŘDP</t>
  </si>
  <si>
    <t>4/2022/ŘDP</t>
  </si>
  <si>
    <t>5/2022/ŘDP</t>
  </si>
  <si>
    <t>155/2023/ZDR</t>
  </si>
  <si>
    <t>163/2023/ZDR</t>
  </si>
  <si>
    <t>Stavební úpravy vjezdu do nemocnice</t>
  </si>
  <si>
    <t>3/2024</t>
  </si>
  <si>
    <t>164/2023/ZDR</t>
  </si>
  <si>
    <t>Ústavní kuchyně a jídelna</t>
  </si>
  <si>
    <t>165/2023/ZDR</t>
  </si>
  <si>
    <t>165/2023/KUL</t>
  </si>
  <si>
    <t>Kompletní rekonstrukce počítačové sítě včetně zabezpečení, zálohování  a archivace dat, cloudové řešení</t>
  </si>
  <si>
    <t>166/2023/KUL</t>
  </si>
  <si>
    <t>167/2023/KUL</t>
  </si>
  <si>
    <t>Rekonstrukce Turistického informačního centra</t>
  </si>
  <si>
    <t>Sládečkovo vlastivědné muzeum v Kladně</t>
  </si>
  <si>
    <t>171/2023/KUL</t>
  </si>
  <si>
    <t>Úprava osvětlení  ve výstavních sálech v Huťské 1375, Kladno</t>
  </si>
  <si>
    <t>173/2023/KUL</t>
  </si>
  <si>
    <t>Nákup osobního automobilu</t>
  </si>
  <si>
    <t>06917</t>
  </si>
  <si>
    <t xml:space="preserve">Rekonstrukce objektu pro navýšení kapacity služby DZR v Domově seniorů Vojkov </t>
  </si>
  <si>
    <t>208/2023/SOC</t>
  </si>
  <si>
    <t>Rekonstrukce koupelen Domov seniorů Nové Strašecí</t>
  </si>
  <si>
    <t>Domov seniorů Vojkov</t>
  </si>
  <si>
    <t>210/2023/SOC</t>
  </si>
  <si>
    <t>Zelená lípa Hostivice</t>
  </si>
  <si>
    <t>211/2023/SOC</t>
  </si>
  <si>
    <t>Nástavba a stavební úpravy rodinného domu č.p.800</t>
  </si>
  <si>
    <t>212/2023/SOC</t>
  </si>
  <si>
    <t>Rekonstrukce elektroinstalace v DOZP</t>
  </si>
  <si>
    <t>213/2023/SOC</t>
  </si>
  <si>
    <t>214/2023/SOC</t>
  </si>
  <si>
    <t xml:space="preserve">PBŘ - Rekonstrukce vstupů do objektu </t>
  </si>
  <si>
    <t>215/2023/SOC</t>
  </si>
  <si>
    <t>Napojení objektu na pult HZS</t>
  </si>
  <si>
    <t>07379</t>
  </si>
  <si>
    <t>Neratovice, Říčany, Kolín</t>
  </si>
  <si>
    <t>III/1911 Modřovice – Chrást - Březnice, III/1761 Pročevily – Bubovice</t>
  </si>
  <si>
    <t>338/2023/DOP</t>
  </si>
  <si>
    <t>III/11411 Libomyšl </t>
  </si>
  <si>
    <t>340/2023/DOP</t>
  </si>
  <si>
    <t>III/24034 Uhy</t>
  </si>
  <si>
    <t>341/2023/DOP</t>
  </si>
  <si>
    <t>II/101 Vrapická, havárie odvodnění</t>
  </si>
  <si>
    <t>342/2023/DOP</t>
  </si>
  <si>
    <t>III/2018 Žilina - Kamenné Žehrovice</t>
  </si>
  <si>
    <t>343/2023/DOP</t>
  </si>
  <si>
    <t>II/121 Sedlec průtah</t>
  </si>
  <si>
    <t xml:space="preserve">Zateplení budovy školy a střechy - ZŠ Zruč n/S </t>
  </si>
  <si>
    <t>Odborné učebny pro instalatéry SOU Hubálov</t>
  </si>
  <si>
    <t>07413</t>
  </si>
  <si>
    <t>07414</t>
  </si>
  <si>
    <t>07389</t>
  </si>
  <si>
    <t>07419</t>
  </si>
  <si>
    <t>07393</t>
  </si>
  <si>
    <t>07416</t>
  </si>
  <si>
    <t>201/2023/SKOL</t>
  </si>
  <si>
    <t>Obchodní akademie, Vlašim, V sadě 1565</t>
  </si>
  <si>
    <t>202/2023/SKOL</t>
  </si>
  <si>
    <t>Přístavba kmenových tříd Gymnázium  Joachima Barranda Beroun</t>
  </si>
  <si>
    <t>203/2023/SKOL</t>
  </si>
  <si>
    <t>Půdní vestavba - SOŠ a SOU Jílové u Prahy</t>
  </si>
  <si>
    <t>Střední odborná škola a Střední odborné učiliště Jílové u Prahy, Šenflukova 220</t>
  </si>
  <si>
    <t>204/2023/SKOL</t>
  </si>
  <si>
    <t>Cukrářská dílna - SŠ a ZŠ Jesenice</t>
  </si>
  <si>
    <t>Střední škola a Základní škola Jesenice, K rybníku 800</t>
  </si>
  <si>
    <t>206/2023/SKOL</t>
  </si>
  <si>
    <t>Výstavba budovy pro nové Gymnázium Černošice</t>
  </si>
  <si>
    <t>Gymnázium Černošice</t>
  </si>
  <si>
    <t>07386</t>
  </si>
  <si>
    <t>stavba realizovaná,  kalibrace vah</t>
  </si>
  <si>
    <t>8/2024</t>
  </si>
  <si>
    <t>5/2025</t>
  </si>
  <si>
    <t>177/2023/KUL</t>
  </si>
  <si>
    <t>Nová plynová kotelna, výměna oken, energetické úspory</t>
  </si>
  <si>
    <t>179/2023/KUL</t>
  </si>
  <si>
    <t>Výměna oken a zateplení budovy depozitáře</t>
  </si>
  <si>
    <t>180/2023/KUL</t>
  </si>
  <si>
    <t>Hospodářské zázemí a konzervátorské pracoviště Kounice</t>
  </si>
  <si>
    <t>182/2023/KUL</t>
  </si>
  <si>
    <t>Špejchar Dražice - sklad movitých archeologických nálezů</t>
  </si>
  <si>
    <t>06058</t>
  </si>
  <si>
    <t>07378</t>
  </si>
  <si>
    <t>07435</t>
  </si>
  <si>
    <t>07460</t>
  </si>
  <si>
    <t>07312</t>
  </si>
  <si>
    <t>07427</t>
  </si>
  <si>
    <t>07547</t>
  </si>
  <si>
    <t>048-23/2023/RK ze dne 8.6.2023       15-26/2023/ZK ze dne 26.6.2023</t>
  </si>
  <si>
    <t>07428</t>
  </si>
  <si>
    <t>07429</t>
  </si>
  <si>
    <t>07430</t>
  </si>
  <si>
    <t>209/2023/SKOL</t>
  </si>
  <si>
    <t>07538</t>
  </si>
  <si>
    <t>Multifunkční dopravní cvičiště - SOŠ a SOU Mladá Boleslav, Jičínská</t>
  </si>
  <si>
    <t>Střední odborná škola a Střední odborné učiliště, Mladá Boleslav, Jičínská 762</t>
  </si>
  <si>
    <t>210/2023/SKOL</t>
  </si>
  <si>
    <t>07539</t>
  </si>
  <si>
    <t>Přestavba domova mládeže na učebny - ISŠT Mělník</t>
  </si>
  <si>
    <t>Integrovaná střední škola technická Mělník, příspěvková organizace</t>
  </si>
  <si>
    <t>211/2023/SKOL</t>
  </si>
  <si>
    <t>07540</t>
  </si>
  <si>
    <t>Zázemí pro ZŠ - OU, PrŠ, ZŠ a MŠ Příbram</t>
  </si>
  <si>
    <t>Odborné učiliště, Praktická škola, Základní škola a Mateřská škola Příbram IV, příspěvková organizace</t>
  </si>
  <si>
    <t xml:space="preserve">Výstavba evakuačního výtahu s nástupnickou plochou </t>
  </si>
  <si>
    <t>219/2023/SOC</t>
  </si>
  <si>
    <t xml:space="preserve">Výměna oken </t>
  </si>
  <si>
    <t>220/2023/SOC</t>
  </si>
  <si>
    <t>Rekonstrukce stávajícího výtahu na evakuační</t>
  </si>
  <si>
    <t>221/2023/SOC</t>
  </si>
  <si>
    <t>Rekonstrukce ČOV</t>
  </si>
  <si>
    <t>222/2023/SOC</t>
  </si>
  <si>
    <t>Revitalizace střechy na staré budově</t>
  </si>
  <si>
    <t>223/2023/SOC</t>
  </si>
  <si>
    <t>Rekonstrukce pietní budovy včetně chlazení</t>
  </si>
  <si>
    <t>4/2025</t>
  </si>
  <si>
    <t>344/2023/DOP</t>
  </si>
  <si>
    <t>III/10522 Sedlčany, most ev.č. 10522-1 přes potok Mastník</t>
  </si>
  <si>
    <t>345/2023/DOP</t>
  </si>
  <si>
    <t>Čelákovice obchvat</t>
  </si>
  <si>
    <t>346/2023/DOP</t>
  </si>
  <si>
    <t>Propojení průmyslové zóny Plazy s MÚK Kosmonosy - prodloužení silnice III/0164</t>
  </si>
  <si>
    <t>administrativní výkup pozemku a okružní křižovatky průmyslové zóny</t>
  </si>
  <si>
    <t>10/2025</t>
  </si>
  <si>
    <t>347/2023/DOP</t>
  </si>
  <si>
    <t>Rekonstrukce propustku: II/116 přes přítok do Voznického potoka, II/126 – ev. číslo 126-001P, III/10230 – ev. číslo 10230-001P, III/00411 – ev. číslo 00411-2P</t>
  </si>
  <si>
    <t>348/2023/DOP</t>
  </si>
  <si>
    <t>349/2023/DOP</t>
  </si>
  <si>
    <t>II/108 Kostelec</t>
  </si>
  <si>
    <t>350/2023/DOP</t>
  </si>
  <si>
    <t>Město Dobříš - stavební úpravy komunikace a chodníku v ulici Pražská III/11628</t>
  </si>
  <si>
    <t>07470</t>
  </si>
  <si>
    <t>Rekonstrukce ČOV a sanace venkovní kanalizace</t>
  </si>
  <si>
    <t>166/2023/ZDR</t>
  </si>
  <si>
    <t>Rekonstrukce spalovny</t>
  </si>
  <si>
    <t>07483</t>
  </si>
  <si>
    <t>07328</t>
  </si>
  <si>
    <t>07553</t>
  </si>
  <si>
    <t>Dobříš, Vlašim, Sedlčany, Příbram</t>
  </si>
  <si>
    <t>2/2023/MAJ</t>
  </si>
  <si>
    <t>Demolice pro potřeby SOC a ŠKS</t>
  </si>
  <si>
    <t xml:space="preserve">Obecná akce, z níž se bude financovat vícero menších demoličních zakázek pro SOC a ŠKS, které tyto odbory žádají po MAJ. </t>
  </si>
  <si>
    <t>3/2023/MAJ</t>
  </si>
  <si>
    <t>Doplatek za areál školy Na Příkopech 104, Příbram</t>
  </si>
  <si>
    <t>Renovace expozice "Zlato"</t>
  </si>
  <si>
    <t>Diagnostika a stavebně-technický průzkum budov hlavního sídla muzea</t>
  </si>
  <si>
    <t>183/2023/KUL</t>
  </si>
  <si>
    <t>Hrad, krajina a lidé, stálá expozice</t>
  </si>
  <si>
    <t>184/2023/KUL</t>
  </si>
  <si>
    <t>Uranový důl Bytíz</t>
  </si>
  <si>
    <t>186/2023/KUL</t>
  </si>
  <si>
    <t>Modernizace zdrojů tepla (přechod z plynových kotlů na tepelná čerpadla) a výstavba FTV elektrárny do 50 kwp</t>
  </si>
  <si>
    <t>187/2023/KUL</t>
  </si>
  <si>
    <t>Nátěr venkovních křídel PNÚO</t>
  </si>
  <si>
    <t>188/2023/KUL</t>
  </si>
  <si>
    <t>Instalace elektronické požární signalizace - palác Hrádek</t>
  </si>
  <si>
    <t>189/2023/KUL</t>
  </si>
  <si>
    <t>Instalace elektronické požární signalizace měšťanský dvojdům tzv. Kamenný dům</t>
  </si>
  <si>
    <t>191/2023/KUL</t>
  </si>
  <si>
    <t>197/2023/KUL</t>
  </si>
  <si>
    <t>Výroba replik zlatých cihel pro edukační programy</t>
  </si>
  <si>
    <t>Brandýs n. L. - Stará Boleslav</t>
  </si>
  <si>
    <t>07536</t>
  </si>
  <si>
    <t>07541</t>
  </si>
  <si>
    <t>07542</t>
  </si>
  <si>
    <t>07490</t>
  </si>
  <si>
    <t>07549</t>
  </si>
  <si>
    <t>07563</t>
  </si>
  <si>
    <t>07567</t>
  </si>
  <si>
    <t>07493</t>
  </si>
  <si>
    <t>Zvýšení kybernetické bezpečnosti pro PO</t>
  </si>
  <si>
    <t>Prostředky na zvýšení kybernetické bezpečnosti příspěvkových organizací.</t>
  </si>
  <si>
    <t>28/2023/INF</t>
  </si>
  <si>
    <t>212/2023/SKOL</t>
  </si>
  <si>
    <t>Gymnázium J. S. Machara, Brandýs nad Labem - Stará Boleslav, Královická 668</t>
  </si>
  <si>
    <t>213/2023/SKOL</t>
  </si>
  <si>
    <t>Základní škola, Žebrák, Hradní 67</t>
  </si>
  <si>
    <t>07575</t>
  </si>
  <si>
    <t>214/2023/SKOL</t>
  </si>
  <si>
    <t>Akustická opatření učeben SOŠ a SOU Neratovice</t>
  </si>
  <si>
    <t xml:space="preserve">Bezbariérový vstup a přístavba výtahu Centrum83 </t>
  </si>
  <si>
    <t>224/2023/SOC</t>
  </si>
  <si>
    <t>Rekonstrukce chodby zámku včetně výměny páteřních rozvodů TUV a vody</t>
  </si>
  <si>
    <t>225/2023/SOC</t>
  </si>
  <si>
    <t>DS Vidim - EPS</t>
  </si>
  <si>
    <t>226/2023/SOC</t>
  </si>
  <si>
    <t>Nákup automobilu se speciální úpravou pro přepravu invalidů s doprovodem</t>
  </si>
  <si>
    <t>Rekonstrukce fasád objektů DOZP a TS v areálu DPL Smečno</t>
  </si>
  <si>
    <t>227/2023/SOC</t>
  </si>
  <si>
    <t>07587</t>
  </si>
  <si>
    <t>07586</t>
  </si>
  <si>
    <t>Jirny – okružní křižovatka</t>
  </si>
  <si>
    <t>II/611 Kostelní Lhota - Přední Lhota</t>
  </si>
  <si>
    <t>III/1016 Kunice</t>
  </si>
  <si>
    <t>III/12537 Zásmuky - Sobočice</t>
  </si>
  <si>
    <t>III/12523 Petrovice II. – Boštice III/12525</t>
  </si>
  <si>
    <t>II/329 Radim</t>
  </si>
  <si>
    <t>Český Brod - okružní křižovatka - ul. Jana Kouly, Zborovská, Krále Jiřího, technický areál města</t>
  </si>
  <si>
    <t>III/11217 Keblov – odb. Kačerov  </t>
  </si>
  <si>
    <t>II/107 Kamenice – Čakovice </t>
  </si>
  <si>
    <t>III/12145 Nazdice – Bučovice     </t>
  </si>
  <si>
    <t>II/101 Kladno</t>
  </si>
  <si>
    <t xml:space="preserve">III/11617, 11618 Korno </t>
  </si>
  <si>
    <t>III/2421 Velké Přílepy</t>
  </si>
  <si>
    <t>II/201 Křivoklát - Píska</t>
  </si>
  <si>
    <t>III/1154 Ořech</t>
  </si>
  <si>
    <t>III/11625, III/11627 Mníšek p. Brdy-Zahořany</t>
  </si>
  <si>
    <t xml:space="preserve">III/27610 Studénka - Násedlnice </t>
  </si>
  <si>
    <t>III/2771 Mohelnice nad Jizerou - Neveklovice</t>
  </si>
  <si>
    <t>III/2742 Mělnické Vtelno - Zamachy</t>
  </si>
  <si>
    <t>III/25928 Kadlín II</t>
  </si>
  <si>
    <t>III/25928 Stránka</t>
  </si>
  <si>
    <t>III/10163 Nehvizdy - Horoušany</t>
  </si>
  <si>
    <t>III/2773 Podhora - Rostkov</t>
  </si>
  <si>
    <t>III/26828 Dolní Krupá - Bělá pod Bezdězem</t>
  </si>
  <si>
    <t>III-2752 Kostelní Hlavno - Hlavenec</t>
  </si>
  <si>
    <t>II/331 Sojovice - Dvorce</t>
  </si>
  <si>
    <t>III/27213 Benátky nad Jizerou - Dražice</t>
  </si>
  <si>
    <t>ulice Víta Nejedlého – stavební úpravy uličního prostoru</t>
  </si>
  <si>
    <t>07592</t>
  </si>
  <si>
    <t>12/2028</t>
  </si>
  <si>
    <t>Rekonstrukce pokladny a infocentra ČMS - projektová dokumentace, stavba a interiéry</t>
  </si>
  <si>
    <t>198/2023/KUL</t>
  </si>
  <si>
    <t>Elektronická evidence docházky a elektronický přístupový systém</t>
  </si>
  <si>
    <t>199/2023/KUL</t>
  </si>
  <si>
    <t>Nový software pro digitalizaci</t>
  </si>
  <si>
    <t>200/2023/KUL</t>
  </si>
  <si>
    <t>Výměna ústředny EPS v budově čp. 1641</t>
  </si>
  <si>
    <t>201/2023/KUL</t>
  </si>
  <si>
    <t xml:space="preserve"> Nová webová prezentace Středočeské vědecké knihovny</t>
  </si>
  <si>
    <t>202/2023/KUL</t>
  </si>
  <si>
    <t>Doplnění kapacit centrálního depozitáře</t>
  </si>
  <si>
    <t>203/2023/KUL</t>
  </si>
  <si>
    <t>Orientační systém – areál zahrad a okolí JK</t>
  </si>
  <si>
    <t>204/2023/KUL</t>
  </si>
  <si>
    <t>Rekonstrukce venkovní terasy u kavárny včetně osvětlení</t>
  </si>
  <si>
    <t>205/2023/KUL</t>
  </si>
  <si>
    <t>Obnova serverovny</t>
  </si>
  <si>
    <t>206/2023/KUL</t>
  </si>
  <si>
    <t>Nová stálá expozice - Stavy mysli</t>
  </si>
  <si>
    <t>207/2023/KUL</t>
  </si>
  <si>
    <t>Rekonstrukce ateliérů Lektorského centra</t>
  </si>
  <si>
    <t>210/2023/KUL</t>
  </si>
  <si>
    <t xml:space="preserve">Server ovládající klimatické podmínky v areálu zámku </t>
  </si>
  <si>
    <t>211/2023/KUL</t>
  </si>
  <si>
    <t>Výstavní systém svítidel na půdě zámku</t>
  </si>
  <si>
    <t>212/2023/KUL</t>
  </si>
  <si>
    <t>Systém čipové evidence majetku</t>
  </si>
  <si>
    <t>213/2023/KUL</t>
  </si>
  <si>
    <t>Dodávka nového radionuklidového zářiče do KOP</t>
  </si>
  <si>
    <t>214/2023/KUL</t>
  </si>
  <si>
    <t>215/2023/KUL</t>
  </si>
  <si>
    <t>Pořízení technického vybavení pro odborné zpracování zoologické podsbírky, podskupiny entomologie</t>
  </si>
  <si>
    <t>216/2023/KUL</t>
  </si>
  <si>
    <t>Obměna / revitalizace otopných těles ve velkém sále muzea</t>
  </si>
  <si>
    <t>217/2023/KUL</t>
  </si>
  <si>
    <t>Realizace nového ústředního topení v depozitáři Kralupy nad Vltavou</t>
  </si>
  <si>
    <t>218/2023/KUL</t>
  </si>
  <si>
    <t>Výměna dvou střešních oken za elektrická střešní okna s elektrickou předokenní roletou ve velkém sále muzea</t>
  </si>
  <si>
    <t>219/2023/KUL</t>
  </si>
  <si>
    <t>Dodávka a montáž nových výstavních vitrín</t>
  </si>
  <si>
    <t>221/2023/KUL</t>
  </si>
  <si>
    <t>222/2023/KUL</t>
  </si>
  <si>
    <t>Výsuvné rošty na obrazy pro depozitář Cihlářská 445, Sedlec</t>
  </si>
  <si>
    <t>224/2023/KUL</t>
  </si>
  <si>
    <t>viz soubor objektů</t>
  </si>
  <si>
    <t>351/2023/DOP</t>
  </si>
  <si>
    <t>352/2023/DOP</t>
  </si>
  <si>
    <t>353/2023/DOP</t>
  </si>
  <si>
    <t>354/2023/DOP</t>
  </si>
  <si>
    <t>355/2023/DOP</t>
  </si>
  <si>
    <t>356/2023/DOP</t>
  </si>
  <si>
    <t>357/2023/DOP</t>
  </si>
  <si>
    <t>358/2023/DOP</t>
  </si>
  <si>
    <t>359/2023/DOP</t>
  </si>
  <si>
    <t>361/2023/DOP</t>
  </si>
  <si>
    <t>362/2023/DOP</t>
  </si>
  <si>
    <t>363/2023/DOP</t>
  </si>
  <si>
    <t>364/2023/DOP</t>
  </si>
  <si>
    <t>365/2023/DOP</t>
  </si>
  <si>
    <t>366/2023/DOP</t>
  </si>
  <si>
    <t>367/2023/DOP</t>
  </si>
  <si>
    <t>368/2023/DOP</t>
  </si>
  <si>
    <t>369/2023/DOP</t>
  </si>
  <si>
    <t>370/2023/DOP</t>
  </si>
  <si>
    <t>372/2023/DOP</t>
  </si>
  <si>
    <t>373/2023/DOP</t>
  </si>
  <si>
    <t>375/2023/DOP</t>
  </si>
  <si>
    <t>376/2023/DOP</t>
  </si>
  <si>
    <t>377/2023/DOP</t>
  </si>
  <si>
    <t>378/2023/DOP</t>
  </si>
  <si>
    <t>379/2023/DOP</t>
  </si>
  <si>
    <t>380/2023/DOP</t>
  </si>
  <si>
    <t>381/2023/DOP</t>
  </si>
  <si>
    <t>382/2023/DOP</t>
  </si>
  <si>
    <t>383/2023/DOP</t>
  </si>
  <si>
    <t>384/2023/DOP</t>
  </si>
  <si>
    <t>385/2023/DOP</t>
  </si>
  <si>
    <t>386/2023/DOP</t>
  </si>
  <si>
    <t>387/2023/DOP</t>
  </si>
  <si>
    <t>388/2023/DOP</t>
  </si>
  <si>
    <t>389/2023/DOP</t>
  </si>
  <si>
    <t>390/2023/DOP</t>
  </si>
  <si>
    <t>07583</t>
  </si>
  <si>
    <t>07273</t>
  </si>
  <si>
    <t>07504</t>
  </si>
  <si>
    <t>07606</t>
  </si>
  <si>
    <t>04167</t>
  </si>
  <si>
    <t>07505</t>
  </si>
  <si>
    <t>07623</t>
  </si>
  <si>
    <t>07501</t>
  </si>
  <si>
    <t>07620</t>
  </si>
  <si>
    <t>07621</t>
  </si>
  <si>
    <t>07622</t>
  </si>
  <si>
    <t>07628</t>
  </si>
  <si>
    <t>07629</t>
  </si>
  <si>
    <t>07641</t>
  </si>
  <si>
    <t>07659</t>
  </si>
  <si>
    <t>07649</t>
  </si>
  <si>
    <t>07618</t>
  </si>
  <si>
    <t>07518</t>
  </si>
  <si>
    <t>07614</t>
  </si>
  <si>
    <t>07674</t>
  </si>
  <si>
    <t>07687</t>
  </si>
  <si>
    <t>07680</t>
  </si>
  <si>
    <t>07696</t>
  </si>
  <si>
    <t>07698</t>
  </si>
  <si>
    <t>07699</t>
  </si>
  <si>
    <t>07693</t>
  </si>
  <si>
    <t>07695</t>
  </si>
  <si>
    <t>07658</t>
  </si>
  <si>
    <t>07661</t>
  </si>
  <si>
    <t>07613</t>
  </si>
  <si>
    <t>07615</t>
  </si>
  <si>
    <t>07619</t>
  </si>
  <si>
    <t>07666</t>
  </si>
  <si>
    <t>žádný</t>
  </si>
  <si>
    <t>SC 4.2</t>
  </si>
  <si>
    <t>SC 4.1</t>
  </si>
  <si>
    <t>SC 3.2</t>
  </si>
  <si>
    <t>SC 10.2</t>
  </si>
  <si>
    <t>SC 10.1, SC 2.1, SC 10.2</t>
  </si>
  <si>
    <t>SC 10.1, SC 2.1</t>
  </si>
  <si>
    <t>SC 10.2, SC 2.1</t>
  </si>
  <si>
    <t>SC 2.1</t>
  </si>
  <si>
    <t>SC 9.3</t>
  </si>
  <si>
    <t>SC 5.1</t>
  </si>
  <si>
    <t>SC 7.1</t>
  </si>
  <si>
    <t>SC 8.2</t>
  </si>
  <si>
    <t>Specifický cíl SRK</t>
  </si>
  <si>
    <t>Čerpáno do 31.12. 2023</t>
  </si>
  <si>
    <t>Plán čerpání r.  2024</t>
  </si>
  <si>
    <t>Předpoklad r. 2025</t>
  </si>
  <si>
    <t>Předpoklad r. 2026+</t>
  </si>
  <si>
    <t>čerpáno r.2024</t>
  </si>
  <si>
    <t>čerpáno r.2021-23</t>
  </si>
  <si>
    <t>požadavek r. 2024</t>
  </si>
  <si>
    <t>požadavek r. 2025(+)</t>
  </si>
  <si>
    <t>Limit čerpání r. 2024 - 25 mil. Kč z vlastních prostředků SK</t>
  </si>
  <si>
    <t>Limit čerpání r. 2024 - 2 mil. Kč z vlastních prostředků SK</t>
  </si>
  <si>
    <t>Finanční zdroje r. 2024 v tis. Kč</t>
  </si>
  <si>
    <t>Finanční zdroje v r. 2024 celkem</t>
  </si>
  <si>
    <t>6.2</t>
  </si>
  <si>
    <t>27/2024/OHS</t>
  </si>
  <si>
    <t>Upgrade telefonní ústředny a následné rozšíření jejich funkcionalit</t>
  </si>
  <si>
    <t>28/2024/OHS</t>
  </si>
  <si>
    <t>Výměna střešního pláště včetně zateplení a světlíků na garážích KÚ</t>
  </si>
  <si>
    <t>29/2024/OHS</t>
  </si>
  <si>
    <t>Rekonstrukce osvětlení Zasedací místnosti zastupitelstva, m.č. 1088 a RK - LED technologie</t>
  </si>
  <si>
    <t>30/2024/OHS</t>
  </si>
  <si>
    <t>Frankovací stroj do podatelny KÚ</t>
  </si>
  <si>
    <t>Využití na dokoupení síťových prvků a licencí k zachování funkčnosti TCK.</t>
  </si>
  <si>
    <t>Nákup serverů pro IS KÚ a dalších zařízení dle potřeb KÚ.</t>
  </si>
  <si>
    <t>16/2024/OVM</t>
  </si>
  <si>
    <t>Doznačení cyklotrasy 2A</t>
  </si>
  <si>
    <t>17/2024/OVM</t>
  </si>
  <si>
    <t xml:space="preserve">IDSK – SW a HW pro provoz IS část II </t>
  </si>
  <si>
    <t>18/2024/OVM</t>
  </si>
  <si>
    <t>IDSK – Pořízení, implementace a podpora SW pro Asset Management a Service Desk</t>
  </si>
  <si>
    <t>07701</t>
  </si>
  <si>
    <t>07702</t>
  </si>
  <si>
    <t>07676</t>
  </si>
  <si>
    <t>07704</t>
  </si>
  <si>
    <t>07705</t>
  </si>
  <si>
    <t>07706</t>
  </si>
  <si>
    <t>07707</t>
  </si>
  <si>
    <t>07708</t>
  </si>
  <si>
    <t>07382</t>
  </si>
  <si>
    <t>3/2025</t>
  </si>
  <si>
    <t>07710</t>
  </si>
  <si>
    <t>07711</t>
  </si>
  <si>
    <t>07712</t>
  </si>
  <si>
    <t>07713</t>
  </si>
  <si>
    <t>07716</t>
  </si>
  <si>
    <t>07691</t>
  </si>
  <si>
    <t>07715</t>
  </si>
  <si>
    <t>07718</t>
  </si>
  <si>
    <t>07721</t>
  </si>
  <si>
    <t>07722</t>
  </si>
  <si>
    <t>07723</t>
  </si>
  <si>
    <t>07690</t>
  </si>
  <si>
    <t>07724</t>
  </si>
  <si>
    <t>07725</t>
  </si>
  <si>
    <t>07726</t>
  </si>
  <si>
    <t>07727</t>
  </si>
  <si>
    <t>228/2024/SOC</t>
  </si>
  <si>
    <t>Přestavba objektu na bydlení pro klienty DOZP</t>
  </si>
  <si>
    <t>Zahrada</t>
  </si>
  <si>
    <t>229/2024/SOC</t>
  </si>
  <si>
    <t>Vybudování EPS včetně stavebních úprav Domov ve Vlašimi</t>
  </si>
  <si>
    <t>Domov ve Vlašimi</t>
  </si>
  <si>
    <t>230/2024/SOC</t>
  </si>
  <si>
    <t>Instalace a montáž protipožárních dveří</t>
  </si>
  <si>
    <t>231/2024/SOC</t>
  </si>
  <si>
    <t>Elektrická požární signalizace – EPS  – Automatické požární dveře</t>
  </si>
  <si>
    <t>232/2024/SOC</t>
  </si>
  <si>
    <t>Rekonstrukce jídelny 5. pavilon</t>
  </si>
  <si>
    <t>233/2024/SOC</t>
  </si>
  <si>
    <t>Vybudování EPS v Domově Jílové</t>
  </si>
  <si>
    <t>Domov Jílové</t>
  </si>
  <si>
    <t>234/2024/SOC</t>
  </si>
  <si>
    <t>Signalizace pracovník - klient v Domově Jílové</t>
  </si>
  <si>
    <t>235/2024/SOC</t>
  </si>
  <si>
    <t xml:space="preserve">PBŘ – Nalžovický zámek </t>
  </si>
  <si>
    <t>236/2024/SOC</t>
  </si>
  <si>
    <t>Úpravy v DS v souladu se zákonem o požární ochraně</t>
  </si>
  <si>
    <t>Domov seniorů Jankov</t>
  </si>
  <si>
    <t>237/2024/SOC</t>
  </si>
  <si>
    <t>Výměna oken budovy č.p. 40</t>
  </si>
  <si>
    <t xml:space="preserve"> Domov seniorů Vojkov</t>
  </si>
  <si>
    <t>31/2024/OHS</t>
  </si>
  <si>
    <t>Rekonstrukce zasedací místnosti 1088</t>
  </si>
  <si>
    <t>1/2025</t>
  </si>
  <si>
    <t>Revitalizace obvodového pláště školy OA Vlašim</t>
  </si>
  <si>
    <t>07692</t>
  </si>
  <si>
    <t>215/2024/SKOL</t>
  </si>
  <si>
    <t>Žádný</t>
  </si>
  <si>
    <t>216/2024/SKOL</t>
  </si>
  <si>
    <t>Střední průmyslová škola a Vyšší odborná škola Příbram Hrabákova 271</t>
  </si>
  <si>
    <t>172/2024/ZDR</t>
  </si>
  <si>
    <t>173/2024/ZDR</t>
  </si>
  <si>
    <t>174/2024/ZDR</t>
  </si>
  <si>
    <t>175/2024/ZDR</t>
  </si>
  <si>
    <t>176/2024/ZDR</t>
  </si>
  <si>
    <t>Úprava pavilonů pro přemístění oddělení urologie a ORL</t>
  </si>
  <si>
    <t>Rekonstrukce výtahů</t>
  </si>
  <si>
    <t>CT přístroj</t>
  </si>
  <si>
    <t>Modernizace vstupenkového rezervačního systému Koloseum</t>
  </si>
  <si>
    <t>225/2024/KUL</t>
  </si>
  <si>
    <t>Rozšíření lištového systému osvětlení ve Velké výstavní síni</t>
  </si>
  <si>
    <t>227/2024/KUL</t>
  </si>
  <si>
    <t>Úprava vstupu do areálu Braunerova mlýna a nosiče pro plenérové výstavy</t>
  </si>
  <si>
    <t>228/2024/KUL</t>
  </si>
  <si>
    <t>229/2024/KUL</t>
  </si>
  <si>
    <t>Nová vizuální  identita Středočeského muzea v Roztokách u Prahy, příspěvkové organizace</t>
  </si>
  <si>
    <t>230/2024/KUL</t>
  </si>
  <si>
    <t>Nákup vybavení pro archeologické oddělení</t>
  </si>
  <si>
    <t>231/2024/KUL</t>
  </si>
  <si>
    <t>Nákup užitkového automobilu pro Regionální muzeum v Kolíně p. o.</t>
  </si>
  <si>
    <t>233/2024/KUL</t>
  </si>
  <si>
    <t>Nákup a instalace nových bezpečnostních dveří do depozitáře v Jestřábí Lhotě</t>
  </si>
  <si>
    <t>234/2024/KUL</t>
  </si>
  <si>
    <t>Nákup odsávacího ventilátoru pro restaurátorskou dílnu</t>
  </si>
  <si>
    <t>235/2024/KUL</t>
  </si>
  <si>
    <t>Vybavení výstavní síně v objektu RMK Brandlova čp. 27, Kolín</t>
  </si>
  <si>
    <t>236/2024/KUL</t>
  </si>
  <si>
    <t>Zastínění kopilotové fasády - TZ Vegiertovský dům</t>
  </si>
  <si>
    <t>237/2024/KUL</t>
  </si>
  <si>
    <t>Posuvný regálový systém</t>
  </si>
  <si>
    <t>238/2024/KUL</t>
  </si>
  <si>
    <t>Server a datové úložiště</t>
  </si>
  <si>
    <t>239/2024/KUL</t>
  </si>
  <si>
    <t>Vybudování náhonu k pile a mlýnu ve Skanzenu Vysoký Chlumec</t>
  </si>
  <si>
    <t>240/2024/KUL</t>
  </si>
  <si>
    <t>241/2024/KUL</t>
  </si>
  <si>
    <t>242/2024/KUL</t>
  </si>
  <si>
    <t>243/2024/KUL</t>
  </si>
  <si>
    <t>Revitalizace pláště budovy Arnoldinovského domu v Brandýse nad Labem</t>
  </si>
  <si>
    <t>244/2024/KUL</t>
  </si>
  <si>
    <t>Památník Josefa Lady a jeho dcery Aleny vytvoření autonomního muzea</t>
  </si>
  <si>
    <t>245/2024/KUL</t>
  </si>
  <si>
    <t>246/2024/KUL</t>
  </si>
  <si>
    <t>Expozice v Muzeu v Brandýse nad Labem</t>
  </si>
  <si>
    <t>Sanace uliční části soklu v AD</t>
  </si>
  <si>
    <t>Památník národního útlaku a odboje Panenské Břežany - obnova  a izolace soklu kaple a zámku</t>
  </si>
  <si>
    <t>Klimatizační jednotky ve velkém sále muzea</t>
  </si>
  <si>
    <t>9/2026</t>
  </si>
  <si>
    <t>Příprava PD, nelze spustit realizace, chybí jíl pro utěsnění hráze, realizace před D3</t>
  </si>
  <si>
    <t>8/2027</t>
  </si>
  <si>
    <t>dokončení akce jarní měsíce</t>
  </si>
  <si>
    <t xml:space="preserve">III/3297 Sokoleč </t>
  </si>
  <si>
    <t>II/115 Běštín - Jince</t>
  </si>
  <si>
    <t>II/102 kř.s II/119 – Čelina průtah a II/119 Cholín - Křepenice</t>
  </si>
  <si>
    <t>II/176 Hvožďany – Vacíkov</t>
  </si>
  <si>
    <t>III/1161, III/2018 Žilina a III/2016 Doksy- Družec</t>
  </si>
  <si>
    <t>II/605 Žebrák-Bavoryně a II/605 Beroun</t>
  </si>
  <si>
    <t>II/322 Kolín, ul. Třídvorská, okružní křižovatka</t>
  </si>
  <si>
    <t>Historická opěrná zeď v Roztokách</t>
  </si>
  <si>
    <t>Okružní křižovatka sil. II/101 ulic Mostní s Třídou Legií a ulicí Třebízského v Kralupech nad Vltavou</t>
  </si>
  <si>
    <t>II/101 Červený Újezd</t>
  </si>
  <si>
    <t>II/118 Lochovice-Libomyšl</t>
  </si>
  <si>
    <t xml:space="preserve"> II/116 Nižbor - Beroun</t>
  </si>
  <si>
    <t>III/1171 0 Bavoryně, havárie opěrné zdi</t>
  </si>
  <si>
    <t>Vypracování PD na rekonstrukci objektu C, včetně její přístavby (kavárna a pokladna)  a pro optimalizaci prostoru objektu D (vestavba patra)</t>
  </si>
  <si>
    <t>06729</t>
  </si>
  <si>
    <t>Dofinancování výstavby centrálního skladu SZM, MTZ 
a archivu</t>
  </si>
  <si>
    <t>Pořízení zdravotnické techniky vč. RTG skiagrafu pro nemocnici Kutná Hora</t>
  </si>
  <si>
    <t>ON Kolín, a.s., nem. SČK
- nemocnice Kutná Hora</t>
  </si>
  <si>
    <t>Schválený rozpočet 2024 (usnesení č. 014-29/2023/ZK ze dne 27.11.2023 )</t>
  </si>
  <si>
    <t>Investice do depozitního objektu</t>
  </si>
  <si>
    <t>modře podbarvená buňka s č. inv. akce</t>
  </si>
  <si>
    <t>akce odboru SOC - investice do EZS</t>
  </si>
  <si>
    <t>Podněty PČR, připraveny návrhy zlepšení BESIP.</t>
  </si>
  <si>
    <t>Špatný technický stav</t>
  </si>
  <si>
    <t>Špatné inž sítě města, nutnost rekonstrukce dotčených silnic.</t>
  </si>
  <si>
    <t>9/2025</t>
  </si>
  <si>
    <t>Přestavba propustku na silnici III/11818, km 9,984</t>
  </si>
  <si>
    <t>III/12513, 12511 Rataje, Zdislavice</t>
  </si>
  <si>
    <t>III/24419 Sudovo Hlavno – Dřísy</t>
  </si>
  <si>
    <t>III/2731 Hostín – Liblice</t>
  </si>
  <si>
    <t xml:space="preserve">II/116 Nová Ves pod Pleší </t>
  </si>
  <si>
    <t xml:space="preserve">II/244 Byšice, most ev.č. 244-011 přes Košátecký potok v obci Byšice </t>
  </si>
  <si>
    <t xml:space="preserve">Most ev.č. 12144-2-Most přes trať ČD za Meznem (Střezimíř) – demolice </t>
  </si>
  <si>
    <t>III/1012 a III/1015 Všestary, rekonstrukce silnice</t>
  </si>
  <si>
    <t>III/23915 Dřínov - Drchkov</t>
  </si>
  <si>
    <t>07681</t>
  </si>
  <si>
    <t>07736</t>
  </si>
  <si>
    <t>07737</t>
  </si>
  <si>
    <t>07738</t>
  </si>
  <si>
    <t>07740</t>
  </si>
  <si>
    <t>07741</t>
  </si>
  <si>
    <t>07742</t>
  </si>
  <si>
    <t>07271</t>
  </si>
  <si>
    <t>07550</t>
  </si>
  <si>
    <t>07552</t>
  </si>
  <si>
    <t>247/2024/KUL</t>
  </si>
  <si>
    <t>248/2024/KUL</t>
  </si>
  <si>
    <t>Venkovní samoobslužný návratový automat s třídící linkou</t>
  </si>
  <si>
    <t>249/2024/KUL</t>
  </si>
  <si>
    <t>Rekonstrukce topných zdrojů</t>
  </si>
  <si>
    <t>250/2024/KUL</t>
  </si>
  <si>
    <t>Nákup a instalace záložního serveru</t>
  </si>
  <si>
    <t>251/2024/KUL</t>
  </si>
  <si>
    <t>Vytvoření edukačního prvku - animace vzniku a vývoje jeskyně Českého krasu</t>
  </si>
  <si>
    <t>252/2024/KUL</t>
  </si>
  <si>
    <t>Kamerový systém CCTV v Hornického skanzenu Mayrau ve Vinařicích</t>
  </si>
  <si>
    <t>253/2024/KUL</t>
  </si>
  <si>
    <t>Rekonstrukce kabelového kanálu Mayrau</t>
  </si>
  <si>
    <t>254/2024/KUL</t>
  </si>
  <si>
    <t>Zaměření a kontrola nosných ocelových konstrukcí</t>
  </si>
  <si>
    <t>255/2024/KUL</t>
  </si>
  <si>
    <t>Zaměření a výkresová dokumentace podzemního objektu Homole</t>
  </si>
  <si>
    <t>256/2024/KUL</t>
  </si>
  <si>
    <t>Zhotovení nové fasády, výplně okenních a vstupních otvorů a nového schodiště na věži v areálu tvrze v Hradeníně</t>
  </si>
  <si>
    <t>257/2024/KUL</t>
  </si>
  <si>
    <t>258/2024/KUL</t>
  </si>
  <si>
    <t>Rekonstrukce kanceláři v Hrusicích</t>
  </si>
  <si>
    <t>259/2024/KUL</t>
  </si>
  <si>
    <t>Rekonstrukce kanceláři v AD</t>
  </si>
  <si>
    <t>260/2024/KUL</t>
  </si>
  <si>
    <t>Rekonstrukce kanceláři v Panenských Břežanech</t>
  </si>
  <si>
    <t>261/2024/KUL</t>
  </si>
  <si>
    <t>Nový pořádací systém ProMuzeumWEB a prezentační portál VadeMeCum</t>
  </si>
  <si>
    <t>262/2024/KUL</t>
  </si>
  <si>
    <t>Nové podlahy v domě Mince</t>
  </si>
  <si>
    <t>263/2024/KUL</t>
  </si>
  <si>
    <t>Tvorba marketingových videí a vizualizací vzniku zlatého kovu pro použití na web, sociální sítě a propagaci muzea</t>
  </si>
  <si>
    <t>264/2024/KUL</t>
  </si>
  <si>
    <t>Rekonstrukci vodovodu, WC a koupelny v budově Mince</t>
  </si>
  <si>
    <t>265/2024/KUL</t>
  </si>
  <si>
    <t>Nové sněhové háky na střechu objektu muzea</t>
  </si>
  <si>
    <t>266/2024/KUL</t>
  </si>
  <si>
    <t>Nové webové stránky muzea</t>
  </si>
  <si>
    <t>267/2024/KUL</t>
  </si>
  <si>
    <t>268/2024/KUL</t>
  </si>
  <si>
    <t>Nové expozice v prostorách Pražské a Vysoké brány</t>
  </si>
  <si>
    <t>269/2024/KUL</t>
  </si>
  <si>
    <t>Nákup kondenzačního plynového kotle pro administrativní budovu vč. montáže</t>
  </si>
  <si>
    <t>270/2024/KUL</t>
  </si>
  <si>
    <t>271/2024/KUL</t>
  </si>
  <si>
    <t>Upgrade a modernizace databázového systému pro evidenci sbírek</t>
  </si>
  <si>
    <t>272/2024/KUL</t>
  </si>
  <si>
    <t>Vybudování nové expozice Muzea Rakovník včetně architektonické studie</t>
  </si>
  <si>
    <t>273/2024/KUL</t>
  </si>
  <si>
    <t>Vytvoření nových internetových stránek Muzea T. G. M. Rakovník, p.o.</t>
  </si>
  <si>
    <t>274/2024/KUL</t>
  </si>
  <si>
    <t>Prokůpkův dům, Kouřim</t>
  </si>
  <si>
    <t>275/2024/KUL</t>
  </si>
  <si>
    <t>Rekonstrukce, modernizace a zatraktivnění hlavního sídla Muzea Českého krasu, areálu památkově chráněných budov Jenštejnského a Salátovského domu Husovo nám. 87 a 88 Beroun</t>
  </si>
  <si>
    <t>Komplexní rekonstrukce kanalizace v celém areálu školy -VOŠ a SZŠ Benešov</t>
  </si>
  <si>
    <t>Rekonstrukce kuchyně-SPŠ a OA Kladno</t>
  </si>
  <si>
    <t>07776</t>
  </si>
  <si>
    <t>Kompletní oprava podlahy v tělocvičně - VOŠ a SZŠ Benešov</t>
  </si>
  <si>
    <t>07777</t>
  </si>
  <si>
    <t>217/2024/SKOL</t>
  </si>
  <si>
    <t>Masarykova obchodní akademie, Rakovník, Pražská 1222</t>
  </si>
  <si>
    <t xml:space="preserve">Rakovník </t>
  </si>
  <si>
    <t>218/2024/SKOL</t>
  </si>
  <si>
    <t>Střední průmyslová škola a Vyšší odborná škola, Kladno, Jana Palacha 1840</t>
  </si>
  <si>
    <t>219/2024/SKOL</t>
  </si>
  <si>
    <t>Střední škola designu Lysá nad Labem, příspěvková organizace</t>
  </si>
  <si>
    <t>221/2024/SKOL</t>
  </si>
  <si>
    <t>222/2024/SKOL</t>
  </si>
  <si>
    <t>223/2024/SKOL</t>
  </si>
  <si>
    <t>Rekonstrukce 3. NP objektu ZŠ Čáslav na učební prostory SOŠPg Čáslav</t>
  </si>
  <si>
    <t>Gymnázium a Střední odborná škola pedagogická, Čáslav, Masarykova 248</t>
  </si>
  <si>
    <t>224/2024/SKOL</t>
  </si>
  <si>
    <t>Modernizace objektu farmy Pomněnice - PD</t>
  </si>
  <si>
    <t>225/2024/SKOL</t>
  </si>
  <si>
    <t>Přestavba půdních prostor na učebny - SOŠ a SOU Horky nad Jizerou</t>
  </si>
  <si>
    <t>226/2024/SKOL</t>
  </si>
  <si>
    <t>Rekonstrukce školní kuchyně - G Příbram</t>
  </si>
  <si>
    <t>227/2024/SKOL</t>
  </si>
  <si>
    <t>Vybudování nových kmenových učeben - SOŠ a SOU Mladá Boleslav</t>
  </si>
  <si>
    <t>228/2024/SKOL</t>
  </si>
  <si>
    <t xml:space="preserve"> Nákladního vozidlo pro výuku - SOŠ a SOU Mladá Boleslav</t>
  </si>
  <si>
    <t>229/2024/SKOL</t>
  </si>
  <si>
    <t>Střední zemědělská škola, Čáslav, Sadová 1234</t>
  </si>
  <si>
    <t>230/2024/SKOL</t>
  </si>
  <si>
    <t>Devítimístný automobil - SOU Městec Králové</t>
  </si>
  <si>
    <t>Střední odborná škola a Střední odborné učiliště, Městec Králové, T. G. Masaryka 4</t>
  </si>
  <si>
    <t>231/2024/SKOL</t>
  </si>
  <si>
    <t>Univerzální nakladač - středisko Poděbrady</t>
  </si>
  <si>
    <t>Školní statek Středočeského kraje, příspěvková organizace</t>
  </si>
  <si>
    <t>232/2024/SKOL</t>
  </si>
  <si>
    <t>Univerzální nakladač - středisko Rakovník</t>
  </si>
  <si>
    <t>233/2024/SKOL</t>
  </si>
  <si>
    <t>234/2024/SKOL</t>
  </si>
  <si>
    <t>Dodávkový automobil - SOU stavební Benešov</t>
  </si>
  <si>
    <t>235/2024/SKOL</t>
  </si>
  <si>
    <t>Traktor pro výuku - SZŠ Brandýs nad Labem</t>
  </si>
  <si>
    <t>Střední zemědělská škola Brandýs nad Labem</t>
  </si>
  <si>
    <t>236/2024/SKOL</t>
  </si>
  <si>
    <t>Minibus pro 9 osob - SOŠ a SOU Horky nad Jizerou</t>
  </si>
  <si>
    <t>Střední odborná škola a Střední odborné učiliště Horky nad Jizerou 35</t>
  </si>
  <si>
    <t>237/2024/SKOL</t>
  </si>
  <si>
    <t>Nákladní automobil - VOŠ a SZŠ Benešov</t>
  </si>
  <si>
    <t>238/2024/SKOL</t>
  </si>
  <si>
    <t>Dva nové automobily do autoškoly - VOŠ a SZŠ Benešov</t>
  </si>
  <si>
    <t>239/2024/SKOL</t>
  </si>
  <si>
    <t>Kombajn - VOŠ a SZŠ Benešov</t>
  </si>
  <si>
    <t>Limity čerpání r. 2024 - 160 mil. Kč z vlastních prostředků SK</t>
  </si>
  <si>
    <t>Limit čerpání r. 2024 - 35 mil. Kč z vlastních prostředků SK</t>
  </si>
  <si>
    <t>Limit čerpání r. 2024 - 13 mil. Kč z vlastních prostředků SK</t>
  </si>
  <si>
    <t>07780</t>
  </si>
  <si>
    <t>07781</t>
  </si>
  <si>
    <t>07782</t>
  </si>
  <si>
    <t>07783</t>
  </si>
  <si>
    <t>07784</t>
  </si>
  <si>
    <t>177/2024/ZDR</t>
  </si>
  <si>
    <t>178/2024/ZDR</t>
  </si>
  <si>
    <t>Rekonstrukce chirurgického pavilonu</t>
  </si>
  <si>
    <t>179/2024/ZDR</t>
  </si>
  <si>
    <t>Centrální rozvody klimatizace objektu C2</t>
  </si>
  <si>
    <t>180/2024/ZDR</t>
  </si>
  <si>
    <t>Pořízení 2 ks Skiagrafických přístrojů pro RTG oddělení nemocnice Kolín</t>
  </si>
  <si>
    <t>181/2024/ZDR</t>
  </si>
  <si>
    <t>Pořízení 1 ks Litotryptoru pro urologické oddělení nemocnice Kolín</t>
  </si>
  <si>
    <t>182/2024/ZDR</t>
  </si>
  <si>
    <t>Pořízení 1 ks Sonografického přístroje pro RTG oddělení nemocnice Kolín</t>
  </si>
  <si>
    <t>183/2024/ZDR</t>
  </si>
  <si>
    <t>Rekonstrukce pavilonu L</t>
  </si>
  <si>
    <t>Jiné zdroje = SFŽP</t>
  </si>
  <si>
    <t>184/2024/ZDR</t>
  </si>
  <si>
    <t>Odkup pozemků</t>
  </si>
  <si>
    <t>052-06/2024/RK ze dne 8.2.2024  009-31/2024/ZK ze dne 26.2.2024</t>
  </si>
  <si>
    <t>238/2024/SOC</t>
  </si>
  <si>
    <t>239/2024/SOC</t>
  </si>
  <si>
    <t>Pořízení polohovacích lůžek včetně aktivních matrací</t>
  </si>
  <si>
    <t>240/2024/SOC</t>
  </si>
  <si>
    <t>Rekonstrukce podlah</t>
  </si>
  <si>
    <t>241/2024/SOC</t>
  </si>
  <si>
    <t>PBŘ Domov Slaný</t>
  </si>
  <si>
    <t>242/2024/SOC</t>
  </si>
  <si>
    <t xml:space="preserve">PBŘ - Rekonstrukce výtahů v objektu kláštera </t>
  </si>
  <si>
    <t>243/2024/SOC</t>
  </si>
  <si>
    <t>Rekonstrukce - výtah</t>
  </si>
  <si>
    <t>244/2024/SOC</t>
  </si>
  <si>
    <t>Výstavba evakuačního výtahu</t>
  </si>
  <si>
    <t>snížení CN o 3 tis. Kč</t>
  </si>
  <si>
    <t>Rekonstrukce sportovního areálu u budovy Sportovního gymnázia Kladno</t>
  </si>
  <si>
    <t>Statutární město Kladno</t>
  </si>
  <si>
    <t>Rekonstrukce Památníku Antonína Dvořáka ve Vysoké u Příbrami 2024</t>
  </si>
  <si>
    <t>Nevyčerpané účelové finanční prostředky kapitoly 12 - Investiční výdaje z roku 2023 - zůstatek hospodaření z roku 2023 (usnesení č. 027-08/2024/RK ze dne 22.2.2024)</t>
  </si>
  <si>
    <t>Finanční prostředky r. 2024 - kap.12 -předpoklad</t>
  </si>
  <si>
    <t xml:space="preserve">Požárně bezpečnostní řešení </t>
  </si>
  <si>
    <t>PD + Výměna a rekonstrukce výtahu "B" KÚ</t>
  </si>
  <si>
    <t>Lis na kulaté balíky - středisko Lázně Toušeň</t>
  </si>
  <si>
    <t>Prostředky na rozšíření bezpečnostní infrastruktury KÚ, včetně nezbytných licencí, nákup switchů a SFP modulů</t>
  </si>
  <si>
    <t>Jedná se o dotaci Statutárnímu městu Kladno, stavba i pozemky budou převedeny po dokončení do vlastnictví Středočeského kraje.</t>
  </si>
  <si>
    <t xml:space="preserve">Stavba má vydané stavební povolení platné v rámci rekonstrukce celého monobloku nemocnice s prodloužením dokončení stavby do 31.12.2024. </t>
  </si>
  <si>
    <t>07499</t>
  </si>
  <si>
    <t>07640</t>
  </si>
  <si>
    <t>07660</t>
  </si>
  <si>
    <t>07677</t>
  </si>
  <si>
    <t>07678</t>
  </si>
  <si>
    <t>32/2024/OHS</t>
  </si>
  <si>
    <t>Modernizace gastro technologie v jídelně KÚ</t>
  </si>
  <si>
    <t>022-37/2022/RK ze dne 6.10.2022 070-42/2022/RK ze dne 10.11.2022 020-20/2022/ZK ze dne 28.11.2022</t>
  </si>
  <si>
    <t>07779</t>
  </si>
  <si>
    <t>07794</t>
  </si>
  <si>
    <t>07795</t>
  </si>
  <si>
    <t>07796</t>
  </si>
  <si>
    <t>07797</t>
  </si>
  <si>
    <t>07815</t>
  </si>
  <si>
    <t>245/2024/SOC</t>
  </si>
  <si>
    <t>Protipožární opatření v Domově</t>
  </si>
  <si>
    <t>SC 78.2</t>
  </si>
  <si>
    <t>246/2024/SOC</t>
  </si>
  <si>
    <t>Revitalizace kuchyně - vybavení a chlazení</t>
  </si>
  <si>
    <t>247/2024/SOC</t>
  </si>
  <si>
    <t>Rekonstrukce nákl. výtahu a dodání schodišťové plošiny</t>
  </si>
  <si>
    <t>031-15/2024/RK ze dne 11.4.2024  014-33/2024/ZK ze dne 29.4.2024</t>
  </si>
  <si>
    <t>III/1138, III/1139, II/113 Tismice, Vrátkov, Doubravčice</t>
  </si>
  <si>
    <t>III/11437 kř.III/11450 – kř.III/11451</t>
  </si>
  <si>
    <t>III/0066, 00711, 00716 Hřebeč, rekonstrukce silnic - II. etapa</t>
  </si>
  <si>
    <t>III/0056, III/00513, III/00514, III/00518 – opatření ke zvýšení bezpečnosti v místech křižovatek</t>
  </si>
  <si>
    <t>9/2024/ŘDP</t>
  </si>
  <si>
    <t>EPC IV - realizace energetických opatření v rámci Středočeského kraje</t>
  </si>
  <si>
    <t>07871</t>
  </si>
  <si>
    <t>III/00315, III/10113 Radlík - Kostelec u Křížků, II.etapa</t>
  </si>
  <si>
    <t xml:space="preserve">Generel nemocnice Kladno - Rekonstrukce bloku C2 </t>
  </si>
  <si>
    <t>Realizátor stavebních prací + TDS a KBOZP - Středočeský kraj; Autorský dozor - PO</t>
  </si>
  <si>
    <t>Oprava budovy ZŠ Žebrák</t>
  </si>
  <si>
    <t>Vybudování samostatného vjezdu a příjezdové cesty - DD Unhošť</t>
  </si>
  <si>
    <t>Zateplení budovy školy a střechy - G a SOŠE - Sedlčany</t>
  </si>
  <si>
    <t>Rekonstrukce vnitřní části tělocvičny - SPŠ a VOŠ Příbram</t>
  </si>
  <si>
    <t>Rekonstrukce výtahu - MOA Rakovník</t>
  </si>
  <si>
    <t>Výměna oken v hlavní budově - SPŠ a VOŠ Kladno</t>
  </si>
  <si>
    <t>Vybudování požární nádrže - SŠ designu Lysá nad Labem</t>
  </si>
  <si>
    <t>Technologie stáčení a expedice vína - Školní statek SK</t>
  </si>
  <si>
    <t>Traktor pro výuku praxe a odborného výcviku - SZeŠ Čáslav</t>
  </si>
  <si>
    <t>276/2024/KUL</t>
  </si>
  <si>
    <t>Teplovzdušná sušárna herbářových položek</t>
  </si>
  <si>
    <t>277/2024/KUL</t>
  </si>
  <si>
    <t>Havířská osada prostor pro kulturní a vzdělávací programy</t>
  </si>
  <si>
    <t>278/2024/KUL</t>
  </si>
  <si>
    <t>Odvodnění výstupní šachty prohlídkové trasy v důlním díle</t>
  </si>
  <si>
    <t>279/2024/KUL</t>
  </si>
  <si>
    <t>IT vybavení muzejní herny</t>
  </si>
  <si>
    <t>280/2024/KUL</t>
  </si>
  <si>
    <t>Revitalizace sklepů, parkánu a nádvoří hradu Mladá Boleslav</t>
  </si>
  <si>
    <t>281/2024/KUL</t>
  </si>
  <si>
    <t>Venkov v proměnách času, rehabilitace stálé expozice</t>
  </si>
  <si>
    <t>Rozšíření funkcí leteckého muzea Metoděje Vlacha v Mladé Boleslavi</t>
  </si>
  <si>
    <t>282/2024/KUL</t>
  </si>
  <si>
    <t>Revitalizace Památníku Josefa Lady a jeho dcery Aleny</t>
  </si>
  <si>
    <t>283/2024/KUL</t>
  </si>
  <si>
    <t>Vybudování depozitáře v objektu tzv. nové kuchyně v Památníku Vojna</t>
  </si>
  <si>
    <t>284/2024/KUL</t>
  </si>
  <si>
    <t>Obnova firewall k zajištění ochrany dat a osobních údajů v SVK</t>
  </si>
  <si>
    <t>285/2024/KUL</t>
  </si>
  <si>
    <t>Adaptace areálu Středočeské vědecké knihovny v Kladně na živé centrum společenských, kulturních a vzdělávacích aktivit</t>
  </si>
  <si>
    <t>07753</t>
  </si>
  <si>
    <t>07756</t>
  </si>
  <si>
    <t>07579</t>
  </si>
  <si>
    <t>185/2024/ZDR</t>
  </si>
  <si>
    <t>Rekonstrukce komunikací v areálu nemocnice</t>
  </si>
  <si>
    <t>186/2024/ZDR</t>
  </si>
  <si>
    <t>Zajištění provozu stávající kuchyně</t>
  </si>
  <si>
    <t>187/2024/ZDR</t>
  </si>
  <si>
    <t>Myčka na kojenecké lahve</t>
  </si>
  <si>
    <t>Dětské centrum Kolín, p. o.</t>
  </si>
  <si>
    <t>188/2024/ZDR</t>
  </si>
  <si>
    <t>Přístroje na oddělení DLP</t>
  </si>
  <si>
    <t>189/2024/ZDR</t>
  </si>
  <si>
    <t>Přístroj Vibramoov</t>
  </si>
  <si>
    <t>190/2024/ZDR</t>
  </si>
  <si>
    <t>Automobil</t>
  </si>
  <si>
    <t>286/2024/KUL</t>
  </si>
  <si>
    <t>287/2024/KUL</t>
  </si>
  <si>
    <t>Instalace stínící techniky</t>
  </si>
  <si>
    <t>036-23/2011/RK ze dne 30.5.2011 043-16/2011/ZK ze dne 6.6.2011</t>
  </si>
  <si>
    <t>Rekonstrukce pavilonu gynekologie včetně vybudování 
6. centrálního operačního sálu</t>
  </si>
  <si>
    <t>Rozdělení zůstatku hospodaření Středočeského kraje z roku 2023 (usnesení č. 007-33/2024/ZK ze dne 29.4.2024)</t>
  </si>
  <si>
    <t>07825</t>
  </si>
  <si>
    <t>07851</t>
  </si>
  <si>
    <t>07862</t>
  </si>
  <si>
    <t>07826</t>
  </si>
  <si>
    <t>07827</t>
  </si>
  <si>
    <t>07828</t>
  </si>
  <si>
    <t>07849</t>
  </si>
  <si>
    <t>07850</t>
  </si>
  <si>
    <t>07864</t>
  </si>
  <si>
    <t>07865</t>
  </si>
  <si>
    <t>07866</t>
  </si>
  <si>
    <t>07867</t>
  </si>
  <si>
    <t>07870</t>
  </si>
  <si>
    <t>07872</t>
  </si>
  <si>
    <t>07873</t>
  </si>
  <si>
    <t>Jedná se pouze o invenstiční část díla.</t>
  </si>
  <si>
    <t>Stavba realizovaná,  reklamace prací</t>
  </si>
  <si>
    <t>07874</t>
  </si>
  <si>
    <t>07898</t>
  </si>
  <si>
    <t>07916</t>
  </si>
  <si>
    <t>07868</t>
  </si>
  <si>
    <t>29/2024/INF</t>
  </si>
  <si>
    <t>Nové tiskové řešení na krajském úřadě SK</t>
  </si>
  <si>
    <t>33/2024/OHS</t>
  </si>
  <si>
    <t>Záložní zdroje energie UPS 50kVA včetně instalace</t>
  </si>
  <si>
    <t>Rekonstrukce schodišťě a zabudování schodišťové plošiny</t>
  </si>
  <si>
    <t>248/2024/SOC</t>
  </si>
  <si>
    <t>249/2024/SOC</t>
  </si>
  <si>
    <t>250/2024/SOC</t>
  </si>
  <si>
    <t>251/2024/SOC</t>
  </si>
  <si>
    <t>252/2024/SOC</t>
  </si>
  <si>
    <t>Rekonstrukce soklu  - Zámku</t>
  </si>
  <si>
    <t>253/2024/SOC</t>
  </si>
  <si>
    <t>Odvodnění, terénní úpravy a úpravy cest</t>
  </si>
  <si>
    <t>254/2024/SOC</t>
  </si>
  <si>
    <t xml:space="preserve">Výměna tepelné izolace Domov Vraný pss.  </t>
  </si>
  <si>
    <t>255/2024/SOC</t>
  </si>
  <si>
    <t xml:space="preserve">Ochranný nástřik střech </t>
  </si>
  <si>
    <t>256/2024/SOC</t>
  </si>
  <si>
    <t>Doplnění EPS o generální klíč</t>
  </si>
  <si>
    <t>Výměna elektrorozvodů a rozvodů SLP Nový Pavilon</t>
  </si>
  <si>
    <t>SC.78.2</t>
  </si>
  <si>
    <t xml:space="preserve">Výměna dveří za protipožární v celém objektu </t>
  </si>
  <si>
    <t>Vozidlo pro převoz tělesně postižených</t>
  </si>
  <si>
    <t>07919</t>
  </si>
  <si>
    <t>07929</t>
  </si>
  <si>
    <t>07943</t>
  </si>
  <si>
    <t>07944</t>
  </si>
  <si>
    <t>07945</t>
  </si>
  <si>
    <t>07946</t>
  </si>
  <si>
    <t>07947</t>
  </si>
  <si>
    <t>07948</t>
  </si>
  <si>
    <t>07949</t>
  </si>
  <si>
    <t>07950</t>
  </si>
  <si>
    <t>07986</t>
  </si>
  <si>
    <t>07987</t>
  </si>
  <si>
    <t>07988</t>
  </si>
  <si>
    <t>07989</t>
  </si>
  <si>
    <t>07990</t>
  </si>
  <si>
    <t>07991</t>
  </si>
  <si>
    <t xml:space="preserve">011-11/2022/RK ze dne 17.3.2022  046-14/2022/RK ze dne 7.4.2022    011-15/2022/ZK ze dne 25.4.2022  009-39/2022/RK ze dne 19.10.2022 </t>
  </si>
  <si>
    <t>Nákup LV 3441, k. ú. Milovice nad Labem</t>
  </si>
  <si>
    <t>Lysá n. L.</t>
  </si>
  <si>
    <t>zkompletování souvisejících pozemků</t>
  </si>
  <si>
    <t>4/20242/MAJ</t>
  </si>
  <si>
    <t>411/2024/DOP</t>
  </si>
  <si>
    <t>410/2024/DOP</t>
  </si>
  <si>
    <t>409/2024/DOP</t>
  </si>
  <si>
    <t>392/2024/DOP</t>
  </si>
  <si>
    <t>393/2024/DOP</t>
  </si>
  <si>
    <t>394/2024/DOP</t>
  </si>
  <si>
    <t>395/2024/DOP</t>
  </si>
  <si>
    <t>396/2024/DOP</t>
  </si>
  <si>
    <t>397/2024/DOP</t>
  </si>
  <si>
    <t>398/2024/DOP</t>
  </si>
  <si>
    <t>399/2024/DOP</t>
  </si>
  <si>
    <t>400/2024/DOP</t>
  </si>
  <si>
    <t>401/2024/DOP</t>
  </si>
  <si>
    <t>404/2024/DOP</t>
  </si>
  <si>
    <t>405/2024/DOP</t>
  </si>
  <si>
    <t>406/2024/DOP</t>
  </si>
  <si>
    <t>407/2024/DOP</t>
  </si>
  <si>
    <t>408/2024/DOP</t>
  </si>
  <si>
    <t>412/2024/DOP</t>
  </si>
  <si>
    <t>Rozšíření ulice Podolecká</t>
  </si>
  <si>
    <t>Změna financování - převod 8,5 mil. Kč z r. 2025 do r. 2024</t>
  </si>
  <si>
    <t>Změna financování - převod 11 mil. Kč z r. 2025 do r. 2024</t>
  </si>
  <si>
    <t>Změna financování - převod 10 mil. Kč z r. 2024 do r. 2025</t>
  </si>
  <si>
    <t>043-14/2023/RK ze dne 6.4.2023 013-24/2023/ZK ze dne 24.4.2023</t>
  </si>
  <si>
    <t>Půdní vestavba Gymnázium J. S. Machara Brandýs n. Labem - PD</t>
  </si>
  <si>
    <t>07992</t>
  </si>
  <si>
    <t>07993</t>
  </si>
  <si>
    <t>07994</t>
  </si>
  <si>
    <t>07971</t>
  </si>
  <si>
    <t>07995</t>
  </si>
  <si>
    <t>07972</t>
  </si>
  <si>
    <t>07973</t>
  </si>
  <si>
    <t>07974</t>
  </si>
  <si>
    <t>07970</t>
  </si>
  <si>
    <t>07975</t>
  </si>
  <si>
    <t>07996</t>
  </si>
  <si>
    <t>07997</t>
  </si>
  <si>
    <t>07998</t>
  </si>
  <si>
    <t>07999</t>
  </si>
  <si>
    <t>08000</t>
  </si>
  <si>
    <t>07976</t>
  </si>
  <si>
    <t>07977</t>
  </si>
  <si>
    <t>07978</t>
  </si>
  <si>
    <t>07979</t>
  </si>
  <si>
    <t>07980</t>
  </si>
  <si>
    <t>07981</t>
  </si>
  <si>
    <t>240/2024/SKOL</t>
  </si>
  <si>
    <t>Obnova obvodového pláště hlavní budovy - DDM Beroun</t>
  </si>
  <si>
    <t>Dům dětí a mládeže Beroun, příspěvková organizace</t>
  </si>
  <si>
    <t>241/2024/SKOL</t>
  </si>
  <si>
    <t>Výměna oken v hlavní budově - SOU Slaný</t>
  </si>
  <si>
    <t xml:space="preserve">Střední odborné učiliště Slaný, příspěvková organizace </t>
  </si>
  <si>
    <t>242/2024/SKOL</t>
  </si>
  <si>
    <t>Přístavba výtahu k objektu GZW Rakovník</t>
  </si>
  <si>
    <t>Gymnázium Zikmunda Wintra Rakovník, příspěvková organizace</t>
  </si>
  <si>
    <t>243/2024/SKOL</t>
  </si>
  <si>
    <t>Nová plynová kotelna pro budovu DM - SOŠ a SOU Jílové</t>
  </si>
  <si>
    <t>Střední odborná škola a Střední odborné učiliště, Jílové u Prahy, příspěvková organizace</t>
  </si>
  <si>
    <t>07513</t>
  </si>
  <si>
    <t>07899</t>
  </si>
  <si>
    <t>07900</t>
  </si>
  <si>
    <t>07920</t>
  </si>
  <si>
    <t>07922</t>
  </si>
  <si>
    <t>07938</t>
  </si>
  <si>
    <t>07951</t>
  </si>
  <si>
    <t>07942</t>
  </si>
  <si>
    <t>Odstranění havarijního stavu, rekonstrukce a zajištění energetických úspor objektu Tylův dům, Tylova čp: 507, Kutná Hora se vznikem edukačního centra</t>
  </si>
  <si>
    <t>07955</t>
  </si>
  <si>
    <t>07956</t>
  </si>
  <si>
    <t>07953</t>
  </si>
  <si>
    <t>07954</t>
  </si>
  <si>
    <t>07958</t>
  </si>
  <si>
    <t>Vnější venkovní schodiště (objekt garářže) v areálu Braunerova mlýna a vnitřní schodiště v objektu B v areálu zámku</t>
  </si>
  <si>
    <t>07959</t>
  </si>
  <si>
    <t>07960</t>
  </si>
  <si>
    <t>07961</t>
  </si>
  <si>
    <t>07963</t>
  </si>
  <si>
    <t>Vestavba recepce do průjezdu AD, rekonstrukce koncertního sálu, zázemí pro zaměstnance, WC pro invalidy</t>
  </si>
  <si>
    <t>07969</t>
  </si>
  <si>
    <t>07962</t>
  </si>
  <si>
    <t>Rekonstrukce a rozšíření zázemí a toalet pro návštěvníky v Muzeu T.G.Masaryka v Lánech</t>
  </si>
  <si>
    <t>288/2024/KUL</t>
  </si>
  <si>
    <t>Komplexní antivirová ochrana a zajištění bezpečnosti dat</t>
  </si>
  <si>
    <t>289/2024/KUL</t>
  </si>
  <si>
    <t>Interiérové vybavení výpůjčních prostor SVK</t>
  </si>
  <si>
    <t>290/2024/KUL</t>
  </si>
  <si>
    <t>Audiovizuální vybavení Historického sálu</t>
  </si>
  <si>
    <t>291/2024/KUL</t>
  </si>
  <si>
    <t>Realizace knihobudky v zámeckém parku</t>
  </si>
  <si>
    <t>2/2025</t>
  </si>
  <si>
    <t>292/2024/KUL</t>
  </si>
  <si>
    <t>Systém počítání návštěvníků</t>
  </si>
  <si>
    <t>293/2024/KUL</t>
  </si>
  <si>
    <t>Vybavení půdních prostor zámku výstavním a prezentačním systémem,  vybavení lektorského centra</t>
  </si>
  <si>
    <t>294/2024/KUL</t>
  </si>
  <si>
    <t>Rekonstrukce statkářského domu a vybudování zázemí pro návštěvníky v areálu tvrze v Hradeníně + TDS</t>
  </si>
  <si>
    <t>295/2024/KUL</t>
  </si>
  <si>
    <t xml:space="preserve">Výkup pozemků k.ú. Hradenín </t>
  </si>
  <si>
    <t>296/2024/KUL</t>
  </si>
  <si>
    <t>Multimediální aplikace Hrabalova chata</t>
  </si>
  <si>
    <t>297/2024/KUL</t>
  </si>
  <si>
    <t>Tvorba 3D video modelu Ostrovského kláštera pro zobrazení v rozšířené realitě a tvorbu historických vizualizací</t>
  </si>
  <si>
    <t>298/2024/KUL</t>
  </si>
  <si>
    <t xml:space="preserve">Virtuální muzeum pro webové stránky a tvorba historického videa pro expozici Ora et labora </t>
  </si>
  <si>
    <t>299/2024/KUL</t>
  </si>
  <si>
    <t>Zhotovení dřevěné podesty se schody</t>
  </si>
  <si>
    <t>300/2024/KUL</t>
  </si>
  <si>
    <t>Rekonstrukce a rozšíření systému elektrické zabezpečovací signalizace a požárních detektorů v Památníku Karla Čapka ve Staré Huti u Dobříše</t>
  </si>
  <si>
    <t>301/2024/KUL</t>
  </si>
  <si>
    <t>Pořízení nové střešní krytiny na střechu kotelny Muzea Nové Strašecí</t>
  </si>
  <si>
    <t>302/2024/KUL</t>
  </si>
  <si>
    <t>Pořízení serverů a počítačů pro onlinovou správu sbírkové databáze</t>
  </si>
  <si>
    <t>303/2024/KUL</t>
  </si>
  <si>
    <t>Rekonstrukce stávajícího a výstavba nového depozitáře v Senomatech</t>
  </si>
  <si>
    <t xml:space="preserve">1. plán. období   (1.1.-30.4.)   </t>
  </si>
  <si>
    <t xml:space="preserve">3. plán. období  (1.9.-31.12.)  </t>
  </si>
  <si>
    <t xml:space="preserve">2. plán. období   (1.5.-31.8.)       </t>
  </si>
  <si>
    <t>031-15/2024/RK ze dne 11.4.2024 014-33/2024/ZK ze dne 29.4.2024</t>
  </si>
  <si>
    <t>056-40/2023/RK ze dne 9.11.2023 016-29/2023/ZK ze dne 27.11.2023</t>
  </si>
  <si>
    <t>012-30/2023/RK ze dne 24.8.2023 021-27/2023/ZK ze dne 18.9.2023</t>
  </si>
  <si>
    <t>Převod finančních prostředků z kapitoly 23 - Ostatní, Specifické rezervy - Modernizace nemocnic založených SK (usnesení č. 053-21/2024/RK ze dne 30.5.2024)</t>
  </si>
  <si>
    <t>07968</t>
  </si>
  <si>
    <t>042-11/2011/RK ze dne 07.03.2011 047-15/2011/ZK ze dne 11.03.2011</t>
  </si>
  <si>
    <t xml:space="preserve">038-19/2015/RK ze dne 1.6.2015 008-17/2015/ZK ze dne 22.6.2015 </t>
  </si>
  <si>
    <t>042-33/2019/RK ze dne 31.10.2019 139-21/2019/ZK ze dne 25.11.2019</t>
  </si>
  <si>
    <t>036-53/2020/RK ze dne 20.7.2020 130-26/2020/ZK ze dne 3.8.2020</t>
  </si>
  <si>
    <t xml:space="preserve"> 080-32/2021/RK ze dne  26.8.2021 021-09/2021/ZK ze dne 13.9.2021</t>
  </si>
  <si>
    <t>052-06/2024/RK ze dne 8.2.2024 009-31/2024/ZK ze dne 26.2.2024</t>
  </si>
  <si>
    <t>045-22/2024/RK ze dne 6.6.2024 016-35/2024/ZK ze dne 24.6.2024</t>
  </si>
  <si>
    <t>042-11/2011/RK ze dne 7.3.2011 047-15/2011/ZK ze dne 11.3.2011</t>
  </si>
  <si>
    <t>008-08/2013/RK ze dne 25.2.2013 004-03/2013/ZK ze dne 11.3.2013</t>
  </si>
  <si>
    <t xml:space="preserve"> 008-08/2013/RK ze dne 25.2.2013 004-03/2013/ZK ze dne 11.3.2013</t>
  </si>
  <si>
    <t>075-07/2006/RK ze dne 30.3.2006 013-11/2006/ZK ze dne 24.4.2006</t>
  </si>
  <si>
    <t>045-24/2018/RK ze dne 6.8.2018 041-15/2018/ZK ze dne 27.8.2018</t>
  </si>
  <si>
    <t>025-05/2019/RK ze dne 4.2.2019 101-17/2019/ZK ze dne 18.2.2019</t>
  </si>
  <si>
    <t>066-02/2020/RK ze dne 13.1.2020 071-22/2020/ZK ze dne 27.1.2020</t>
  </si>
  <si>
    <t xml:space="preserve"> 037-16/2021/RK ze dne 8.4.2021 027-06/2021/ZK ze dne 26.4.2021</t>
  </si>
  <si>
    <t>030-06/2022/RK ze dne 10.2.2022 014-13/2022/ZK ze dne 28.2.2022</t>
  </si>
  <si>
    <t>064-23/2022/RK ze dne 9.6.2022 018-17/2022/ZK ze dne 27.6.2022</t>
  </si>
  <si>
    <t>064-31/2022/RK ze dne 25.8.2022 015-18/2022/ZK ze dne 12.9.2022</t>
  </si>
  <si>
    <t>070-42/2022/RK ze dne 10.11.2022 020-20/2022/ZK ze dne 28.11.2022</t>
  </si>
  <si>
    <t>051-06/2023/RK ze dne 9.2.2023 15-22/2023/ZK ze dne 27.2.2023</t>
  </si>
  <si>
    <t>048-23/2023/RK ze dne 8.6.2023 15-26/2023/ZK ze dne 26.6.2023</t>
  </si>
  <si>
    <t xml:space="preserve">016-06/2017/RK ze dne 16.2.2017 022-04/2017/ZK ze dne 7.3.2017     </t>
  </si>
  <si>
    <t>040-23/2017/RK ze dne 15.6.2017 038-07/2017/ZK ze dne 27.6.2017</t>
  </si>
  <si>
    <t>053-12/2018/Rk ze dne 6.4.2018 033-13/2018/ZK ze dne 26.4.2018</t>
  </si>
  <si>
    <t xml:space="preserve">052-06/2024/RK ze dne 8.2.2024 028-08/2024/RK ze dne 22.2.2024 009-31/2024/ZK ze dne 26.2.2024  </t>
  </si>
  <si>
    <t>026-13/2016/RK ze dne 4.4.2016 012-22/2016/ZK ze dne 25.4.2016 031-15/2024/RK ze dne 11.4.2024 014-33/2024/ZK ze dne 29.4.2024</t>
  </si>
  <si>
    <t>061-05/2021/RK ze dne 4.2.2021 048-04/2021/ZK ze dne 22.2.2021</t>
  </si>
  <si>
    <t>046-14/2022/RK ze dne 7.4.2022 011-15/2022/ZK ze dne 25.4.2022</t>
  </si>
  <si>
    <t>066-10/2012/RK ze dne 12.3.2012 062-21/2012/ZK ze dne 19.3.2012</t>
  </si>
  <si>
    <t xml:space="preserve">025-12/2015/RK ze dne 7.4.2015 007-16/2015/ZK ze dne 27.4.2015  </t>
  </si>
  <si>
    <t xml:space="preserve">011-11/2022/RK ze dne 17.3.2022 046-14/2022/RK ze dne 7.4.2022 011-15/2022/ZK ze dne 25.4.2022 009-39/2022/RK ze dne 19.10.2022 </t>
  </si>
  <si>
    <t>054-14/2014/RK ze dne 14.4.2014 013-11/2014/ZK ze dne 28.4.2014</t>
  </si>
  <si>
    <t>028-18/2024/RK ze dne 9.5.2024 045-22/2024/RK ze dne 6.6.2024 016-35/2024/ZK ze dne 24.6.2024</t>
  </si>
  <si>
    <t>044-36/2017/RK ze dne 12.10.2017 009-10/2017/ZK ze dne 24.10.2017</t>
  </si>
  <si>
    <t>025-19/2019/RK ze dne 3.6.2019 095-19/2019/ZK ze dne 24.6.2019</t>
  </si>
  <si>
    <t>040-84/2020/RK ze dne 26.11.2020 021-02/2020/ZK ze dne 14.12.2020</t>
  </si>
  <si>
    <t xml:space="preserve"> 052-06/2024/RK ze dne 8.2.2024 009-31/2024/ZK ze dne 26.2.2024</t>
  </si>
  <si>
    <t>051-39/2017/RK ze dne 13.11.2017  028-11/2017/ZK ze dne 5.12.2017 041-44/2023/RK ze dne 7.12.2023</t>
  </si>
  <si>
    <t>082-15/2016/RK ze dne 21.4.2016 012-22/2016/ZK ze dne 25.4.2016</t>
  </si>
  <si>
    <t>047-11/2017/RK ze dne 23.3.2017 040-23/2017/RK ze dne 15.6.2017</t>
  </si>
  <si>
    <t>022-14/2019/RK ze dne 15.4.2019 108-18/2019/ZK ze dne 29.4.2019</t>
  </si>
  <si>
    <t>07771</t>
  </si>
  <si>
    <t>191/2024/ZDR</t>
  </si>
  <si>
    <t xml:space="preserve"> Modernizace přístrojového vybavení ONMB</t>
  </si>
  <si>
    <t>192/2024/ZDR</t>
  </si>
  <si>
    <t>Modernizace výtahů v pavilonech C a H</t>
  </si>
  <si>
    <t>193/2024/ZDR</t>
  </si>
  <si>
    <t>Rekonstrukce a modernizace komunikační chodby 
– I. etapa</t>
  </si>
  <si>
    <t>194/2024/ZDR</t>
  </si>
  <si>
    <t xml:space="preserve">Modernizace rozvoden vysokého napětí </t>
  </si>
  <si>
    <t>195/2024/ZDR</t>
  </si>
  <si>
    <t>Modernizace věcného a technického vybavení 
ON Příbram</t>
  </si>
  <si>
    <t>07921</t>
  </si>
  <si>
    <t>07924</t>
  </si>
  <si>
    <t>07939</t>
  </si>
  <si>
    <t>07983</t>
  </si>
  <si>
    <t>07984</t>
  </si>
  <si>
    <t>07985</t>
  </si>
  <si>
    <t>08047</t>
  </si>
  <si>
    <t>08050</t>
  </si>
  <si>
    <t>Zásobník investic Středočeského kraje na rok 2024 - změna č. 5</t>
  </si>
  <si>
    <t>Celkové požadavky na financování akcí v r. 2024 vycházející ze Zásobníku investic - změna č. 5</t>
  </si>
  <si>
    <t>Změna č. 5</t>
  </si>
  <si>
    <t>Kapitálové prostředky  (po změně  č. 5)</t>
  </si>
  <si>
    <t>Kapitálové prostředky  (před zm. č. 5)</t>
  </si>
  <si>
    <t>Priorita 9/     2024                  (hodnoty 1-4)</t>
  </si>
  <si>
    <t xml:space="preserve">Limity čerpání r. 2024 - 917,183  mil. Kč z vlastních prostředků SK,    41 mil. Kč z prostředků EIB </t>
  </si>
  <si>
    <t>Limit čerpání r. 2024 - 110 mil. Kč z vlastních prostředků SK</t>
  </si>
  <si>
    <t>Limit čerpání r. 2024 - 224 mil. Kč z vlastních prostředků SK (z toho 220 mil. Kč účelově vázáno na akce EPC)</t>
  </si>
  <si>
    <t xml:space="preserve">Limit čerpání r. 2024 - 3 mil. Kč z vlastních prostředků SK </t>
  </si>
  <si>
    <t>Limit čerpání r. 2024 - 49 mil. Kč z vlastních prostředků SK</t>
  </si>
  <si>
    <t>Limity čerpání r. 2024 - 160 mil. Kč z vlastních prostředků SK, 5 mil. Kč z prostředků EIB</t>
  </si>
  <si>
    <t>Limit čerpání r. 2024 - 18 mil. Kč z vlastních prostředků SK</t>
  </si>
  <si>
    <t>zařízení proti hnízdícím holubům</t>
  </si>
  <si>
    <t xml:space="preserve"> sanace měkkého podloží</t>
  </si>
  <si>
    <t>Realizace po částech z důvodu zachování přístupu do logistických areálů 24h/den.   Realizace v r. 2025</t>
  </si>
  <si>
    <t>Přesun realizace do roku 2025</t>
  </si>
  <si>
    <t>Čeká se až obec dokončí kanalizaci, vodovod</t>
  </si>
  <si>
    <t>Problém s DIO</t>
  </si>
  <si>
    <t>Doplatek rozdílu cen směňovaných nemovitostí (stavby tř. Osvobození 370, Příbram, která je ve správě MAJ, za areál školy Na Příkopech 104, Příbram, vlastněný městem Příbram).</t>
  </si>
  <si>
    <t>Z důvodu dodatečných požadavků PAO  bude akce zahájena v roce 2025</t>
  </si>
  <si>
    <t>upřesnění částky (navýšení o 164 Kč) dle uzavřené Dohody o narovnání</t>
  </si>
  <si>
    <t>30/2024/INF</t>
  </si>
  <si>
    <t>Obměna zařízení po skončení záruk a podpory výrobce</t>
  </si>
  <si>
    <t>změna financování - převod 4,817 mil. Kč z r. 2024 do r. 2025</t>
  </si>
  <si>
    <t>Obměna Technologických center Středočeského kraje</t>
  </si>
  <si>
    <t>3/2026</t>
  </si>
  <si>
    <t>Navýšení celkových nákladů o 4,2 mil. Kč.</t>
  </si>
  <si>
    <t>Změna financování - převod 1,3 mil. Kč z r. 2024 do r. 2025.   Probíhá již třetí kolo VZ, předpokládané termíny plnění březen 2025</t>
  </si>
  <si>
    <t>08014</t>
  </si>
  <si>
    <t>08015</t>
  </si>
  <si>
    <t>08016</t>
  </si>
  <si>
    <t>08017</t>
  </si>
  <si>
    <t>08018</t>
  </si>
  <si>
    <t>08019</t>
  </si>
  <si>
    <t>08021</t>
  </si>
  <si>
    <t>Snížení CN o 2,416 mil. Kč z důvodu změny rozsahu rekonstrukce el. sítě</t>
  </si>
  <si>
    <t>Změna financování - převod 4 mil. Kč z r. 2024 do r. 2025. Z důvodu průtahů ve stavebním řízení není možné zahájit VZ na dodavatele stavby</t>
  </si>
  <si>
    <t>Změna financování - převod 3 mil. Kč z r. 2024 do r. 2025.</t>
  </si>
  <si>
    <t xml:space="preserve">Snížení CN o 158 tis. Kč </t>
  </si>
  <si>
    <t xml:space="preserve">Snížení CN 44 tis. Kč </t>
  </si>
  <si>
    <t>Snížení CN akce o 417 tis.  Kč.</t>
  </si>
  <si>
    <t>Změna financování - převod 500 tis. Kč z r. 2024 do r. 2025.  Probíhá zpracování PD ve spolupráci s památkovým ústavem.</t>
  </si>
  <si>
    <t>Změna financování - převod 2,881 mil. Kč z r. 2024 do r. 2025.  Realizace akce byla na základě rozhodnutí vedení PO přerušena z důvodu plánování změny vnitřní dispozice budovy domova.</t>
  </si>
  <si>
    <t>Snížení CN o 895 tis. Kč</t>
  </si>
  <si>
    <t>Změna financování - převod 1,5 mil. Kč z r. 2024 do r. 2025.  Z důvodu změn ve stavbě je posunut termín ukončení stavy do  ledna 2025</t>
  </si>
  <si>
    <t>Akce zrušena, chodba byla opravena z prostředků PO</t>
  </si>
  <si>
    <t>Změna financování - převod 2 mil. Kč z r. 2024 do r. 2025.  Vzhledem k průtahům spojeným s vypracováním PBŘ bude zakázka dokončena v roce 2025</t>
  </si>
  <si>
    <t>Snížení CN o 462 tis.  Kč</t>
  </si>
  <si>
    <t>Snížení CN o 80 tis. Kč</t>
  </si>
  <si>
    <t>Změna financování - převod 1 mil. Kč z r. 2024 do r. 2025.   Z důvodu náročnosti rekonstrukce el. sitě je akce přesunuta do roku 2025. V letošním roce probíhá budování EPS v novém pavilonu.</t>
  </si>
  <si>
    <t>Navýšení CN o 66 tis. Kč z důvodu dodání spec. vestavby pro invalidní klienty. Zvýšení ceny je hrazeno z prostředků PO</t>
  </si>
  <si>
    <t>257/2024/SOC</t>
  </si>
  <si>
    <t>Revitalizace okapového systému nádvoří</t>
  </si>
  <si>
    <t xml:space="preserve">Akce je zařazena z důvodu nutnosti nahrazení stávajících svodů dešťové vody v části střechy nádvoří. Nyní nevhodné svody jsou již v havarijním stavu. </t>
  </si>
  <si>
    <t>258/2024/SOC</t>
  </si>
  <si>
    <t>Zrušená akce znovu zařazena z důvodu dodatečného zjištění nemožnosti opravy původního zařízení</t>
  </si>
  <si>
    <t>SC</t>
  </si>
  <si>
    <t>259/2024/SOC</t>
  </si>
  <si>
    <t>Evakuační výtah Havlíčkova 447</t>
  </si>
  <si>
    <t>Vzhledem ke skladbě klientů je evakuační výtah nutností</t>
  </si>
  <si>
    <t>SC 82</t>
  </si>
  <si>
    <t>260/2024/SOC</t>
  </si>
  <si>
    <t>Rekonstrukce transformační stanice</t>
  </si>
  <si>
    <t>Transformátor a budova jsou v havarijním stavu</t>
  </si>
  <si>
    <t>029-29/2024/RK ze dne 22.8.2024 013-36/2024/ZK ze dne 9.9.2024</t>
  </si>
  <si>
    <t>08065</t>
  </si>
  <si>
    <t>08056</t>
  </si>
  <si>
    <t>snížení celkových nákladů o 474 tis. Kč, uhrazeno, zbývající částka se nebude čerpat, ukončeno</t>
  </si>
  <si>
    <t>změna financování – převod 115 tis. Kč z r. 2024 do r. 2025</t>
  </si>
  <si>
    <t>uhrazeno, ukončeno</t>
  </si>
  <si>
    <t>změna financování – převod 468 tis. Kč z r. 2024 do r. 2025</t>
  </si>
  <si>
    <t>048-23/2023/RK ze dne 8.6.2023 015-26/2023/ZK ze dne 26.6.2023</t>
  </si>
  <si>
    <t>změna financování – převod 80 tis. Kč z r. 2024 do r. 2025</t>
  </si>
  <si>
    <t>19/2024/OVM</t>
  </si>
  <si>
    <t>Intenzifikace ČOV Sedlec</t>
  </si>
  <si>
    <t>Realizace akce domluvená s obcí na základě smlouvy ag. č. S-7252/KSUS/2023</t>
  </si>
  <si>
    <t>20/2024/OVM</t>
  </si>
  <si>
    <t>dovybavení, případně rozšíření regionálních center zastávkové služby (jedná se o velké tiskárny, plotry,..)</t>
  </si>
  <si>
    <t>21/2024/OVM</t>
  </si>
  <si>
    <t>dovybavení, případně rozšíření regionálních center zastávkové služby o automil k zajištění provozní činnosti (např. výlepu jŘ,…)</t>
  </si>
  <si>
    <t>22/2024/OVM</t>
  </si>
  <si>
    <t>vozidlo pro Odbor řízení provozu IDSK</t>
  </si>
  <si>
    <t>vozdlo k možnosti zajištění operativního řízení provozu dopravy v terénu</t>
  </si>
  <si>
    <t>23/2024/OVM</t>
  </si>
  <si>
    <t>vozidlo pro Přepravní kontrolu, tým 2</t>
  </si>
  <si>
    <t>Postupné rozšiřování přepravní kontroly a logistické zabezpečení přepravy revizorů po území celého kraje</t>
  </si>
  <si>
    <t>24/2024/OVM</t>
  </si>
  <si>
    <t>vozidlo pro Přepravní kontrolu, tým 3</t>
  </si>
  <si>
    <t>25/2024/OVM</t>
  </si>
  <si>
    <t>vozidlo pro Přepravní kontrolu, tým 4</t>
  </si>
  <si>
    <t>26/2024/OVM</t>
  </si>
  <si>
    <t>Přeložka silnice II/101, okružní křižovatka k P+R</t>
  </si>
  <si>
    <t>Vyvolaná investice SK k parkovacímu domu, PD hrazeno SŽ</t>
  </si>
  <si>
    <t>27/2024/OVM</t>
  </si>
  <si>
    <t>Novostavba silnice III. třídy „Nová Průběžná"</t>
  </si>
  <si>
    <t>Vyvolaná investice k TT Kobylisy–Zdiby, požadavek obce na zakládě smlouvy ag.č. S-7251/KSUS/2023</t>
  </si>
  <si>
    <t>Změna financování - převod 200 tis. Kč z r. 2024 do r. 2025 a 200 tis. Kč z r. 2024 do r. 2026</t>
  </si>
  <si>
    <t>Navýšení celkových nákladů o 214,66 mil. Kč na základě předpokládané hodnoty VZ ve finální ZD.  Změna financování - převod 75,74 mil. Kč z r. 2024 do r. 2025</t>
  </si>
  <si>
    <t>Navýšení celkových nákladů o 5,169 mil. Kč na základě verifikace a uzavřeného Dodatku č. 1 ke SES.</t>
  </si>
  <si>
    <t>Změna financování - převod 7,043 mil. Kč z r. 2024 do r. 2025</t>
  </si>
  <si>
    <t>Změna způsobu financování - 220 tis.Kč převedeno z jiných zdrojů-mimo rozpočet SK ( Dotace) , bude financováno z kap.12 rozpočtu SK v r. 2024. Ze ZI je hrazena poslední část smlouvy o dílo na dodávku EPS v novém pavilonu</t>
  </si>
  <si>
    <t xml:space="preserve">Navýšení CN o 7,75 mil.  Kč v důsledku požadavků pam. péče a změny materiálu na horní části ohradní zdi. </t>
  </si>
  <si>
    <t>34/2024/OHS</t>
  </si>
  <si>
    <t>Instalace odvlhčovacích jednotek do spisoven v suterénu KÚ</t>
  </si>
  <si>
    <t>dosažení předepsaných podmínek stanovených pro místnosti na ukládání spisů</t>
  </si>
  <si>
    <t>35/2024/OHS</t>
  </si>
  <si>
    <t>Pořízení užitkového vozidla - 8 míst</t>
  </si>
  <si>
    <t>Obměna stávajícího vozidla pořízeného v roce 2011 s vysokým nájezdem a poruchovostí.</t>
  </si>
  <si>
    <t xml:space="preserve">Změna financování - převod 500 tis. Kč z r. 2024 do r. 2025.   </t>
  </si>
  <si>
    <t>Změna financování - převod 2 mil. Kč z r. 2024 do r. 2025.</t>
  </si>
  <si>
    <t xml:space="preserve">Změna financování - převod 816 tis. Kč z r. 2024 do r. 2025.  </t>
  </si>
  <si>
    <t xml:space="preserve">Změna financování - převod 450 tis. Kč z r. 2024 do r. 2025.  </t>
  </si>
  <si>
    <t>Změna financování - převod 10 mil. Kč z r. 2024 do r. 2025.   Dílčí plnění - po etapách</t>
  </si>
  <si>
    <t>snížení CN o 37 tis. Kč</t>
  </si>
  <si>
    <t>Změna financování - převod 10 mil. Kč z r. 2024 do r. 2025.</t>
  </si>
  <si>
    <t xml:space="preserve">Změna financování - převod 550 tis. Kč z r. 2024 do r. 2025.  </t>
  </si>
  <si>
    <t>Změna financování - převod 7,5 mil. Kč z r. 2024 do r. 2025.</t>
  </si>
  <si>
    <t>Změna financování - převod 10 mil. Kč z r. 2024 do r. 2025.   Postupné dílčí plnění</t>
  </si>
  <si>
    <t>Změna financování - převod 2 mil. Kč z r. 2024 do r. 2025.   Postupné dílčí plnění</t>
  </si>
  <si>
    <t>Změna financování - převod 500 tis. Kč z r. 2024 do r. 2025.  Rámcová smlouva, podněty PČR, připraveny návrhy zlepšení BESIP.</t>
  </si>
  <si>
    <t>Snížení CN o 139 tis. Kč.</t>
  </si>
  <si>
    <t>Snížení CN o 7 tis. Kč.</t>
  </si>
  <si>
    <t>Snížení CN o 73 tis. Kč</t>
  </si>
  <si>
    <t>Snížení CN o 259 tis. Kč.</t>
  </si>
  <si>
    <t>Snížení CN o 24,9 mil. Kč.</t>
  </si>
  <si>
    <t>11/2025</t>
  </si>
  <si>
    <t>Navýšení CN o 400 tis Kč započtení TDI</t>
  </si>
  <si>
    <t>Navýšení CN o 1,022 mil. Kč - vícepráce</t>
  </si>
  <si>
    <t>změna způsobu financování - financování ze SFDI</t>
  </si>
  <si>
    <t>ZBV</t>
  </si>
  <si>
    <t>Změna způsobu financování - financováno z EU (převod do ZP)  -  původ. CN 145,2 mil. Kč</t>
  </si>
  <si>
    <t>Snížení CN o 2,9 mil. Kč</t>
  </si>
  <si>
    <t>Snížení CN o 9 mil. Kč soutěží</t>
  </si>
  <si>
    <t>Snížení CN o 2,77 mil. Kč méněpráce</t>
  </si>
  <si>
    <t>Změna financování - převod 5 mil. Kč z r. 2024 do r. 2026+</t>
  </si>
  <si>
    <t>Změna financování - převod 7,83 mil. Kč z r. 2025 do r. 2024</t>
  </si>
  <si>
    <t>Změna způsobu financování -  přesunuto do financování ze SFDI</t>
  </si>
  <si>
    <t>Snížení CN o 9,575 mil. Kč soutěží</t>
  </si>
  <si>
    <t>Snížení CN o 11,06 mil. Kč soutěží</t>
  </si>
  <si>
    <t>Snížení CN o 3,073 mil. Kč soutěží</t>
  </si>
  <si>
    <t>Snížení CN o 7,123 mil. Kč soutěží</t>
  </si>
  <si>
    <t>Snížení CN o 8,2 mil. Kč soutěží</t>
  </si>
  <si>
    <t>Snížení CN o 3,649 mil. Kč soutěží</t>
  </si>
  <si>
    <t>Snížení CN o 46 tis Kč méněpráce</t>
  </si>
  <si>
    <t>Snížení CN o 24 tis Kč méněpráce</t>
  </si>
  <si>
    <t>Snížení CN o 11,165 mil. Kč soutěží</t>
  </si>
  <si>
    <t>Snížení CN o 129 tis Kč soutěží</t>
  </si>
  <si>
    <t>Zvýšení CN o 1,028 mil. Kč vícepráce</t>
  </si>
  <si>
    <t>Snížení CN o 35,611 mil. Kč soutěží</t>
  </si>
  <si>
    <t>Změna financování - převod 2 mil. Kč z r. 2024 do r. 2025</t>
  </si>
  <si>
    <t>Snížení CN o 7,334 mil. Kč soutěží</t>
  </si>
  <si>
    <t>Snížení CN o 6,831 mil. Kč soutěží</t>
  </si>
  <si>
    <t>Snížení CN o 4,791 mil. Kč soutěží</t>
  </si>
  <si>
    <t>Snížení CN o 10,995 mil. Kč soutěží</t>
  </si>
  <si>
    <t>Snížení CN o 5,069 mil. Kč soutěží</t>
  </si>
  <si>
    <t>Snížení CN o 13,592 mil. Kč soutěží</t>
  </si>
  <si>
    <t>Snížení CN o 3,704 mil. Kč soutěží</t>
  </si>
  <si>
    <t>Snížení CN o 13,163 mil. Kč soutěží</t>
  </si>
  <si>
    <t>Snížení CN o 3,405 mil. Kč soutěží</t>
  </si>
  <si>
    <t>Snížení CN o 6,382 mil. Kč soutěží</t>
  </si>
  <si>
    <t>Snížení CN o 4,471 mil. Kč soutěží</t>
  </si>
  <si>
    <t>Změna financování - převod 37 mil. Kč z r. 2024 do r. 2025</t>
  </si>
  <si>
    <t>7/2025</t>
  </si>
  <si>
    <t>Změna financování - převod 15 mil. Kč z r. 2024 do r. 2025</t>
  </si>
  <si>
    <t>Snížení CN o 3,02 mil. Kč soutěží.   Společná investice s městem</t>
  </si>
  <si>
    <t>Změna financování - převod 3,941 mil. Kč z r. 2024 do r. 2025</t>
  </si>
  <si>
    <t>Snížení CN o 26,538 mil. Kč soutěží</t>
  </si>
  <si>
    <t>III/00310 Průhonice, úsek mezi OK</t>
  </si>
  <si>
    <t xml:space="preserve">změna názvu </t>
  </si>
  <si>
    <t>Změna financování - převod 13,9 mil. Kč z r. 2024 do r. 2025</t>
  </si>
  <si>
    <t>Snížení CN o 2,746 mil. Kč soutěží</t>
  </si>
  <si>
    <t>Snížení CN o 4,303 mil. Kč soutěží</t>
  </si>
  <si>
    <t>Navýšení CN o 23 tis Kč -  navýšení rozsahu navazujících ploch silnice</t>
  </si>
  <si>
    <t>Navýšení CN o 16,66 mil Kč -  nutné realizovat větší rozsah souvisejících stavebních prací vůči plánu</t>
  </si>
  <si>
    <t>Snížení CN o 6,165 mil. Kč soutěží</t>
  </si>
  <si>
    <t>6/2026</t>
  </si>
  <si>
    <t>Navýšení CN o 10 mil. Kč -  navýšení rozsahu předpokládaných prací</t>
  </si>
  <si>
    <t>413/2024/DOP</t>
  </si>
  <si>
    <t>II/113 Bílkovice - most ev.č.113-015</t>
  </si>
  <si>
    <t>Snížení CN o 108 tis. Kč</t>
  </si>
  <si>
    <t>změna financování - převod 419 tis. Kč z r. 2025 do r. 2024</t>
  </si>
  <si>
    <t>Změna způsobu financování - přesun zbývajících 47,833 mil. Kč - financování z SFDI (původ. CN 60 mil. Kč)</t>
  </si>
  <si>
    <t>Snížení CN o 4,08 mil. Kč soutěží</t>
  </si>
  <si>
    <t>DHM pro regionální centrum zastávkové služby</t>
  </si>
  <si>
    <t>automobil pro regionální centrum zastávkové služby</t>
  </si>
  <si>
    <t>Navýšení CN o 172 tis Kč, ZBV</t>
  </si>
  <si>
    <t>414/2024/DOP</t>
  </si>
  <si>
    <t>II/611 Nehvizdy, obchvat</t>
  </si>
  <si>
    <t>415/2024/DOP</t>
  </si>
  <si>
    <t>II/338 Žehušice- hr. Obl.</t>
  </si>
  <si>
    <t>416/2024/DOP</t>
  </si>
  <si>
    <t>III/3284 Sendražice, propustek</t>
  </si>
  <si>
    <t>III/3284 Sendražice, ul. Hlavní</t>
  </si>
  <si>
    <t>II/336 Zruč nad Sázavou, ul. 1. máje</t>
  </si>
  <si>
    <t>III/3319 Kostomlaty nad Labem, ul. Doubravská, II. etapa</t>
  </si>
  <si>
    <t>III/12540 Lošany</t>
  </si>
  <si>
    <t>III/6031 Turkovice</t>
  </si>
  <si>
    <t>III/33016, III/32917 Křečkov</t>
  </si>
  <si>
    <t>III/27528 Dymokury</t>
  </si>
  <si>
    <t>II/336 Dolní Pohleď</t>
  </si>
  <si>
    <t>III/33014 Kovansko</t>
  </si>
  <si>
    <t>III/00312 Říčany, ul. Rooseveltova</t>
  </si>
  <si>
    <t>II-102 Davle, úprava zpevněných ploch</t>
  </si>
  <si>
    <t>lll/25934 Tupadly</t>
  </si>
  <si>
    <t>II/272 Dolní Cetno – Pětikozly</t>
  </si>
  <si>
    <t xml:space="preserve">III/2759 Rejšice – Chudíř </t>
  </si>
  <si>
    <t xml:space="preserve">III/27511 Kosořice - Dobrovice </t>
  </si>
  <si>
    <t>III/2736 Liběchov - Strážnice</t>
  </si>
  <si>
    <t>III/26817 Jivina - Strážiště</t>
  </si>
  <si>
    <t>III/24019, III/24022 Olovnice</t>
  </si>
  <si>
    <t xml:space="preserve">III/10169 Škvorec </t>
  </si>
  <si>
    <t>III/3322 Čachovice - Lipník</t>
  </si>
  <si>
    <t>III/27221 Chotětov - Hrušov</t>
  </si>
  <si>
    <t>III/24213 Odolena Voda - Veliká Ves</t>
  </si>
  <si>
    <t>II/113 Vestec-Ostředek</t>
  </si>
  <si>
    <t>III/01816 Roudný</t>
  </si>
  <si>
    <t>III/12140 Arnoštovice - Heřmaničky</t>
  </si>
  <si>
    <t>III/176 Březnice-Bubovice-Zliv</t>
  </si>
  <si>
    <t>III/10519 Křečovice - kř. s III/11432</t>
  </si>
  <si>
    <t>III/11226 Drahňovice</t>
  </si>
  <si>
    <t>II/605 Loděnice-Cerhovice</t>
  </si>
  <si>
    <t>II/206 Žďár</t>
  </si>
  <si>
    <t>II/227 Rakovník</t>
  </si>
  <si>
    <t>II/229 Rakovník, OK Plzeňská</t>
  </si>
  <si>
    <t>II/237 Mšec-Srbeč</t>
  </si>
  <si>
    <t>II/229 Krupá, Třeboc</t>
  </si>
  <si>
    <t>III/2275 Kněževes-Kolešovice</t>
  </si>
  <si>
    <t>III/22913 Olešná-Chrášťany</t>
  </si>
  <si>
    <t>III/23739 Řevničov</t>
  </si>
  <si>
    <t>III/23629 Drnek</t>
  </si>
  <si>
    <t>II/239 Vraný-Jarpice</t>
  </si>
  <si>
    <t>II/240 Černuc</t>
  </si>
  <si>
    <t>III/24028 Neuměřice-Velvary</t>
  </si>
  <si>
    <t>III/24025 Zvoleněves-Osluchov</t>
  </si>
  <si>
    <t>III/23713 Jedomělice-Byseň</t>
  </si>
  <si>
    <t>II/101, III/10134  Červený Újezd</t>
  </si>
  <si>
    <t>II/118 Bavoryně - Zdice</t>
  </si>
  <si>
    <t>417/2024/DOP</t>
  </si>
  <si>
    <t>418/2024/DOP</t>
  </si>
  <si>
    <t>419/2024/DOP</t>
  </si>
  <si>
    <t>420/2024/DOP</t>
  </si>
  <si>
    <t>421/2024/DOP</t>
  </si>
  <si>
    <t>422/2024/DOP</t>
  </si>
  <si>
    <t>423/2024/DOP</t>
  </si>
  <si>
    <t>424/2024/DOP</t>
  </si>
  <si>
    <t>425/2024/DOP</t>
  </si>
  <si>
    <t>426/2024/DOP</t>
  </si>
  <si>
    <t>427/2024/DOP</t>
  </si>
  <si>
    <t>428/2024/DOP</t>
  </si>
  <si>
    <t>429/2024/DOP</t>
  </si>
  <si>
    <t>430/2024/DOP</t>
  </si>
  <si>
    <t>431/2024/DOP</t>
  </si>
  <si>
    <t>432/2024/DOP</t>
  </si>
  <si>
    <t>433/2024/DOP</t>
  </si>
  <si>
    <t>434/2024/DOP</t>
  </si>
  <si>
    <t>435/2024/DOP</t>
  </si>
  <si>
    <t>436/2024/DOP</t>
  </si>
  <si>
    <t>437/2024/DOP</t>
  </si>
  <si>
    <t>438/2024/DOP</t>
  </si>
  <si>
    <t>439/2024/DOP</t>
  </si>
  <si>
    <t>440/2024/DOP</t>
  </si>
  <si>
    <t>441/2024/DOP</t>
  </si>
  <si>
    <t>442/2024/DOP</t>
  </si>
  <si>
    <t>443/2024/DOP</t>
  </si>
  <si>
    <t>444/2024/DOP</t>
  </si>
  <si>
    <t>445/2024/DOP</t>
  </si>
  <si>
    <t>446/2024/DOP</t>
  </si>
  <si>
    <t>447/2024/DOP</t>
  </si>
  <si>
    <t>448/2024/DOP</t>
  </si>
  <si>
    <t>449/2024/DOP</t>
  </si>
  <si>
    <t>450/2024/DOP</t>
  </si>
  <si>
    <t>451/2024/DOP</t>
  </si>
  <si>
    <t>452/2024/DOP</t>
  </si>
  <si>
    <t>453/2024/DOP</t>
  </si>
  <si>
    <t>454/2024/DOP</t>
  </si>
  <si>
    <t>455/2024/DOP</t>
  </si>
  <si>
    <t>456/2024/DOP</t>
  </si>
  <si>
    <t>457/2024/DOP</t>
  </si>
  <si>
    <t>458/2024/DOP</t>
  </si>
  <si>
    <t>459/2024/DOP</t>
  </si>
  <si>
    <t>460/2024/DOP</t>
  </si>
  <si>
    <t>461/2024/DOP</t>
  </si>
  <si>
    <t>Změna financování - převod 5 mil. Kč z r. 204 do r. 2026+</t>
  </si>
  <si>
    <t>08011</t>
  </si>
  <si>
    <t>07498</t>
  </si>
  <si>
    <t>08048</t>
  </si>
  <si>
    <t>08035</t>
  </si>
  <si>
    <t>08036</t>
  </si>
  <si>
    <t>08013</t>
  </si>
  <si>
    <t>08039</t>
  </si>
  <si>
    <t>07982</t>
  </si>
  <si>
    <t>08063</t>
  </si>
  <si>
    <t>08061</t>
  </si>
  <si>
    <t>08062</t>
  </si>
  <si>
    <t>08064</t>
  </si>
  <si>
    <t>Změna financování (převod 3 mil.Kč z r. 2024 do r. 2025), s ohledem na průtahy při majetkovém vypořádání a přeložení plynárenského zařízení</t>
  </si>
  <si>
    <t>Rekonstrukce kuchyně a jídelny DM -  SOŠ a SOU Kladno</t>
  </si>
  <si>
    <t>Střední pedagogická škola a Střední odborná škola služeb Mladá Boleslav, příspěvková organizace</t>
  </si>
  <si>
    <t>Změna financování (převod 4 mil.Kč z r. 2024 do r. 2025), s ohledem na dodání vybavení</t>
  </si>
  <si>
    <t>Změna financování (převod 500 tis.Kč z r. 2024 do r. 2025), s ohledem na termín dokončení PD v rocce 2025</t>
  </si>
  <si>
    <t xml:space="preserve">Změna financování (převod 3,24 mil.Kč z r. 2024 do r. 2025)  </t>
  </si>
  <si>
    <t>Změna financování (převod 3 mil.Kč z r. 2024 do r. 2025), s ohledem na termín dokončení PD v rocce 2025</t>
  </si>
  <si>
    <t>Změna financování (převod 200 tis.Kč z r. 2024 do r. 2025), s ohledem na nutnost opakovaného vyhlášení VZ - prodloužení doby předpokládaného dokončení díla. Celkové náklady uvedeny včetně podílu ostatních partnerů (Město Ml. Boleslav, NFŠA, Nadace Vize 0)</t>
  </si>
  <si>
    <t xml:space="preserve">Změna financování (převod 1 mil.Kč z r. 2024 do r. 2025),s ohledem  na termín dokončení PD a následné kroky k vyhlášení VZ na realizátora </t>
  </si>
  <si>
    <t xml:space="preserve">Změna financování (převod 1 mil.Kč z r. 2024 do r. 2025), s ohledem na předpokládaný termín vyhlášení VZ </t>
  </si>
  <si>
    <t xml:space="preserve">Změna financování (převod 600 tis.Kč z r. 2024 do r. 2025), s ohledem na předpokládaný termín vyhlášení VZ </t>
  </si>
  <si>
    <t>. Změna financování (převod 1,2 mil. Kč z r. 2024 do r. 2025)</t>
  </si>
  <si>
    <t>. Změna financování (převod 8 mil. Kč z r. 2024 do r. 2025)</t>
  </si>
  <si>
    <t xml:space="preserve">Změna financování (převod 400 tis.Kč z r. 2024 do r. 2025), s ohledem na vyjádření investičního technika z odboru majetku   </t>
  </si>
  <si>
    <t>Změna financování (převod 4 mil.Kč z r. 2024 do r. 2025), s ohledem na vyjádření památkového úřadu</t>
  </si>
  <si>
    <t>07854</t>
  </si>
  <si>
    <t>Školní statek Středočeského kraje</t>
  </si>
  <si>
    <t xml:space="preserve">Změna financování (převod 6 mil.Kč z r. 2024 do r. 2025)  </t>
  </si>
  <si>
    <t>Změna financování (převod 750 tis.Kč z r. 2024 do r. 2025), s ohledem na vyřešení majetkových poměrů</t>
  </si>
  <si>
    <t>. Změna financování (převod 2 mil. Kč z r. 2024 do r. 2025)</t>
  </si>
  <si>
    <t xml:space="preserve">Změna financování (převod 6,19 mil.Kč z r. 2024 do r. 2025)  </t>
  </si>
  <si>
    <t xml:space="preserve">Změna financování (převod 3,1 mil.Kč z r. 2024 do r. 2025)  </t>
  </si>
  <si>
    <t xml:space="preserve">Změna financování (převod 1,936 mil.Kč z r. 2024 do r. 2025)  </t>
  </si>
  <si>
    <t xml:space="preserve">Změna financování (převod 1,3 mil.Kč z r. 2024 do r. 2025)  </t>
  </si>
  <si>
    <t>Snížení celkových nákladů o 161 tis. Kč, dodavatel zrealizoval zakázku na dodávku za nižší cenu</t>
  </si>
  <si>
    <t>. Změna financování (převod 5 mil. Kč z r. 2024 do r. 2025)</t>
  </si>
  <si>
    <t>8087</t>
  </si>
  <si>
    <t xml:space="preserve">Snížení celkových nákladů o 7 mil. Kč na základě zhotovení cenového rozpočtu. Změna financování (převod 2 mil. Kč z r. 2024 do r. 2025)   </t>
  </si>
  <si>
    <t>08088</t>
  </si>
  <si>
    <t>08089</t>
  </si>
  <si>
    <t>244/2024/SKOL</t>
  </si>
  <si>
    <t>Výstavba ZŠ a všeobecné střední školy v Roztokách</t>
  </si>
  <si>
    <t>V budoucnu založená PO</t>
  </si>
  <si>
    <t>245/2024/SKOL</t>
  </si>
  <si>
    <t>Zbudování přechodu mezi objekty na OP Tehov</t>
  </si>
  <si>
    <t>Zbudování přechodu pro chodce mezi domovem mládeže a odloučeném pracovišti.</t>
  </si>
  <si>
    <t>246/2024/SKOL</t>
  </si>
  <si>
    <t>Nový školní autobus uzpůsobený pro žáky s postižením</t>
  </si>
  <si>
    <t>Nákup a přestavba nového autobusu pro účely přepravy žáků s tělesním postížením</t>
  </si>
  <si>
    <t>Změna financování (převod 500 tis.Kč z r. 2024 do r. 2025), s ohledem na termín dokončení PD v roce 2025</t>
  </si>
  <si>
    <t>změna financování - částka 5,7 mil. Kč převedena z r. 2024 do roku 2025</t>
  </si>
  <si>
    <t>změna financování - částka 2,641 mil. Kč převedena z r. 2024 do roku 2025</t>
  </si>
  <si>
    <t>snížení CN o 98 tis. Kč, akce ukončena</t>
  </si>
  <si>
    <t>navýšení CN o 200 tis. Kč - vyšší výbava (výdřeva nákladového prostoru)</t>
  </si>
  <si>
    <t>navýšení CN o 200 tis. Kč - vyšší výbava</t>
  </si>
  <si>
    <t>změna financování - částka 365 tis. Kč převedena z r. 2024 do roku 2025</t>
  </si>
  <si>
    <t>změna financování - částka 5,1 mil. Kč převedena z r. 2025 do roku 2026+</t>
  </si>
  <si>
    <t>změna financování - částka 2,2 mil. Kč převedena z r. 2024 do roku 2025</t>
  </si>
  <si>
    <t>změna financování - částka 15,68 mil. Kč převedena z r. 2024 do roku 2025, částka 39,32 mil. Kč z r. 2025 do roku 2026</t>
  </si>
  <si>
    <t>změna financování - částka 3 mil. Kč převedena z r. 2024 do roku 2025</t>
  </si>
  <si>
    <t>původní celkové náklady 1,2 mil. Kč, akce zrušena, charakter akce neodpovídá investici</t>
  </si>
  <si>
    <t>změna financování - částka 2,596 mil. Kč převedena z r. 2025 do roku 2024</t>
  </si>
  <si>
    <t>změna financování - částka 14,639 mil. Kč převedena z r. 2024 do roku 2025</t>
  </si>
  <si>
    <t>změna financování - částka 195 tis. Kč převedena z r. 2024 do roku 2025</t>
  </si>
  <si>
    <t>08108</t>
  </si>
  <si>
    <t>08109</t>
  </si>
  <si>
    <t>navýšení CN o 6 tis. Kč, důvodem je výběr dražšího barevného provedení vybavení</t>
  </si>
  <si>
    <t>změna financování - částka 6,2 mil. Kč převedena z r. 2024 do roku 2025</t>
  </si>
  <si>
    <t>změna financování - částka 295 tis. Kč převedena z r. 2024 do roku 2025</t>
  </si>
  <si>
    <t>změna financování - částka 5,699 mil. Kč převedena z r. 2024 do roku 2025</t>
  </si>
  <si>
    <t>08020</t>
  </si>
  <si>
    <t>změna financování - částka 3,8 mil. Kč převedena z r. 2024 do roku 2025</t>
  </si>
  <si>
    <t>změna financování - částka 153 tis. Kč převedena z r. 2024 do roku 2025</t>
  </si>
  <si>
    <t>změna financování - částka 1 mil. Kč převedena z r. 2024 do roku 2025</t>
  </si>
  <si>
    <t>změna financování - částka 600 tis. Kč převedena z r. 2024 do roku 2025</t>
  </si>
  <si>
    <t>změna financování - částka 883 tis. Kč převedena z r. 2026+ do roku 2024</t>
  </si>
  <si>
    <t xml:space="preserve">navýšení CN o 29 tis. Kč - vypracování znaleckého posudku k určení ceny obvyklé pozemků </t>
  </si>
  <si>
    <t>304/2024/KUL</t>
  </si>
  <si>
    <t>Rekonstrukce budovy č.p. 52 - Penzion GASK</t>
  </si>
  <si>
    <t>změna užívání budovy, Vysoká škola politických a společenských věd ukončila svou činnost</t>
  </si>
  <si>
    <t>305/2024/KUL</t>
  </si>
  <si>
    <t>Nákup 2 uměleckých děl Jakuba Švédy</t>
  </si>
  <si>
    <t>výjimečná díla schválená Sbírkotvornou komisí</t>
  </si>
  <si>
    <t>306/2024/KUL</t>
  </si>
  <si>
    <t>CCTV ochrana návštěvnických prostor Středočeské knihovny</t>
  </si>
  <si>
    <t>CCTV systému se záznamem doporučila jak analýza měkkých cílů</t>
  </si>
  <si>
    <t>307/2024/KUL</t>
  </si>
  <si>
    <t>Instalace zabezpečovacího systému GALAXY (PZS), připojení na PCO,DSS + dodání a montáž kamerového systému</t>
  </si>
  <si>
    <t xml:space="preserve"> zrušení finančně nákladné služby ostrahy a ochrany obou budov v Husově ulici</t>
  </si>
  <si>
    <t>Navýšení celkových nákladů o 65 mil. Kč.
Celková částka navýšena na základě změnových listů (umístění magnetické rezonace, změna technologie na multioborové jednotce intezivní péče).</t>
  </si>
  <si>
    <t>viz soubor objektů č. 10</t>
  </si>
  <si>
    <t>Navýšení celkových nákladů o 108 mil. Kč
Celková cena upravena na základě ukončené architektonické studie a projektu.</t>
  </si>
  <si>
    <t>8079</t>
  </si>
  <si>
    <t>8080</t>
  </si>
  <si>
    <t>8082</t>
  </si>
  <si>
    <t>8083</t>
  </si>
  <si>
    <t>Změna financování - převod 21,687 mil. Kč z r. 2024 do r. 2025</t>
  </si>
  <si>
    <t>změna financování - částka 4,721 mil. Kč převedena z r. 2024 do roku 2025</t>
  </si>
  <si>
    <t>změna financování - částka 8,05 mil. Kč převedena z r. 2024 do roku 2025</t>
  </si>
  <si>
    <t>změna financování - částka 700 tis. Kč převedena z r. 2024 do roku 2025</t>
  </si>
  <si>
    <t>navýšení CN o 230 tis. Kč na základě poptávkového řízení</t>
  </si>
  <si>
    <t>změna financování - částka 6,49 mil. Kč převedena z r. 2024 do roku 2025</t>
  </si>
  <si>
    <t>08110</t>
  </si>
  <si>
    <t>308/2024/KUL</t>
  </si>
  <si>
    <t>Samostatný altán v návštěvnické zóně - vědecká rekonstrukce "Masarykovy besídky"</t>
  </si>
  <si>
    <t>edukační a meditativní místo, rozšiřování nabídky služeb</t>
  </si>
  <si>
    <t>309/2024/KUL</t>
  </si>
  <si>
    <t>Pomník genmjr. Josefa Kholla</t>
  </si>
  <si>
    <t>rozšíření povědomí veřejnosti o existenci důležitého místa pro pobyt A. Dvořáka ve Vysoké</t>
  </si>
  <si>
    <t xml:space="preserve">Navýšení celkových nákladů o 7 mil. Kč na základě zpracované projektové dokumentace a zároveň změna financování (převod 17 mil.Kč z r. 2024 do r. 2025)  </t>
  </si>
  <si>
    <t>247/2024/SKOL</t>
  </si>
  <si>
    <t>Výstavba nové tělocvičny SG Kladno - PD</t>
  </si>
  <si>
    <t>Záměrem akce je projekt k výstavbě multifunkční tělocvičny, která nahradí stávající tělocvičnu ve vážném havarijním stavu</t>
  </si>
  <si>
    <t xml:space="preserve">. </t>
  </si>
  <si>
    <t>Změna financování - převod 500 tis. Kč z r. 2024 do r. 2025.  Vlivem vleklých průtahů při zpracování a schválení územní studie městem Beroun není reálné, že by PD byla dokončena v roce 2024</t>
  </si>
  <si>
    <t>ukončeno předáním silnice jinému majiteli  (pův. CN 841 tis.Kč)</t>
  </si>
  <si>
    <t xml:space="preserve">snížení CN o 1,529 mil. Kč, změna způsobu financování  - přesun do financování SFDI </t>
  </si>
  <si>
    <t xml:space="preserve">Snížení CN o 461 tis. Kč.   V r. 2024 VDZ a ZBV. </t>
  </si>
  <si>
    <t>Navýšení CN o 67 tis. Kč - aktualizace ceny po vysoutěžení</t>
  </si>
  <si>
    <t>Snížení CN o 804 tis. Kč</t>
  </si>
  <si>
    <t>Snížení CN o 1,15 mil. Kč</t>
  </si>
  <si>
    <t>Snížení CN o 1,417 mil. Kč</t>
  </si>
  <si>
    <t>07897</t>
  </si>
  <si>
    <t>07495</t>
  </si>
  <si>
    <t>Navýšení CN - Po odfrézování a očištění krajnic s dopřesněni rozsahu napojení došlo ke zjištění nárustu počtu výškové úpravy položky týkající se odvodnění a inž. sítí (akce již uzavřená v 1/2024, znovu otevřená-nutnost proplacení závěrečné faktury)</t>
  </si>
  <si>
    <t>07500</t>
  </si>
  <si>
    <t>08049</t>
  </si>
  <si>
    <t>08060</t>
  </si>
  <si>
    <t>08005</t>
  </si>
  <si>
    <t>08070</t>
  </si>
  <si>
    <t>08085</t>
  </si>
  <si>
    <t>Změna způsobu financování -  část. přesunuto do financování ze SFDI (původ. CN 6 mil. Kč)</t>
  </si>
  <si>
    <t>Instalace klimatizačních jednotek do vybraných kanceláří budovy KÚ</t>
  </si>
  <si>
    <t>Změna financování - převod 2 mil. Kč z r. 2024 do r. 2025. Změna názvu akce</t>
  </si>
  <si>
    <t>Převod finančních prostředků z kapitoly 12 - Investiční výdaje a kapitoly 23 – Ostatní do kapitoly 04 – Doprava na navýšení příspěvku pro PO KSÚS v roce 2024 (usnesení č. 150-29/2024/RK ze dne 22.8.2024)</t>
  </si>
  <si>
    <t>Převod finančních prostředků z Kapitoly 07 - Zdravotnictví do Kapitoly 12 - Investiční výdaje (usnesení č. 029-32/2024/RK ze dne 19.9.2024)</t>
  </si>
  <si>
    <t>Společný projekt města Roztoky a SK. V budoucnu vznikne společná PO.</t>
  </si>
  <si>
    <t>Limity čerpání r. 2024 - 489,636 mil. Kč z vlastních prostředků SK, 800 mil. Kč z prostředků EIB</t>
  </si>
  <si>
    <t>Limit čerpání r. 2024 - 2 205,819 mil. Kč z vlastních prostředků SK,   846 mil. Kč z prostředků EIB</t>
  </si>
  <si>
    <t>Nová střecha na objektech trejvů ČMS, po. Barborská 28, Kutná Hora</t>
  </si>
  <si>
    <t>navýšení CN o 313 tis. Kč - vícenáklady vycházející z nově zjištěných skutečností v průběhu stavby</t>
  </si>
  <si>
    <t>462/2024/DOP</t>
  </si>
  <si>
    <t>III/1024 Řitka, rekonstrukce silnice a řešení křižovatek</t>
  </si>
  <si>
    <t>nepřidělení dotace ze SFDI , proto nutno uhradit z vlastních prostředků</t>
  </si>
  <si>
    <t>Navýšení CN o 6,266 mil. Kč - navýšeno z důvodu nestabilního podloží u potoku, změna technologie stavby opěrné zdi na mikropilotech</t>
  </si>
  <si>
    <t>08081</t>
  </si>
  <si>
    <t>07818</t>
  </si>
  <si>
    <t>08090</t>
  </si>
  <si>
    <t>08095</t>
  </si>
  <si>
    <t>08111</t>
  </si>
  <si>
    <t>07768, 07655</t>
  </si>
  <si>
    <t>Změna financování - převod 2,75 mil. Kč z r. 2024 do r. 2025.</t>
  </si>
  <si>
    <t>07251</t>
  </si>
  <si>
    <t xml:space="preserve">     Čerpání r.2024         (k 29.10.2024)</t>
  </si>
  <si>
    <t>Poznámka</t>
  </si>
  <si>
    <t>III/11216 Chmelná – Jeníkov</t>
  </si>
  <si>
    <t>II/105 Lešany – Netvořice</t>
  </si>
  <si>
    <t>Snížení CN o 8,5 mil. Kč soutěží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</si>
</sst>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_-* #,##0.00\ _K_č_-;\-* #,##0.00\ _K_č_-;_-* &quot;-&quot;??\ _K_č_-;_-@_-"/>
    <numFmt numFmtId="165" formatCode="#,##0.0000000"/>
    <numFmt numFmtId="166" formatCode="#,##0.00000"/>
    <numFmt numFmtId="167" formatCode="#,##0.000000"/>
    <numFmt numFmtId="168" formatCode="_-* #,##0_-;\-* #,##0_-;_-* &quot;-&quot;??_-;_-@_-"/>
    <numFmt numFmtId="169" formatCode="#,##0_ ;\-#,##0\ "/>
    <numFmt numFmtId="170" formatCode="#,##0.0000000000"/>
  </numFmts>
  <fonts count="5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strike/>
      <sz val="10"/>
      <name val="Arial"/>
      <family val="2"/>
      <charset val="238"/>
    </font>
    <font>
      <b/>
      <strike/>
      <sz val="10"/>
      <name val="Arial"/>
      <family val="2"/>
      <charset val="238"/>
    </font>
    <font>
      <strike/>
      <sz val="10"/>
      <color rgb="FF0000FB"/>
      <name val="Arial"/>
      <family val="2"/>
      <charset val="238"/>
    </font>
    <font>
      <sz val="10"/>
      <color rgb="FF0000FB"/>
      <name val="Arial"/>
      <family val="2"/>
      <charset val="238"/>
    </font>
    <font>
      <b/>
      <sz val="10"/>
      <color rgb="FF0000FB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name val="Arial"/>
      <family val="2"/>
      <charset val="238"/>
    </font>
    <font>
      <b/>
      <sz val="10"/>
      <color theme="1"/>
      <name val="Arial"/>
      <family val="2"/>
      <charset val="238"/>
    </font>
    <font>
      <strike/>
      <sz val="10"/>
      <color rgb="FFFF0000"/>
      <name val="Arial"/>
      <family val="2"/>
      <charset val="238"/>
    </font>
    <font>
      <sz val="11"/>
      <color indexed="8"/>
      <name val="Calibri"/>
      <family val="2"/>
      <charset val="238"/>
    </font>
    <font>
      <strike/>
      <sz val="11"/>
      <color rgb="FF0000FB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Arial"/>
      <family val="2"/>
      <charset val="238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trike/>
      <sz val="10"/>
      <color rgb="FFFF0000"/>
      <name val="Arial"/>
      <family val="2"/>
      <charset val="238"/>
    </font>
    <font>
      <sz val="8"/>
      <name val="Calibri"/>
      <family val="2"/>
      <scheme val="minor"/>
    </font>
    <font>
      <b/>
      <strike/>
      <sz val="10"/>
      <color rgb="FF0000FB"/>
      <name val="Arial"/>
      <family val="2"/>
      <charset val="238"/>
    </font>
    <font>
      <sz val="11"/>
      <color rgb="FF0000FB"/>
      <name val="Calibri"/>
      <family val="2"/>
      <scheme val="minor"/>
    </font>
    <font>
      <b/>
      <sz val="22"/>
      <name val="Calibri"/>
      <family val="2"/>
      <charset val="238"/>
      <scheme val="minor"/>
    </font>
    <font>
      <b/>
      <sz val="11"/>
      <name val="Arial"/>
      <family val="2"/>
      <charset val="238"/>
    </font>
    <font>
      <b/>
      <sz val="24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b/>
      <strike/>
      <sz val="12"/>
      <color rgb="FF0000FB"/>
      <name val="Arial"/>
      <family val="2"/>
      <charset val="238"/>
    </font>
    <font>
      <b/>
      <strike/>
      <sz val="12"/>
      <name val="Arial"/>
      <family val="2"/>
      <charset val="238"/>
    </font>
    <font>
      <strike/>
      <sz val="11"/>
      <name val="Calibri"/>
      <family val="2"/>
      <charset val="238"/>
      <scheme val="minor"/>
    </font>
    <font>
      <sz val="11"/>
      <color rgb="FF0000FB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trike/>
      <sz val="11"/>
      <color rgb="FF0000FB"/>
      <name val="Calibri"/>
      <family val="2"/>
      <charset val="238"/>
      <scheme val="minor"/>
    </font>
    <font>
      <b/>
      <sz val="24"/>
      <name val="Arial"/>
      <family val="2"/>
      <charset val="238"/>
    </font>
    <font>
      <strike/>
      <sz val="11"/>
      <name val="Arial"/>
      <family val="2"/>
      <charset val="238"/>
    </font>
    <font>
      <strike/>
      <sz val="11"/>
      <color theme="1"/>
      <name val="Calibri"/>
      <family val="2"/>
      <scheme val="minor"/>
    </font>
    <font>
      <b/>
      <strike/>
      <sz val="12"/>
      <color rgb="FFFF0000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12"/>
      <color rgb="FF0000FB"/>
      <name val="Arial"/>
      <family val="2"/>
      <charset val="238"/>
    </font>
    <font>
      <sz val="11"/>
      <color theme="1"/>
      <name val="Aptos"/>
      <family val="2"/>
    </font>
  </fonts>
  <fills count="22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8CBAD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9.9978637043366805E-2"/>
        <bgColor rgb="FF000000"/>
      </patternFill>
    </fill>
    <fill>
      <patternFill patternType="solid">
        <fgColor rgb="FF92D050"/>
        <bgColor rgb="FF000000"/>
      </patternFill>
    </fill>
    <fill>
      <patternFill patternType="solid">
        <fgColor theme="6" tint="0.39997558519241921"/>
        <bgColor indexed="64"/>
      </patternFill>
    </fill>
  </fills>
  <borders count="9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indexed="64"/>
      </bottom>
      <diagonal/>
    </border>
  </borders>
  <cellStyleXfs count="78">
    <xf numFmtId="0" fontId="0" fillId="0" borderId="0"/>
    <xf numFmtId="0" fontId="10" fillId="0" borderId="0"/>
    <xf numFmtId="0" fontId="10" fillId="0" borderId="0"/>
    <xf numFmtId="0" fontId="9" fillId="0" borderId="0"/>
    <xf numFmtId="0" fontId="10" fillId="0" borderId="0"/>
    <xf numFmtId="0" fontId="10" fillId="0" borderId="0"/>
    <xf numFmtId="0" fontId="8" fillId="0" borderId="0"/>
    <xf numFmtId="0" fontId="10" fillId="0" borderId="0"/>
    <xf numFmtId="164" fontId="24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7" fillId="0" borderId="0"/>
    <xf numFmtId="0" fontId="26" fillId="0" borderId="0"/>
    <xf numFmtId="0" fontId="6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5" fillId="0" borderId="0"/>
    <xf numFmtId="0" fontId="5" fillId="0" borderId="0"/>
    <xf numFmtId="164" fontId="24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4" fillId="0" borderId="0"/>
    <xf numFmtId="0" fontId="4" fillId="0" borderId="0"/>
    <xf numFmtId="164" fontId="2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164" fontId="2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3" fillId="0" borderId="0"/>
    <xf numFmtId="43" fontId="48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</cellStyleXfs>
  <cellXfs count="2823">
    <xf numFmtId="0" fontId="0" fillId="0" borderId="0" xfId="0"/>
    <xf numFmtId="0" fontId="10" fillId="0" borderId="0" xfId="0" applyFont="1" applyAlignment="1">
      <alignment vertical="center"/>
    </xf>
    <xf numFmtId="3" fontId="10" fillId="0" borderId="23" xfId="0" applyNumberFormat="1" applyFont="1" applyBorder="1" applyAlignment="1">
      <alignment vertical="center" wrapText="1"/>
    </xf>
    <xf numFmtId="3" fontId="10" fillId="0" borderId="14" xfId="0" applyNumberFormat="1" applyFont="1" applyBorder="1" applyAlignment="1">
      <alignment vertical="center" wrapText="1"/>
    </xf>
    <xf numFmtId="3" fontId="10" fillId="0" borderId="16" xfId="0" applyNumberFormat="1" applyFont="1" applyBorder="1" applyAlignment="1">
      <alignment vertical="center" wrapText="1"/>
    </xf>
    <xf numFmtId="3" fontId="11" fillId="0" borderId="32" xfId="1" applyNumberFormat="1" applyFont="1" applyBorder="1" applyAlignment="1">
      <alignment vertical="center" wrapText="1"/>
    </xf>
    <xf numFmtId="3" fontId="10" fillId="0" borderId="2" xfId="0" applyNumberFormat="1" applyFont="1" applyBorder="1" applyAlignment="1">
      <alignment vertical="center" wrapText="1"/>
    </xf>
    <xf numFmtId="3" fontId="16" fillId="0" borderId="26" xfId="1" applyNumberFormat="1" applyFont="1" applyBorder="1" applyAlignment="1">
      <alignment vertical="center" wrapText="1"/>
    </xf>
    <xf numFmtId="3" fontId="15" fillId="0" borderId="32" xfId="0" applyNumberFormat="1" applyFont="1" applyBorder="1" applyAlignment="1">
      <alignment vertical="center" wrapText="1"/>
    </xf>
    <xf numFmtId="3" fontId="15" fillId="0" borderId="26" xfId="0" applyNumberFormat="1" applyFont="1" applyBorder="1" applyAlignment="1">
      <alignment vertical="center" wrapText="1"/>
    </xf>
    <xf numFmtId="3" fontId="10" fillId="0" borderId="40" xfId="0" applyNumberFormat="1" applyFont="1" applyBorder="1" applyAlignment="1">
      <alignment vertical="center" wrapText="1"/>
    </xf>
    <xf numFmtId="3" fontId="10" fillId="0" borderId="26" xfId="0" applyNumberFormat="1" applyFont="1" applyBorder="1" applyAlignment="1">
      <alignment vertical="center"/>
    </xf>
    <xf numFmtId="3" fontId="10" fillId="0" borderId="32" xfId="0" applyNumberFormat="1" applyFont="1" applyBorder="1" applyAlignment="1">
      <alignment vertical="center"/>
    </xf>
    <xf numFmtId="3" fontId="10" fillId="0" borderId="23" xfId="0" applyNumberFormat="1" applyFont="1" applyBorder="1" applyAlignment="1">
      <alignment vertical="center"/>
    </xf>
    <xf numFmtId="3" fontId="15" fillId="0" borderId="24" xfId="0" applyNumberFormat="1" applyFont="1" applyBorder="1" applyAlignment="1">
      <alignment vertical="center" wrapText="1"/>
    </xf>
    <xf numFmtId="3" fontId="11" fillId="0" borderId="13" xfId="1" applyNumberFormat="1" applyFont="1" applyBorder="1" applyAlignment="1">
      <alignment vertical="center" wrapText="1"/>
    </xf>
    <xf numFmtId="3" fontId="10" fillId="0" borderId="45" xfId="0" applyNumberFormat="1" applyFont="1" applyBorder="1" applyAlignment="1">
      <alignment vertical="center" wrapText="1"/>
    </xf>
    <xf numFmtId="3" fontId="10" fillId="0" borderId="15" xfId="0" applyNumberFormat="1" applyFont="1" applyBorder="1" applyAlignment="1">
      <alignment vertical="center" wrapText="1"/>
    </xf>
    <xf numFmtId="3" fontId="10" fillId="0" borderId="13" xfId="0" applyNumberFormat="1" applyFont="1" applyBorder="1" applyAlignment="1">
      <alignment vertical="center" wrapText="1"/>
    </xf>
    <xf numFmtId="0" fontId="10" fillId="0" borderId="32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0" xfId="0" applyFont="1"/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10" fillId="0" borderId="23" xfId="1" applyBorder="1" applyAlignment="1">
      <alignment horizontal="center" vertical="center" wrapText="1"/>
    </xf>
    <xf numFmtId="3" fontId="11" fillId="0" borderId="26" xfId="0" applyNumberFormat="1" applyFont="1" applyBorder="1" applyAlignment="1">
      <alignment vertical="center" wrapText="1"/>
    </xf>
    <xf numFmtId="49" fontId="15" fillId="0" borderId="26" xfId="0" applyNumberFormat="1" applyFont="1" applyBorder="1" applyAlignment="1">
      <alignment horizontal="center" vertical="center" wrapText="1"/>
    </xf>
    <xf numFmtId="0" fontId="15" fillId="0" borderId="26" xfId="0" applyFont="1" applyBorder="1" applyAlignment="1">
      <alignment horizontal="center" vertical="center" wrapText="1"/>
    </xf>
    <xf numFmtId="0" fontId="15" fillId="0" borderId="26" xfId="1" applyFont="1" applyBorder="1" applyAlignment="1">
      <alignment horizontal="center" vertical="center" wrapText="1"/>
    </xf>
    <xf numFmtId="0" fontId="10" fillId="0" borderId="37" xfId="0" applyFont="1" applyBorder="1" applyAlignment="1">
      <alignment horizontal="center" vertical="center" wrapText="1"/>
    </xf>
    <xf numFmtId="0" fontId="15" fillId="0" borderId="23" xfId="0" applyFont="1" applyBorder="1" applyAlignment="1">
      <alignment horizontal="center" vertical="center" wrapText="1"/>
    </xf>
    <xf numFmtId="0" fontId="15" fillId="0" borderId="32" xfId="1" applyFont="1" applyBorder="1" applyAlignment="1">
      <alignment horizontal="center" vertical="center" wrapText="1"/>
    </xf>
    <xf numFmtId="3" fontId="16" fillId="0" borderId="23" xfId="1" applyNumberFormat="1" applyFont="1" applyBorder="1" applyAlignment="1">
      <alignment vertical="center" wrapText="1"/>
    </xf>
    <xf numFmtId="0" fontId="15" fillId="0" borderId="23" xfId="1" applyFont="1" applyBorder="1" applyAlignment="1">
      <alignment horizontal="center" vertical="center" wrapText="1"/>
    </xf>
    <xf numFmtId="0" fontId="10" fillId="0" borderId="33" xfId="1" applyBorder="1" applyAlignment="1">
      <alignment horizontal="center" vertical="center" wrapText="1"/>
    </xf>
    <xf numFmtId="0" fontId="10" fillId="0" borderId="33" xfId="0" applyFont="1" applyBorder="1" applyAlignment="1">
      <alignment horizontal="center" vertical="center" wrapText="1"/>
    </xf>
    <xf numFmtId="0" fontId="10" fillId="0" borderId="24" xfId="1" applyBorder="1" applyAlignment="1">
      <alignment horizontal="center" vertical="center" wrapText="1"/>
    </xf>
    <xf numFmtId="49" fontId="11" fillId="0" borderId="0" xfId="0" applyNumberFormat="1" applyFont="1" applyAlignment="1">
      <alignment horizontal="center" vertical="center"/>
    </xf>
    <xf numFmtId="0" fontId="11" fillId="5" borderId="18" xfId="0" applyFont="1" applyFill="1" applyBorder="1" applyAlignment="1">
      <alignment horizontal="center" vertical="center" wrapText="1"/>
    </xf>
    <xf numFmtId="3" fontId="10" fillId="0" borderId="19" xfId="0" applyNumberFormat="1" applyFont="1" applyBorder="1" applyAlignment="1">
      <alignment vertical="center" wrapText="1"/>
    </xf>
    <xf numFmtId="4" fontId="11" fillId="5" borderId="18" xfId="1" applyNumberFormat="1" applyFont="1" applyFill="1" applyBorder="1" applyAlignment="1">
      <alignment horizontal="center" vertical="center" wrapText="1"/>
    </xf>
    <xf numFmtId="49" fontId="11" fillId="5" borderId="18" xfId="0" applyNumberFormat="1" applyFont="1" applyFill="1" applyBorder="1" applyAlignment="1">
      <alignment horizontal="center" vertical="center" wrapText="1"/>
    </xf>
    <xf numFmtId="3" fontId="11" fillId="5" borderId="18" xfId="1" applyNumberFormat="1" applyFont="1" applyFill="1" applyBorder="1" applyAlignment="1">
      <alignment horizontal="center" vertical="center" wrapText="1"/>
    </xf>
    <xf numFmtId="3" fontId="10" fillId="0" borderId="18" xfId="0" applyNumberFormat="1" applyFont="1" applyBorder="1" applyAlignment="1">
      <alignment horizontal="center" vertical="center" wrapText="1"/>
    </xf>
    <xf numFmtId="49" fontId="11" fillId="5" borderId="18" xfId="1" applyNumberFormat="1" applyFont="1" applyFill="1" applyBorder="1" applyAlignment="1">
      <alignment horizontal="center" vertical="center" wrapText="1"/>
    </xf>
    <xf numFmtId="49" fontId="10" fillId="0" borderId="2" xfId="0" applyNumberFormat="1" applyFont="1" applyBorder="1" applyAlignment="1">
      <alignment horizontal="center" vertical="center" wrapText="1"/>
    </xf>
    <xf numFmtId="49" fontId="10" fillId="0" borderId="0" xfId="0" applyNumberFormat="1" applyFont="1" applyAlignment="1">
      <alignment horizontal="center" vertical="center"/>
    </xf>
    <xf numFmtId="3" fontId="11" fillId="0" borderId="24" xfId="1" applyNumberFormat="1" applyFont="1" applyBorder="1" applyAlignment="1">
      <alignment vertical="center" wrapText="1"/>
    </xf>
    <xf numFmtId="0" fontId="15" fillId="0" borderId="32" xfId="0" applyFont="1" applyBorder="1" applyAlignment="1">
      <alignment horizontal="center" vertical="center" wrapText="1"/>
    </xf>
    <xf numFmtId="49" fontId="16" fillId="0" borderId="26" xfId="0" applyNumberFormat="1" applyFont="1" applyBorder="1" applyAlignment="1">
      <alignment horizontal="center" vertical="center" wrapText="1" shrinkToFit="1"/>
    </xf>
    <xf numFmtId="49" fontId="16" fillId="0" borderId="23" xfId="0" applyNumberFormat="1" applyFont="1" applyBorder="1" applyAlignment="1">
      <alignment horizontal="center" vertical="center" wrapText="1" shrinkToFit="1"/>
    </xf>
    <xf numFmtId="0" fontId="15" fillId="0" borderId="24" xfId="0" applyFont="1" applyBorder="1" applyAlignment="1">
      <alignment horizontal="center" vertical="center" wrapText="1"/>
    </xf>
    <xf numFmtId="0" fontId="11" fillId="5" borderId="6" xfId="0" applyFont="1" applyFill="1" applyBorder="1" applyAlignment="1">
      <alignment horizontal="center" vertical="center" wrapText="1"/>
    </xf>
    <xf numFmtId="0" fontId="10" fillId="0" borderId="45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3" fontId="11" fillId="0" borderId="45" xfId="1" applyNumberFormat="1" applyFont="1" applyBorder="1" applyAlignment="1">
      <alignment vertical="center" wrapText="1"/>
    </xf>
    <xf numFmtId="49" fontId="11" fillId="0" borderId="13" xfId="0" applyNumberFormat="1" applyFont="1" applyBorder="1" applyAlignment="1">
      <alignment horizontal="center" vertical="center" wrapText="1" shrinkToFit="1"/>
    </xf>
    <xf numFmtId="49" fontId="16" fillId="0" borderId="26" xfId="0" applyNumberFormat="1" applyFont="1" applyBorder="1" applyAlignment="1">
      <alignment horizontal="center" vertical="center" wrapText="1"/>
    </xf>
    <xf numFmtId="49" fontId="10" fillId="0" borderId="13" xfId="0" applyNumberFormat="1" applyFont="1" applyBorder="1" applyAlignment="1">
      <alignment horizontal="center" vertical="center" wrapText="1"/>
    </xf>
    <xf numFmtId="3" fontId="11" fillId="0" borderId="18" xfId="1" applyNumberFormat="1" applyFont="1" applyBorder="1" applyAlignment="1">
      <alignment vertical="center" wrapText="1"/>
    </xf>
    <xf numFmtId="0" fontId="10" fillId="0" borderId="31" xfId="0" applyFont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 wrapText="1"/>
    </xf>
    <xf numFmtId="3" fontId="10" fillId="0" borderId="0" xfId="0" applyNumberFormat="1" applyFont="1" applyAlignment="1">
      <alignment horizontal="right" vertical="center"/>
    </xf>
    <xf numFmtId="0" fontId="10" fillId="0" borderId="37" xfId="1" applyBorder="1" applyAlignment="1">
      <alignment horizontal="center" vertical="center" wrapText="1"/>
    </xf>
    <xf numFmtId="49" fontId="11" fillId="0" borderId="0" xfId="0" applyNumberFormat="1" applyFont="1" applyAlignment="1">
      <alignment horizontal="center"/>
    </xf>
    <xf numFmtId="3" fontId="10" fillId="0" borderId="53" xfId="0" applyNumberFormat="1" applyFont="1" applyBorder="1" applyAlignment="1">
      <alignment vertical="center" wrapText="1"/>
    </xf>
    <xf numFmtId="3" fontId="10" fillId="0" borderId="36" xfId="0" applyNumberFormat="1" applyFont="1" applyBorder="1" applyAlignment="1">
      <alignment vertical="center" wrapText="1"/>
    </xf>
    <xf numFmtId="0" fontId="10" fillId="0" borderId="30" xfId="0" applyFont="1" applyBorder="1" applyAlignment="1">
      <alignment horizontal="center" vertical="center" wrapText="1"/>
    </xf>
    <xf numFmtId="3" fontId="11" fillId="0" borderId="14" xfId="1" applyNumberFormat="1" applyFont="1" applyBorder="1" applyAlignment="1">
      <alignment vertical="center" wrapText="1"/>
    </xf>
    <xf numFmtId="3" fontId="10" fillId="0" borderId="54" xfId="0" applyNumberFormat="1" applyFont="1" applyBorder="1" applyAlignment="1">
      <alignment vertical="center" wrapText="1"/>
    </xf>
    <xf numFmtId="3" fontId="11" fillId="0" borderId="37" xfId="1" applyNumberFormat="1" applyFont="1" applyBorder="1" applyAlignment="1">
      <alignment vertical="center" wrapText="1"/>
    </xf>
    <xf numFmtId="3" fontId="10" fillId="0" borderId="22" xfId="0" applyNumberFormat="1" applyFont="1" applyBorder="1" applyAlignment="1">
      <alignment vertical="center"/>
    </xf>
    <xf numFmtId="49" fontId="16" fillId="0" borderId="23" xfId="0" applyNumberFormat="1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49" fontId="10" fillId="0" borderId="26" xfId="0" applyNumberFormat="1" applyFont="1" applyBorder="1" applyAlignment="1">
      <alignment horizontal="center" vertical="center"/>
    </xf>
    <xf numFmtId="49" fontId="15" fillId="0" borderId="26" xfId="0" applyNumberFormat="1" applyFont="1" applyBorder="1" applyAlignment="1">
      <alignment horizontal="center" vertical="center"/>
    </xf>
    <xf numFmtId="49" fontId="16" fillId="0" borderId="13" xfId="0" applyNumberFormat="1" applyFont="1" applyBorder="1" applyAlignment="1">
      <alignment horizontal="center" vertical="center" wrapText="1"/>
    </xf>
    <xf numFmtId="3" fontId="16" fillId="0" borderId="13" xfId="1" applyNumberFormat="1" applyFont="1" applyBorder="1" applyAlignment="1">
      <alignment vertical="center" wrapText="1"/>
    </xf>
    <xf numFmtId="49" fontId="15" fillId="0" borderId="13" xfId="0" applyNumberFormat="1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/>
    </xf>
    <xf numFmtId="0" fontId="15" fillId="0" borderId="22" xfId="1" applyFont="1" applyBorder="1" applyAlignment="1">
      <alignment horizontal="center" vertical="center" wrapText="1"/>
    </xf>
    <xf numFmtId="3" fontId="11" fillId="0" borderId="16" xfId="1" applyNumberFormat="1" applyFont="1" applyBorder="1" applyAlignment="1">
      <alignment vertical="center" wrapText="1"/>
    </xf>
    <xf numFmtId="3" fontId="10" fillId="0" borderId="1" xfId="0" applyNumberFormat="1" applyFont="1" applyBorder="1" applyAlignment="1">
      <alignment vertical="center" wrapText="1"/>
    </xf>
    <xf numFmtId="3" fontId="10" fillId="0" borderId="28" xfId="0" applyNumberFormat="1" applyFont="1" applyBorder="1" applyAlignment="1">
      <alignment vertical="center"/>
    </xf>
    <xf numFmtId="49" fontId="10" fillId="0" borderId="14" xfId="0" applyNumberFormat="1" applyFont="1" applyBorder="1" applyAlignment="1">
      <alignment horizontal="center" vertical="center" wrapText="1"/>
    </xf>
    <xf numFmtId="49" fontId="11" fillId="0" borderId="14" xfId="0" applyNumberFormat="1" applyFont="1" applyBorder="1" applyAlignment="1">
      <alignment horizontal="center" vertical="center" wrapText="1" shrinkToFit="1"/>
    </xf>
    <xf numFmtId="0" fontId="10" fillId="0" borderId="1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49" fontId="10" fillId="0" borderId="15" xfId="0" applyNumberFormat="1" applyFont="1" applyBorder="1" applyAlignment="1">
      <alignment horizontal="center" vertical="center" wrapText="1"/>
    </xf>
    <xf numFmtId="49" fontId="10" fillId="0" borderId="30" xfId="0" applyNumberFormat="1" applyFont="1" applyBorder="1" applyAlignment="1">
      <alignment horizontal="center" vertical="center" wrapText="1"/>
    </xf>
    <xf numFmtId="3" fontId="10" fillId="0" borderId="0" xfId="0" applyNumberFormat="1" applyFont="1" applyAlignment="1">
      <alignment horizontal="center" vertical="center"/>
    </xf>
    <xf numFmtId="3" fontId="10" fillId="0" borderId="1" xfId="0" applyNumberFormat="1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center" wrapText="1"/>
    </xf>
    <xf numFmtId="3" fontId="11" fillId="0" borderId="26" xfId="1" applyNumberFormat="1" applyFont="1" applyBorder="1" applyAlignment="1">
      <alignment vertical="center" wrapText="1"/>
    </xf>
    <xf numFmtId="3" fontId="10" fillId="0" borderId="26" xfId="0" applyNumberFormat="1" applyFont="1" applyBorder="1" applyAlignment="1">
      <alignment vertical="center" wrapText="1"/>
    </xf>
    <xf numFmtId="0" fontId="10" fillId="0" borderId="13" xfId="0" applyFont="1" applyBorder="1" applyAlignment="1">
      <alignment horizontal="center" vertical="center" wrapText="1"/>
    </xf>
    <xf numFmtId="3" fontId="11" fillId="0" borderId="27" xfId="1" applyNumberFormat="1" applyFont="1" applyBorder="1" applyAlignment="1">
      <alignment vertical="center" wrapText="1"/>
    </xf>
    <xf numFmtId="3" fontId="10" fillId="0" borderId="20" xfId="0" applyNumberFormat="1" applyFont="1" applyBorder="1" applyAlignment="1">
      <alignment vertical="center"/>
    </xf>
    <xf numFmtId="3" fontId="10" fillId="0" borderId="48" xfId="0" applyNumberFormat="1" applyFont="1" applyBorder="1" applyAlignment="1">
      <alignment vertical="center" wrapText="1"/>
    </xf>
    <xf numFmtId="0" fontId="10" fillId="0" borderId="27" xfId="0" applyFont="1" applyBorder="1" applyAlignment="1">
      <alignment horizontal="center" vertical="center" wrapText="1"/>
    </xf>
    <xf numFmtId="3" fontId="15" fillId="0" borderId="20" xfId="0" applyNumberFormat="1" applyFont="1" applyBorder="1" applyAlignment="1">
      <alignment vertical="center" wrapText="1"/>
    </xf>
    <xf numFmtId="3" fontId="15" fillId="0" borderId="26" xfId="0" applyNumberFormat="1" applyFont="1" applyBorder="1" applyAlignment="1">
      <alignment horizontal="right" vertical="center" wrapText="1"/>
    </xf>
    <xf numFmtId="3" fontId="15" fillId="0" borderId="32" xfId="0" applyNumberFormat="1" applyFont="1" applyBorder="1" applyAlignment="1">
      <alignment horizontal="right" vertical="center" wrapText="1"/>
    </xf>
    <xf numFmtId="49" fontId="15" fillId="0" borderId="31" xfId="0" applyNumberFormat="1" applyFont="1" applyBorder="1" applyAlignment="1">
      <alignment horizontal="center" vertical="center" wrapText="1"/>
    </xf>
    <xf numFmtId="3" fontId="11" fillId="0" borderId="23" xfId="1" applyNumberFormat="1" applyFont="1" applyBorder="1" applyAlignment="1">
      <alignment vertical="center"/>
    </xf>
    <xf numFmtId="3" fontId="10" fillId="0" borderId="24" xfId="0" applyNumberFormat="1" applyFont="1" applyBorder="1" applyAlignment="1">
      <alignment vertical="center"/>
    </xf>
    <xf numFmtId="3" fontId="10" fillId="0" borderId="27" xfId="0" applyNumberFormat="1" applyFont="1" applyBorder="1" applyAlignment="1">
      <alignment vertical="center"/>
    </xf>
    <xf numFmtId="3" fontId="11" fillId="0" borderId="26" xfId="1" applyNumberFormat="1" applyFont="1" applyBorder="1" applyAlignment="1">
      <alignment vertical="center"/>
    </xf>
    <xf numFmtId="0" fontId="10" fillId="0" borderId="26" xfId="0" applyFont="1" applyBorder="1" applyAlignment="1">
      <alignment horizontal="center" vertical="center"/>
    </xf>
    <xf numFmtId="0" fontId="10" fillId="0" borderId="26" xfId="1" applyBorder="1" applyAlignment="1">
      <alignment horizontal="center" vertical="center"/>
    </xf>
    <xf numFmtId="3" fontId="10" fillId="0" borderId="37" xfId="0" applyNumberFormat="1" applyFont="1" applyBorder="1" applyAlignment="1">
      <alignment vertical="center"/>
    </xf>
    <xf numFmtId="3" fontId="11" fillId="0" borderId="22" xfId="1" applyNumberFormat="1" applyFont="1" applyBorder="1" applyAlignment="1">
      <alignment vertical="center"/>
    </xf>
    <xf numFmtId="0" fontId="10" fillId="0" borderId="13" xfId="0" applyFont="1" applyBorder="1" applyAlignment="1">
      <alignment horizontal="center" vertical="center"/>
    </xf>
    <xf numFmtId="49" fontId="10" fillId="0" borderId="36" xfId="0" applyNumberFormat="1" applyFont="1" applyBorder="1" applyAlignment="1">
      <alignment horizontal="center" vertical="center" wrapText="1"/>
    </xf>
    <xf numFmtId="3" fontId="11" fillId="0" borderId="13" xfId="0" applyNumberFormat="1" applyFont="1" applyBorder="1" applyAlignment="1">
      <alignment vertical="center" wrapText="1"/>
    </xf>
    <xf numFmtId="3" fontId="15" fillId="0" borderId="20" xfId="0" applyNumberFormat="1" applyFont="1" applyBorder="1" applyAlignment="1">
      <alignment vertical="center"/>
    </xf>
    <xf numFmtId="3" fontId="15" fillId="0" borderId="23" xfId="0" applyNumberFormat="1" applyFont="1" applyBorder="1" applyAlignment="1">
      <alignment vertical="center"/>
    </xf>
    <xf numFmtId="49" fontId="10" fillId="0" borderId="14" xfId="1" applyNumberFormat="1" applyBorder="1" applyAlignment="1">
      <alignment horizontal="center" vertical="center" wrapText="1"/>
    </xf>
    <xf numFmtId="3" fontId="16" fillId="0" borderId="26" xfId="1" applyNumberFormat="1" applyFont="1" applyBorder="1" applyAlignment="1">
      <alignment vertical="center"/>
    </xf>
    <xf numFmtId="49" fontId="16" fillId="0" borderId="26" xfId="0" applyNumberFormat="1" applyFont="1" applyBorder="1" applyAlignment="1">
      <alignment horizontal="center" vertical="center"/>
    </xf>
    <xf numFmtId="0" fontId="15" fillId="0" borderId="26" xfId="0" applyFont="1" applyBorder="1" applyAlignment="1">
      <alignment horizontal="center" vertical="center"/>
    </xf>
    <xf numFmtId="3" fontId="15" fillId="0" borderId="37" xfId="0" applyNumberFormat="1" applyFont="1" applyBorder="1" applyAlignment="1">
      <alignment vertical="center"/>
    </xf>
    <xf numFmtId="49" fontId="10" fillId="0" borderId="13" xfId="0" applyNumberFormat="1" applyFont="1" applyBorder="1" applyAlignment="1">
      <alignment horizontal="center" vertical="center"/>
    </xf>
    <xf numFmtId="0" fontId="10" fillId="0" borderId="13" xfId="1" applyBorder="1" applyAlignment="1">
      <alignment horizontal="center" vertical="center"/>
    </xf>
    <xf numFmtId="3" fontId="11" fillId="0" borderId="13" xfId="1" applyNumberFormat="1" applyFont="1" applyBorder="1" applyAlignment="1">
      <alignment vertical="center"/>
    </xf>
    <xf numFmtId="3" fontId="10" fillId="0" borderId="13" xfId="0" applyNumberFormat="1" applyFont="1" applyBorder="1" applyAlignment="1">
      <alignment vertical="center"/>
    </xf>
    <xf numFmtId="3" fontId="10" fillId="0" borderId="13" xfId="0" applyNumberFormat="1" applyFont="1" applyBorder="1" applyAlignment="1">
      <alignment horizontal="right" vertical="center"/>
    </xf>
    <xf numFmtId="3" fontId="10" fillId="0" borderId="26" xfId="0" applyNumberFormat="1" applyFont="1" applyBorder="1" applyAlignment="1">
      <alignment horizontal="right" vertical="center"/>
    </xf>
    <xf numFmtId="49" fontId="15" fillId="0" borderId="25" xfId="0" applyNumberFormat="1" applyFont="1" applyBorder="1" applyAlignment="1">
      <alignment horizontal="center" vertical="center"/>
    </xf>
    <xf numFmtId="49" fontId="15" fillId="0" borderId="31" xfId="0" applyNumberFormat="1" applyFont="1" applyBorder="1" applyAlignment="1">
      <alignment horizontal="center" vertical="center"/>
    </xf>
    <xf numFmtId="3" fontId="11" fillId="0" borderId="0" xfId="0" applyNumberFormat="1" applyFont="1" applyAlignment="1">
      <alignment vertical="center"/>
    </xf>
    <xf numFmtId="3" fontId="15" fillId="0" borderId="26" xfId="0" applyNumberFormat="1" applyFont="1" applyBorder="1" applyAlignment="1">
      <alignment horizontal="right" vertical="center"/>
    </xf>
    <xf numFmtId="3" fontId="10" fillId="0" borderId="32" xfId="0" applyNumberFormat="1" applyFont="1" applyBorder="1" applyAlignment="1">
      <alignment horizontal="right" vertical="center"/>
    </xf>
    <xf numFmtId="3" fontId="15" fillId="0" borderId="32" xfId="0" applyNumberFormat="1" applyFont="1" applyBorder="1" applyAlignment="1">
      <alignment horizontal="right" vertical="center"/>
    </xf>
    <xf numFmtId="3" fontId="10" fillId="0" borderId="45" xfId="0" applyNumberFormat="1" applyFont="1" applyBorder="1" applyAlignment="1">
      <alignment horizontal="right" vertical="center"/>
    </xf>
    <xf numFmtId="3" fontId="11" fillId="0" borderId="33" xfId="1" applyNumberFormat="1" applyFont="1" applyBorder="1" applyAlignment="1">
      <alignment vertical="center"/>
    </xf>
    <xf numFmtId="3" fontId="15" fillId="0" borderId="47" xfId="0" applyNumberFormat="1" applyFont="1" applyBorder="1" applyAlignment="1">
      <alignment vertical="center"/>
    </xf>
    <xf numFmtId="3" fontId="15" fillId="0" borderId="47" xfId="0" applyNumberFormat="1" applyFont="1" applyBorder="1" applyAlignment="1">
      <alignment vertical="center" wrapText="1"/>
    </xf>
    <xf numFmtId="0" fontId="15" fillId="0" borderId="23" xfId="0" applyFont="1" applyBorder="1" applyAlignment="1">
      <alignment horizontal="center" vertical="center"/>
    </xf>
    <xf numFmtId="3" fontId="15" fillId="0" borderId="27" xfId="0" applyNumberFormat="1" applyFont="1" applyBorder="1" applyAlignment="1">
      <alignment vertical="center"/>
    </xf>
    <xf numFmtId="3" fontId="10" fillId="0" borderId="56" xfId="0" applyNumberFormat="1" applyFont="1" applyBorder="1" applyAlignment="1">
      <alignment vertical="center" wrapText="1"/>
    </xf>
    <xf numFmtId="0" fontId="13" fillId="0" borderId="32" xfId="0" applyFont="1" applyBorder="1" applyAlignment="1">
      <alignment horizontal="center" vertical="center" wrapText="1"/>
    </xf>
    <xf numFmtId="0" fontId="10" fillId="0" borderId="30" xfId="0" applyFont="1" applyBorder="1" applyAlignment="1">
      <alignment horizontal="center" vertical="center"/>
    </xf>
    <xf numFmtId="49" fontId="10" fillId="0" borderId="32" xfId="0" applyNumberFormat="1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49" fontId="15" fillId="0" borderId="22" xfId="0" applyNumberFormat="1" applyFont="1" applyBorder="1" applyAlignment="1">
      <alignment horizontal="center" vertical="center" wrapText="1"/>
    </xf>
    <xf numFmtId="3" fontId="10" fillId="0" borderId="0" xfId="0" applyNumberFormat="1" applyFont="1" applyAlignment="1">
      <alignment vertical="center"/>
    </xf>
    <xf numFmtId="49" fontId="16" fillId="0" borderId="14" xfId="0" applyNumberFormat="1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3" fontId="15" fillId="0" borderId="16" xfId="0" applyNumberFormat="1" applyFont="1" applyBorder="1" applyAlignment="1">
      <alignment vertical="center" wrapText="1"/>
    </xf>
    <xf numFmtId="49" fontId="15" fillId="0" borderId="14" xfId="0" applyNumberFormat="1" applyFont="1" applyBorder="1" applyAlignment="1">
      <alignment horizontal="center" vertical="center" wrapText="1"/>
    </xf>
    <xf numFmtId="3" fontId="10" fillId="0" borderId="1" xfId="0" applyNumberFormat="1" applyFont="1" applyBorder="1" applyAlignment="1">
      <alignment vertical="center"/>
    </xf>
    <xf numFmtId="3" fontId="10" fillId="0" borderId="5" xfId="0" applyNumberFormat="1" applyFont="1" applyBorder="1" applyAlignment="1">
      <alignment vertical="center"/>
    </xf>
    <xf numFmtId="0" fontId="10" fillId="0" borderId="15" xfId="0" applyFont="1" applyBorder="1" applyAlignment="1">
      <alignment horizontal="center" vertical="center" wrapText="1"/>
    </xf>
    <xf numFmtId="0" fontId="13" fillId="0" borderId="26" xfId="0" applyFont="1" applyBorder="1" applyAlignment="1">
      <alignment horizontal="center" vertical="center" wrapText="1"/>
    </xf>
    <xf numFmtId="0" fontId="10" fillId="0" borderId="18" xfId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5" fillId="0" borderId="13" xfId="1" applyFont="1" applyBorder="1" applyAlignment="1">
      <alignment horizontal="center" vertical="center" wrapText="1"/>
    </xf>
    <xf numFmtId="3" fontId="15" fillId="0" borderId="48" xfId="0" applyNumberFormat="1" applyFont="1" applyBorder="1" applyAlignment="1">
      <alignment vertical="center" wrapText="1"/>
    </xf>
    <xf numFmtId="49" fontId="15" fillId="0" borderId="15" xfId="0" applyNumberFormat="1" applyFont="1" applyBorder="1" applyAlignment="1">
      <alignment horizontal="center" vertical="center" wrapText="1"/>
    </xf>
    <xf numFmtId="3" fontId="11" fillId="0" borderId="31" xfId="1" applyNumberFormat="1" applyFont="1" applyBorder="1" applyAlignment="1">
      <alignment horizontal="right" vertical="center" wrapText="1"/>
    </xf>
    <xf numFmtId="3" fontId="10" fillId="0" borderId="69" xfId="0" applyNumberFormat="1" applyFont="1" applyBorder="1" applyAlignment="1">
      <alignment vertical="center" wrapText="1"/>
    </xf>
    <xf numFmtId="49" fontId="15" fillId="0" borderId="37" xfId="0" applyNumberFormat="1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3" fontId="15" fillId="0" borderId="59" xfId="0" applyNumberFormat="1" applyFont="1" applyBorder="1" applyAlignment="1">
      <alignment vertical="center" wrapText="1"/>
    </xf>
    <xf numFmtId="3" fontId="15" fillId="0" borderId="17" xfId="0" applyNumberFormat="1" applyFont="1" applyBorder="1" applyAlignment="1">
      <alignment vertical="center" wrapText="1"/>
    </xf>
    <xf numFmtId="0" fontId="15" fillId="0" borderId="16" xfId="0" applyFont="1" applyBorder="1" applyAlignment="1">
      <alignment horizontal="center" vertical="center" wrapText="1"/>
    </xf>
    <xf numFmtId="0" fontId="10" fillId="0" borderId="36" xfId="0" applyFont="1" applyBorder="1" applyAlignment="1">
      <alignment horizontal="center" vertical="center" wrapText="1"/>
    </xf>
    <xf numFmtId="0" fontId="15" fillId="0" borderId="36" xfId="0" applyFont="1" applyBorder="1" applyAlignment="1">
      <alignment horizontal="center" vertical="center" wrapText="1"/>
    </xf>
    <xf numFmtId="49" fontId="10" fillId="0" borderId="22" xfId="0" applyNumberFormat="1" applyFont="1" applyBorder="1" applyAlignment="1">
      <alignment horizontal="center" vertical="center" wrapText="1"/>
    </xf>
    <xf numFmtId="3" fontId="10" fillId="0" borderId="36" xfId="0" applyNumberFormat="1" applyFont="1" applyBorder="1" applyAlignment="1">
      <alignment vertical="center"/>
    </xf>
    <xf numFmtId="3" fontId="10" fillId="0" borderId="38" xfId="0" applyNumberFormat="1" applyFont="1" applyBorder="1" applyAlignment="1">
      <alignment vertical="center" wrapText="1"/>
    </xf>
    <xf numFmtId="3" fontId="15" fillId="0" borderId="36" xfId="0" applyNumberFormat="1" applyFont="1" applyBorder="1" applyAlignment="1">
      <alignment vertical="center"/>
    </xf>
    <xf numFmtId="3" fontId="10" fillId="0" borderId="54" xfId="0" applyNumberFormat="1" applyFont="1" applyBorder="1" applyAlignment="1">
      <alignment vertical="center"/>
    </xf>
    <xf numFmtId="0" fontId="15" fillId="0" borderId="18" xfId="0" applyFont="1" applyBorder="1" applyAlignment="1">
      <alignment horizontal="center" vertical="center" wrapText="1"/>
    </xf>
    <xf numFmtId="49" fontId="15" fillId="0" borderId="18" xfId="0" applyNumberFormat="1" applyFont="1" applyBorder="1" applyAlignment="1">
      <alignment horizontal="center" vertical="center" wrapText="1"/>
    </xf>
    <xf numFmtId="3" fontId="11" fillId="0" borderId="31" xfId="1" applyNumberFormat="1" applyFont="1" applyBorder="1" applyAlignment="1">
      <alignment vertical="center" wrapText="1"/>
    </xf>
    <xf numFmtId="3" fontId="11" fillId="0" borderId="15" xfId="1" applyNumberFormat="1" applyFont="1" applyBorder="1" applyAlignment="1">
      <alignment vertical="center" wrapText="1"/>
    </xf>
    <xf numFmtId="3" fontId="11" fillId="0" borderId="31" xfId="1" applyNumberFormat="1" applyFont="1" applyBorder="1" applyAlignment="1">
      <alignment vertical="center"/>
    </xf>
    <xf numFmtId="3" fontId="11" fillId="0" borderId="15" xfId="1" applyNumberFormat="1" applyFont="1" applyBorder="1" applyAlignment="1">
      <alignment vertical="center"/>
    </xf>
    <xf numFmtId="3" fontId="11" fillId="0" borderId="34" xfId="1" applyNumberFormat="1" applyFont="1" applyBorder="1" applyAlignment="1">
      <alignment vertical="center"/>
    </xf>
    <xf numFmtId="3" fontId="10" fillId="0" borderId="31" xfId="0" applyNumberFormat="1" applyFont="1" applyBorder="1" applyAlignment="1">
      <alignment vertical="center"/>
    </xf>
    <xf numFmtId="3" fontId="11" fillId="0" borderId="13" xfId="0" applyNumberFormat="1" applyFont="1" applyBorder="1" applyAlignment="1">
      <alignment horizontal="right" vertical="center" wrapText="1"/>
    </xf>
    <xf numFmtId="3" fontId="11" fillId="0" borderId="20" xfId="1" applyNumberFormat="1" applyFont="1" applyBorder="1" applyAlignment="1">
      <alignment vertical="center" wrapText="1"/>
    </xf>
    <xf numFmtId="49" fontId="15" fillId="0" borderId="27" xfId="0" applyNumberFormat="1" applyFont="1" applyBorder="1" applyAlignment="1">
      <alignment horizontal="center" vertical="center" wrapText="1"/>
    </xf>
    <xf numFmtId="3" fontId="10" fillId="0" borderId="29" xfId="0" applyNumberFormat="1" applyFont="1" applyBorder="1" applyAlignment="1">
      <alignment vertical="center"/>
    </xf>
    <xf numFmtId="49" fontId="10" fillId="0" borderId="3" xfId="0" applyNumberFormat="1" applyFont="1" applyBorder="1" applyAlignment="1">
      <alignment horizontal="center" vertical="center" wrapText="1"/>
    </xf>
    <xf numFmtId="3" fontId="15" fillId="0" borderId="0" xfId="0" applyNumberFormat="1" applyFont="1" applyAlignment="1">
      <alignment vertical="center"/>
    </xf>
    <xf numFmtId="0" fontId="15" fillId="0" borderId="14" xfId="1" applyFont="1" applyBorder="1" applyAlignment="1">
      <alignment horizontal="center" vertical="center" wrapText="1"/>
    </xf>
    <xf numFmtId="49" fontId="15" fillId="0" borderId="12" xfId="0" applyNumberFormat="1" applyFont="1" applyBorder="1" applyAlignment="1">
      <alignment horizontal="center" vertical="center" wrapText="1"/>
    </xf>
    <xf numFmtId="0" fontId="10" fillId="0" borderId="54" xfId="0" applyFont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10" fillId="4" borderId="26" xfId="0" applyFont="1" applyFill="1" applyBorder="1" applyAlignment="1">
      <alignment horizontal="center" vertical="center" wrapText="1"/>
    </xf>
    <xf numFmtId="0" fontId="10" fillId="2" borderId="32" xfId="0" applyFont="1" applyFill="1" applyBorder="1" applyAlignment="1">
      <alignment horizontal="center" vertical="center" wrapText="1"/>
    </xf>
    <xf numFmtId="0" fontId="10" fillId="4" borderId="23" xfId="0" applyFont="1" applyFill="1" applyBorder="1" applyAlignment="1">
      <alignment horizontal="center" vertical="center" wrapText="1"/>
    </xf>
    <xf numFmtId="3" fontId="15" fillId="0" borderId="37" xfId="0" applyNumberFormat="1" applyFont="1" applyBorder="1" applyAlignment="1">
      <alignment horizontal="right" vertical="center" wrapText="1"/>
    </xf>
    <xf numFmtId="49" fontId="16" fillId="0" borderId="13" xfId="0" applyNumberFormat="1" applyFont="1" applyBorder="1" applyAlignment="1">
      <alignment horizontal="center" vertical="center"/>
    </xf>
    <xf numFmtId="3" fontId="16" fillId="0" borderId="13" xfId="1" applyNumberFormat="1" applyFont="1" applyBorder="1" applyAlignment="1">
      <alignment vertical="center"/>
    </xf>
    <xf numFmtId="49" fontId="15" fillId="0" borderId="15" xfId="0" applyNumberFormat="1" applyFont="1" applyBorder="1" applyAlignment="1">
      <alignment horizontal="center" vertical="center"/>
    </xf>
    <xf numFmtId="3" fontId="15" fillId="0" borderId="37" xfId="0" applyNumberFormat="1" applyFont="1" applyBorder="1" applyAlignment="1">
      <alignment horizontal="right" vertical="center"/>
    </xf>
    <xf numFmtId="0" fontId="17" fillId="0" borderId="13" xfId="0" applyFont="1" applyBorder="1" applyAlignment="1">
      <alignment horizontal="center" vertical="center" wrapText="1"/>
    </xf>
    <xf numFmtId="0" fontId="17" fillId="0" borderId="26" xfId="0" applyFont="1" applyBorder="1" applyAlignment="1">
      <alignment horizontal="center" vertical="center" wrapText="1"/>
    </xf>
    <xf numFmtId="3" fontId="10" fillId="0" borderId="23" xfId="0" applyNumberFormat="1" applyFont="1" applyBorder="1" applyAlignment="1">
      <alignment horizontal="right" vertical="center"/>
    </xf>
    <xf numFmtId="49" fontId="16" fillId="0" borderId="13" xfId="0" applyNumberFormat="1" applyFont="1" applyBorder="1" applyAlignment="1">
      <alignment horizontal="center" vertical="center" wrapText="1" shrinkToFit="1"/>
    </xf>
    <xf numFmtId="3" fontId="15" fillId="0" borderId="45" xfId="0" applyNumberFormat="1" applyFont="1" applyBorder="1" applyAlignment="1">
      <alignment horizontal="right" vertical="center" wrapText="1"/>
    </xf>
    <xf numFmtId="3" fontId="11" fillId="0" borderId="15" xfId="1" applyNumberFormat="1" applyFont="1" applyBorder="1" applyAlignment="1">
      <alignment horizontal="right" vertical="center" wrapText="1"/>
    </xf>
    <xf numFmtId="3" fontId="11" fillId="0" borderId="25" xfId="1" applyNumberFormat="1" applyFont="1" applyBorder="1" applyAlignment="1">
      <alignment horizontal="right" vertical="center" wrapText="1"/>
    </xf>
    <xf numFmtId="3" fontId="0" fillId="0" borderId="0" xfId="0" applyNumberFormat="1"/>
    <xf numFmtId="3" fontId="11" fillId="4" borderId="23" xfId="1" applyNumberFormat="1" applyFont="1" applyFill="1" applyBorder="1" applyAlignment="1">
      <alignment vertical="center" wrapText="1"/>
    </xf>
    <xf numFmtId="0" fontId="10" fillId="4" borderId="22" xfId="0" applyFont="1" applyFill="1" applyBorder="1" applyAlignment="1">
      <alignment horizontal="center" vertical="center" wrapText="1"/>
    </xf>
    <xf numFmtId="3" fontId="10" fillId="0" borderId="37" xfId="1" applyNumberFormat="1" applyBorder="1" applyAlignment="1">
      <alignment vertical="center" wrapText="1"/>
    </xf>
    <xf numFmtId="0" fontId="15" fillId="0" borderId="45" xfId="0" applyFont="1" applyBorder="1" applyAlignment="1">
      <alignment horizontal="center" vertical="center" wrapText="1"/>
    </xf>
    <xf numFmtId="3" fontId="10" fillId="0" borderId="14" xfId="0" applyNumberFormat="1" applyFont="1" applyBorder="1" applyAlignment="1">
      <alignment horizontal="center" vertical="center" wrapText="1"/>
    </xf>
    <xf numFmtId="0" fontId="10" fillId="0" borderId="45" xfId="1" applyBorder="1" applyAlignment="1">
      <alignment horizontal="center" vertical="center" wrapText="1"/>
    </xf>
    <xf numFmtId="3" fontId="10" fillId="0" borderId="45" xfId="0" applyNumberFormat="1" applyFont="1" applyBorder="1" applyAlignment="1">
      <alignment horizontal="right" vertical="center" wrapText="1"/>
    </xf>
    <xf numFmtId="0" fontId="10" fillId="2" borderId="23" xfId="0" applyFont="1" applyFill="1" applyBorder="1" applyAlignment="1">
      <alignment horizontal="center" vertical="center"/>
    </xf>
    <xf numFmtId="0" fontId="10" fillId="2" borderId="23" xfId="0" applyFont="1" applyFill="1" applyBorder="1" applyAlignment="1">
      <alignment horizontal="center" vertical="center" wrapText="1"/>
    </xf>
    <xf numFmtId="0" fontId="10" fillId="2" borderId="26" xfId="0" applyFont="1" applyFill="1" applyBorder="1" applyAlignment="1">
      <alignment horizontal="center" vertical="center" wrapText="1"/>
    </xf>
    <xf numFmtId="3" fontId="11" fillId="0" borderId="12" xfId="1" applyNumberFormat="1" applyFont="1" applyBorder="1" applyAlignment="1">
      <alignment vertical="center" wrapText="1"/>
    </xf>
    <xf numFmtId="3" fontId="11" fillId="0" borderId="30" xfId="1" applyNumberFormat="1" applyFont="1" applyBorder="1" applyAlignment="1">
      <alignment vertical="center" wrapText="1"/>
    </xf>
    <xf numFmtId="0" fontId="18" fillId="0" borderId="23" xfId="0" applyFont="1" applyBorder="1" applyAlignment="1">
      <alignment horizontal="center" vertical="center" wrapText="1"/>
    </xf>
    <xf numFmtId="4" fontId="10" fillId="0" borderId="13" xfId="0" applyNumberFormat="1" applyFont="1" applyBorder="1" applyAlignment="1">
      <alignment horizontal="center" vertical="center" wrapText="1"/>
    </xf>
    <xf numFmtId="3" fontId="11" fillId="4" borderId="25" xfId="1" applyNumberFormat="1" applyFont="1" applyFill="1" applyBorder="1" applyAlignment="1">
      <alignment vertical="center" wrapText="1"/>
    </xf>
    <xf numFmtId="0" fontId="30" fillId="0" borderId="0" xfId="0" applyFont="1"/>
    <xf numFmtId="3" fontId="10" fillId="0" borderId="63" xfId="0" applyNumberFormat="1" applyFont="1" applyBorder="1" applyAlignment="1">
      <alignment vertical="center"/>
    </xf>
    <xf numFmtId="49" fontId="15" fillId="0" borderId="23" xfId="0" applyNumberFormat="1" applyFont="1" applyBorder="1" applyAlignment="1">
      <alignment horizontal="center" vertical="center" wrapText="1"/>
    </xf>
    <xf numFmtId="3" fontId="10" fillId="0" borderId="27" xfId="0" applyNumberFormat="1" applyFont="1" applyBorder="1" applyAlignment="1">
      <alignment horizontal="right" vertical="center"/>
    </xf>
    <xf numFmtId="0" fontId="10" fillId="0" borderId="20" xfId="0" applyFont="1" applyBorder="1" applyAlignment="1">
      <alignment horizontal="center" vertical="center" wrapText="1"/>
    </xf>
    <xf numFmtId="3" fontId="10" fillId="0" borderId="43" xfId="0" applyNumberFormat="1" applyFont="1" applyBorder="1" applyAlignment="1">
      <alignment vertical="center" wrapText="1"/>
    </xf>
    <xf numFmtId="3" fontId="10" fillId="0" borderId="19" xfId="0" applyNumberFormat="1" applyFont="1" applyBorder="1" applyAlignment="1">
      <alignment vertical="center"/>
    </xf>
    <xf numFmtId="3" fontId="10" fillId="0" borderId="8" xfId="0" applyNumberFormat="1" applyFont="1" applyBorder="1" applyAlignment="1">
      <alignment vertical="center"/>
    </xf>
    <xf numFmtId="3" fontId="15" fillId="0" borderId="19" xfId="0" applyNumberFormat="1" applyFont="1" applyBorder="1" applyAlignment="1">
      <alignment vertical="center"/>
    </xf>
    <xf numFmtId="3" fontId="15" fillId="0" borderId="20" xfId="0" applyNumberFormat="1" applyFont="1" applyBorder="1" applyAlignment="1">
      <alignment horizontal="right" vertical="center" wrapText="1"/>
    </xf>
    <xf numFmtId="3" fontId="10" fillId="0" borderId="65" xfId="0" applyNumberFormat="1" applyFont="1" applyBorder="1" applyAlignment="1">
      <alignment vertical="center"/>
    </xf>
    <xf numFmtId="3" fontId="10" fillId="0" borderId="48" xfId="0" applyNumberFormat="1" applyFont="1" applyBorder="1" applyAlignment="1">
      <alignment vertical="center"/>
    </xf>
    <xf numFmtId="3" fontId="10" fillId="0" borderId="21" xfId="0" applyNumberFormat="1" applyFont="1" applyBorder="1" applyAlignment="1">
      <alignment vertical="center"/>
    </xf>
    <xf numFmtId="3" fontId="10" fillId="0" borderId="69" xfId="0" applyNumberFormat="1" applyFont="1" applyBorder="1" applyAlignment="1">
      <alignment vertical="center"/>
    </xf>
    <xf numFmtId="3" fontId="10" fillId="0" borderId="20" xfId="0" applyNumberFormat="1" applyFont="1" applyBorder="1" applyAlignment="1">
      <alignment horizontal="right" vertical="center"/>
    </xf>
    <xf numFmtId="3" fontId="15" fillId="0" borderId="21" xfId="0" applyNumberFormat="1" applyFont="1" applyBorder="1" applyAlignment="1">
      <alignment vertical="center"/>
    </xf>
    <xf numFmtId="3" fontId="15" fillId="0" borderId="48" xfId="0" applyNumberFormat="1" applyFont="1" applyBorder="1" applyAlignment="1">
      <alignment vertical="center"/>
    </xf>
    <xf numFmtId="3" fontId="10" fillId="0" borderId="25" xfId="0" applyNumberFormat="1" applyFont="1" applyBorder="1" applyAlignment="1">
      <alignment vertical="center"/>
    </xf>
    <xf numFmtId="3" fontId="10" fillId="0" borderId="15" xfId="0" applyNumberFormat="1" applyFont="1" applyBorder="1" applyAlignment="1">
      <alignment vertical="center"/>
    </xf>
    <xf numFmtId="0" fontId="17" fillId="0" borderId="23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5" fillId="0" borderId="25" xfId="0" applyFont="1" applyBorder="1" applyAlignment="1">
      <alignment horizontal="center" vertical="center" wrapText="1"/>
    </xf>
    <xf numFmtId="3" fontId="11" fillId="2" borderId="23" xfId="1" applyNumberFormat="1" applyFont="1" applyFill="1" applyBorder="1" applyAlignment="1">
      <alignment vertical="center" wrapText="1"/>
    </xf>
    <xf numFmtId="3" fontId="10" fillId="2" borderId="37" xfId="0" applyNumberFormat="1" applyFont="1" applyFill="1" applyBorder="1" applyAlignment="1">
      <alignment vertical="center" wrapText="1"/>
    </xf>
    <xf numFmtId="0" fontId="10" fillId="2" borderId="2" xfId="0" applyFont="1" applyFill="1" applyBorder="1" applyAlignment="1">
      <alignment horizontal="center" vertical="center" wrapText="1"/>
    </xf>
    <xf numFmtId="3" fontId="11" fillId="2" borderId="26" xfId="1" applyNumberFormat="1" applyFont="1" applyFill="1" applyBorder="1" applyAlignment="1">
      <alignment vertical="center" wrapText="1"/>
    </xf>
    <xf numFmtId="49" fontId="10" fillId="2" borderId="26" xfId="0" applyNumberFormat="1" applyFont="1" applyFill="1" applyBorder="1" applyAlignment="1">
      <alignment horizontal="center" vertical="center" wrapText="1"/>
    </xf>
    <xf numFmtId="49" fontId="17" fillId="0" borderId="26" xfId="0" applyNumberFormat="1" applyFont="1" applyBorder="1" applyAlignment="1">
      <alignment horizontal="center" vertical="center" wrapText="1"/>
    </xf>
    <xf numFmtId="0" fontId="18" fillId="2" borderId="24" xfId="0" applyFont="1" applyFill="1" applyBorder="1" applyAlignment="1">
      <alignment horizontal="center" vertical="center" wrapText="1"/>
    </xf>
    <xf numFmtId="0" fontId="10" fillId="2" borderId="24" xfId="0" applyFont="1" applyFill="1" applyBorder="1" applyAlignment="1">
      <alignment horizontal="center" vertical="center" wrapText="1"/>
    </xf>
    <xf numFmtId="3" fontId="10" fillId="2" borderId="31" xfId="0" applyNumberFormat="1" applyFont="1" applyFill="1" applyBorder="1" applyAlignment="1">
      <alignment vertical="center"/>
    </xf>
    <xf numFmtId="3" fontId="10" fillId="2" borderId="26" xfId="0" applyNumberFormat="1" applyFont="1" applyFill="1" applyBorder="1" applyAlignment="1">
      <alignment vertical="center" wrapText="1"/>
    </xf>
    <xf numFmtId="0" fontId="10" fillId="2" borderId="13" xfId="0" applyFont="1" applyFill="1" applyBorder="1" applyAlignment="1">
      <alignment horizontal="center" vertical="center" wrapText="1"/>
    </xf>
    <xf numFmtId="3" fontId="11" fillId="2" borderId="13" xfId="1" applyNumberFormat="1" applyFont="1" applyFill="1" applyBorder="1" applyAlignment="1">
      <alignment vertical="center" wrapText="1"/>
    </xf>
    <xf numFmtId="3" fontId="10" fillId="2" borderId="15" xfId="0" applyNumberFormat="1" applyFont="1" applyFill="1" applyBorder="1" applyAlignment="1">
      <alignment vertical="center"/>
    </xf>
    <xf numFmtId="3" fontId="10" fillId="2" borderId="13" xfId="0" applyNumberFormat="1" applyFont="1" applyFill="1" applyBorder="1" applyAlignment="1">
      <alignment vertical="center" wrapText="1"/>
    </xf>
    <xf numFmtId="3" fontId="10" fillId="2" borderId="25" xfId="0" applyNumberFormat="1" applyFont="1" applyFill="1" applyBorder="1" applyAlignment="1">
      <alignment vertical="center"/>
    </xf>
    <xf numFmtId="3" fontId="10" fillId="2" borderId="27" xfId="0" applyNumberFormat="1" applyFont="1" applyFill="1" applyBorder="1" applyAlignment="1">
      <alignment vertical="center" wrapText="1"/>
    </xf>
    <xf numFmtId="0" fontId="10" fillId="2" borderId="37" xfId="0" applyFont="1" applyFill="1" applyBorder="1" applyAlignment="1">
      <alignment horizontal="center" vertical="center" wrapText="1"/>
    </xf>
    <xf numFmtId="0" fontId="10" fillId="2" borderId="31" xfId="0" applyFont="1" applyFill="1" applyBorder="1" applyAlignment="1">
      <alignment horizontal="center" vertical="center" wrapText="1"/>
    </xf>
    <xf numFmtId="3" fontId="11" fillId="4" borderId="28" xfId="1" applyNumberFormat="1" applyFont="1" applyFill="1" applyBorder="1" applyAlignment="1">
      <alignment vertical="center"/>
    </xf>
    <xf numFmtId="3" fontId="10" fillId="2" borderId="23" xfId="0" applyNumberFormat="1" applyFont="1" applyFill="1" applyBorder="1" applyAlignment="1">
      <alignment vertical="center"/>
    </xf>
    <xf numFmtId="0" fontId="10" fillId="2" borderId="26" xfId="0" applyFont="1" applyFill="1" applyBorder="1" applyAlignment="1">
      <alignment horizontal="center" vertical="center"/>
    </xf>
    <xf numFmtId="3" fontId="10" fillId="2" borderId="37" xfId="0" applyNumberFormat="1" applyFont="1" applyFill="1" applyBorder="1" applyAlignment="1">
      <alignment vertical="center"/>
    </xf>
    <xf numFmtId="3" fontId="10" fillId="2" borderId="26" xfId="0" applyNumberFormat="1" applyFont="1" applyFill="1" applyBorder="1" applyAlignment="1">
      <alignment vertical="center"/>
    </xf>
    <xf numFmtId="3" fontId="15" fillId="0" borderId="13" xfId="0" applyNumberFormat="1" applyFont="1" applyBorder="1" applyAlignment="1">
      <alignment horizontal="right" vertical="center"/>
    </xf>
    <xf numFmtId="3" fontId="10" fillId="4" borderId="26" xfId="0" applyNumberFormat="1" applyFont="1" applyFill="1" applyBorder="1" applyAlignment="1">
      <alignment vertical="center"/>
    </xf>
    <xf numFmtId="3" fontId="10" fillId="2" borderId="14" xfId="0" applyNumberFormat="1" applyFont="1" applyFill="1" applyBorder="1" applyAlignment="1">
      <alignment vertical="center" wrapText="1"/>
    </xf>
    <xf numFmtId="3" fontId="10" fillId="2" borderId="15" xfId="0" applyNumberFormat="1" applyFont="1" applyFill="1" applyBorder="1" applyAlignment="1">
      <alignment vertical="center" wrapText="1"/>
    </xf>
    <xf numFmtId="0" fontId="10" fillId="2" borderId="18" xfId="0" applyFont="1" applyFill="1" applyBorder="1" applyAlignment="1">
      <alignment horizontal="center" vertical="center" wrapText="1"/>
    </xf>
    <xf numFmtId="0" fontId="10" fillId="2" borderId="35" xfId="0" applyFont="1" applyFill="1" applyBorder="1" applyAlignment="1">
      <alignment horizontal="center" vertical="center" wrapText="1"/>
    </xf>
    <xf numFmtId="3" fontId="10" fillId="2" borderId="1" xfId="0" applyNumberFormat="1" applyFont="1" applyFill="1" applyBorder="1" applyAlignment="1">
      <alignment vertical="center" wrapText="1"/>
    </xf>
    <xf numFmtId="0" fontId="15" fillId="0" borderId="24" xfId="1" applyFont="1" applyBorder="1" applyAlignment="1">
      <alignment horizontal="center" vertical="center" wrapText="1"/>
    </xf>
    <xf numFmtId="3" fontId="15" fillId="0" borderId="24" xfId="0" applyNumberFormat="1" applyFont="1" applyBorder="1" applyAlignment="1">
      <alignment horizontal="right" vertical="center" wrapText="1"/>
    </xf>
    <xf numFmtId="0" fontId="10" fillId="2" borderId="45" xfId="0" applyFont="1" applyFill="1" applyBorder="1" applyAlignment="1">
      <alignment horizontal="center" vertical="center" wrapText="1"/>
    </xf>
    <xf numFmtId="3" fontId="11" fillId="2" borderId="19" xfId="1" applyNumberFormat="1" applyFont="1" applyFill="1" applyBorder="1" applyAlignment="1">
      <alignment vertical="center" wrapText="1"/>
    </xf>
    <xf numFmtId="49" fontId="15" fillId="0" borderId="25" xfId="0" applyNumberFormat="1" applyFont="1" applyBorder="1" applyAlignment="1">
      <alignment horizontal="center" vertical="center" wrapText="1"/>
    </xf>
    <xf numFmtId="3" fontId="10" fillId="0" borderId="37" xfId="0" applyNumberFormat="1" applyFont="1" applyBorder="1" applyAlignment="1">
      <alignment vertical="center" wrapText="1"/>
    </xf>
    <xf numFmtId="49" fontId="15" fillId="7" borderId="26" xfId="0" applyNumberFormat="1" applyFont="1" applyFill="1" applyBorder="1" applyAlignment="1">
      <alignment horizontal="center" vertical="center" wrapText="1"/>
    </xf>
    <xf numFmtId="3" fontId="10" fillId="0" borderId="27" xfId="0" applyNumberFormat="1" applyFont="1" applyBorder="1" applyAlignment="1">
      <alignment vertical="center" wrapText="1"/>
    </xf>
    <xf numFmtId="49" fontId="17" fillId="0" borderId="23" xfId="0" applyNumberFormat="1" applyFont="1" applyBorder="1" applyAlignment="1">
      <alignment horizontal="center" vertical="center" wrapText="1"/>
    </xf>
    <xf numFmtId="3" fontId="10" fillId="4" borderId="23" xfId="0" applyNumberFormat="1" applyFont="1" applyFill="1" applyBorder="1" applyAlignment="1">
      <alignment vertical="center" wrapText="1"/>
    </xf>
    <xf numFmtId="3" fontId="10" fillId="2" borderId="13" xfId="0" applyNumberFormat="1" applyFont="1" applyFill="1" applyBorder="1" applyAlignment="1">
      <alignment vertical="center"/>
    </xf>
    <xf numFmtId="49" fontId="17" fillId="0" borderId="18" xfId="0" applyNumberFormat="1" applyFont="1" applyBorder="1" applyAlignment="1">
      <alignment horizontal="center" vertical="center" wrapText="1"/>
    </xf>
    <xf numFmtId="0" fontId="17" fillId="0" borderId="27" xfId="0" applyFont="1" applyBorder="1" applyAlignment="1">
      <alignment horizontal="center" vertical="center" wrapText="1"/>
    </xf>
    <xf numFmtId="49" fontId="17" fillId="0" borderId="13" xfId="0" applyNumberFormat="1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3" fontId="15" fillId="0" borderId="58" xfId="0" applyNumberFormat="1" applyFont="1" applyBorder="1" applyAlignment="1">
      <alignment vertical="center"/>
    </xf>
    <xf numFmtId="3" fontId="10" fillId="0" borderId="68" xfId="0" applyNumberFormat="1" applyFont="1" applyBorder="1" applyAlignment="1">
      <alignment vertical="center" wrapText="1"/>
    </xf>
    <xf numFmtId="3" fontId="15" fillId="0" borderId="59" xfId="0" applyNumberFormat="1" applyFont="1" applyBorder="1" applyAlignment="1">
      <alignment vertical="center"/>
    </xf>
    <xf numFmtId="0" fontId="11" fillId="0" borderId="18" xfId="1" applyFont="1" applyBorder="1" applyAlignment="1">
      <alignment horizontal="center" vertical="center" wrapText="1"/>
    </xf>
    <xf numFmtId="4" fontId="11" fillId="0" borderId="55" xfId="0" applyNumberFormat="1" applyFont="1" applyBorder="1" applyAlignment="1">
      <alignment horizontal="center" vertical="center" wrapText="1"/>
    </xf>
    <xf numFmtId="4" fontId="11" fillId="0" borderId="56" xfId="0" applyNumberFormat="1" applyFont="1" applyBorder="1" applyAlignment="1">
      <alignment horizontal="center" vertical="center" wrapText="1"/>
    </xf>
    <xf numFmtId="4" fontId="11" fillId="0" borderId="6" xfId="0" applyNumberFormat="1" applyFont="1" applyBorder="1" applyAlignment="1">
      <alignment horizontal="center" vertical="center" wrapText="1"/>
    </xf>
    <xf numFmtId="4" fontId="11" fillId="0" borderId="18" xfId="0" applyNumberFormat="1" applyFont="1" applyBorder="1" applyAlignment="1">
      <alignment horizontal="center" vertical="center" wrapText="1"/>
    </xf>
    <xf numFmtId="167" fontId="11" fillId="0" borderId="14" xfId="0" applyNumberFormat="1" applyFont="1" applyBorder="1" applyAlignment="1">
      <alignment horizontal="center" vertical="center" wrapText="1"/>
    </xf>
    <xf numFmtId="0" fontId="11" fillId="0" borderId="12" xfId="1" applyFont="1" applyBorder="1" applyAlignment="1">
      <alignment horizontal="center" vertical="center" wrapText="1"/>
    </xf>
    <xf numFmtId="49" fontId="15" fillId="0" borderId="14" xfId="0" applyNumberFormat="1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 wrapText="1"/>
    </xf>
    <xf numFmtId="3" fontId="10" fillId="0" borderId="12" xfId="0" applyNumberFormat="1" applyFont="1" applyBorder="1" applyAlignment="1">
      <alignment vertical="center" wrapText="1"/>
    </xf>
    <xf numFmtId="3" fontId="10" fillId="0" borderId="6" xfId="0" applyNumberFormat="1" applyFont="1" applyBorder="1" applyAlignment="1">
      <alignment vertical="center" wrapText="1"/>
    </xf>
    <xf numFmtId="3" fontId="10" fillId="0" borderId="18" xfId="0" applyNumberFormat="1" applyFont="1" applyBorder="1" applyAlignment="1">
      <alignment vertical="center" wrapText="1"/>
    </xf>
    <xf numFmtId="0" fontId="10" fillId="0" borderId="27" xfId="1" applyBorder="1" applyAlignment="1">
      <alignment horizontal="center" vertical="center" wrapText="1"/>
    </xf>
    <xf numFmtId="3" fontId="10" fillId="0" borderId="35" xfId="0" applyNumberFormat="1" applyFont="1" applyBorder="1" applyAlignment="1">
      <alignment horizontal="right" vertical="center" wrapText="1"/>
    </xf>
    <xf numFmtId="49" fontId="10" fillId="0" borderId="12" xfId="0" applyNumberFormat="1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3" fontId="11" fillId="0" borderId="26" xfId="1" applyNumberFormat="1" applyFont="1" applyBorder="1" applyAlignment="1">
      <alignment horizontal="right" vertical="center" wrapText="1"/>
    </xf>
    <xf numFmtId="0" fontId="10" fillId="0" borderId="33" xfId="0" applyFont="1" applyBorder="1" applyAlignment="1">
      <alignment horizontal="center" vertical="center"/>
    </xf>
    <xf numFmtId="3" fontId="10" fillId="0" borderId="43" xfId="0" applyNumberFormat="1" applyFont="1" applyBorder="1" applyAlignment="1">
      <alignment vertical="center"/>
    </xf>
    <xf numFmtId="3" fontId="10" fillId="0" borderId="33" xfId="0" applyNumberFormat="1" applyFont="1" applyBorder="1" applyAlignment="1">
      <alignment vertical="center"/>
    </xf>
    <xf numFmtId="3" fontId="11" fillId="0" borderId="14" xfId="1" applyNumberFormat="1" applyFont="1" applyBorder="1" applyAlignment="1">
      <alignment vertical="center"/>
    </xf>
    <xf numFmtId="49" fontId="10" fillId="0" borderId="23" xfId="0" applyNumberFormat="1" applyFont="1" applyBorder="1" applyAlignment="1">
      <alignment horizontal="center" vertical="center"/>
    </xf>
    <xf numFmtId="3" fontId="10" fillId="0" borderId="16" xfId="0" applyNumberFormat="1" applyFont="1" applyBorder="1" applyAlignment="1">
      <alignment horizontal="center" vertical="center" wrapText="1"/>
    </xf>
    <xf numFmtId="3" fontId="10" fillId="0" borderId="21" xfId="0" applyNumberFormat="1" applyFont="1" applyBorder="1" applyAlignment="1">
      <alignment horizontal="right" vertical="center" wrapText="1"/>
    </xf>
    <xf numFmtId="49" fontId="10" fillId="4" borderId="26" xfId="0" applyNumberFormat="1" applyFont="1" applyFill="1" applyBorder="1" applyAlignment="1">
      <alignment horizontal="center" vertical="center" wrapText="1"/>
    </xf>
    <xf numFmtId="49" fontId="18" fillId="0" borderId="26" xfId="0" applyNumberFormat="1" applyFont="1" applyBorder="1" applyAlignment="1">
      <alignment horizontal="center" vertical="center" wrapText="1"/>
    </xf>
    <xf numFmtId="3" fontId="11" fillId="2" borderId="25" xfId="1" applyNumberFormat="1" applyFont="1" applyFill="1" applyBorder="1" applyAlignment="1">
      <alignment vertical="center" wrapText="1"/>
    </xf>
    <xf numFmtId="0" fontId="10" fillId="2" borderId="22" xfId="0" applyFont="1" applyFill="1" applyBorder="1" applyAlignment="1">
      <alignment horizontal="center" vertical="center" wrapText="1"/>
    </xf>
    <xf numFmtId="3" fontId="11" fillId="0" borderId="13" xfId="1" applyNumberFormat="1" applyFont="1" applyBorder="1" applyAlignment="1">
      <alignment horizontal="right" vertical="center" wrapText="1"/>
    </xf>
    <xf numFmtId="3" fontId="10" fillId="0" borderId="9" xfId="0" applyNumberFormat="1" applyFont="1" applyBorder="1" applyAlignment="1">
      <alignment horizontal="right" vertical="center"/>
    </xf>
    <xf numFmtId="3" fontId="11" fillId="0" borderId="23" xfId="1" applyNumberFormat="1" applyFont="1" applyBorder="1" applyAlignment="1">
      <alignment horizontal="right" vertical="center" wrapText="1"/>
    </xf>
    <xf numFmtId="3" fontId="10" fillId="0" borderId="37" xfId="0" applyNumberFormat="1" applyFont="1" applyBorder="1" applyAlignment="1">
      <alignment horizontal="right" vertical="center"/>
    </xf>
    <xf numFmtId="3" fontId="10" fillId="0" borderId="35" xfId="0" applyNumberFormat="1" applyFont="1" applyBorder="1" applyAlignment="1">
      <alignment horizontal="right" vertical="center"/>
    </xf>
    <xf numFmtId="3" fontId="10" fillId="0" borderId="40" xfId="0" applyNumberFormat="1" applyFont="1" applyBorder="1" applyAlignment="1">
      <alignment vertical="center"/>
    </xf>
    <xf numFmtId="3" fontId="10" fillId="0" borderId="59" xfId="0" applyNumberFormat="1" applyFont="1" applyBorder="1" applyAlignment="1">
      <alignment vertical="center" wrapText="1"/>
    </xf>
    <xf numFmtId="3" fontId="10" fillId="0" borderId="55" xfId="0" applyNumberFormat="1" applyFont="1" applyBorder="1" applyAlignment="1">
      <alignment vertical="center" wrapText="1"/>
    </xf>
    <xf numFmtId="3" fontId="10" fillId="0" borderId="1" xfId="0" applyNumberFormat="1" applyFont="1" applyBorder="1" applyAlignment="1">
      <alignment horizontal="center" vertical="center" wrapText="1"/>
    </xf>
    <xf numFmtId="3" fontId="10" fillId="0" borderId="48" xfId="0" applyNumberFormat="1" applyFont="1" applyBorder="1" applyAlignment="1">
      <alignment horizontal="center" vertical="center" wrapText="1"/>
    </xf>
    <xf numFmtId="3" fontId="10" fillId="0" borderId="69" xfId="0" applyNumberFormat="1" applyFont="1" applyBorder="1" applyAlignment="1">
      <alignment horizontal="center" vertical="center" wrapText="1"/>
    </xf>
    <xf numFmtId="3" fontId="10" fillId="0" borderId="13" xfId="0" applyNumberFormat="1" applyFont="1" applyBorder="1" applyAlignment="1">
      <alignment horizontal="center" vertical="center" wrapText="1"/>
    </xf>
    <xf numFmtId="3" fontId="10" fillId="0" borderId="73" xfId="0" applyNumberFormat="1" applyFont="1" applyBorder="1" applyAlignment="1">
      <alignment horizontal="center" vertical="center" wrapText="1"/>
    </xf>
    <xf numFmtId="0" fontId="27" fillId="0" borderId="14" xfId="0" applyFont="1" applyBorder="1" applyAlignment="1">
      <alignment horizontal="center" vertical="center"/>
    </xf>
    <xf numFmtId="3" fontId="10" fillId="0" borderId="19" xfId="0" applyNumberFormat="1" applyFont="1" applyBorder="1" applyAlignment="1">
      <alignment horizontal="center" vertical="center" wrapText="1"/>
    </xf>
    <xf numFmtId="3" fontId="10" fillId="0" borderId="69" xfId="0" applyNumberFormat="1" applyFont="1" applyBorder="1" applyAlignment="1">
      <alignment horizontal="center" vertical="center"/>
    </xf>
    <xf numFmtId="3" fontId="10" fillId="0" borderId="16" xfId="0" applyNumberFormat="1" applyFont="1" applyBorder="1" applyAlignment="1">
      <alignment horizontal="center" vertical="center"/>
    </xf>
    <xf numFmtId="3" fontId="10" fillId="0" borderId="14" xfId="0" applyNumberFormat="1" applyFont="1" applyBorder="1" applyAlignment="1">
      <alignment horizontal="center" vertical="center"/>
    </xf>
    <xf numFmtId="3" fontId="11" fillId="0" borderId="14" xfId="0" applyNumberFormat="1" applyFont="1" applyBorder="1" applyAlignment="1">
      <alignment horizontal="center" vertical="center" wrapText="1"/>
    </xf>
    <xf numFmtId="3" fontId="30" fillId="0" borderId="0" xfId="0" applyNumberFormat="1" applyFont="1"/>
    <xf numFmtId="49" fontId="10" fillId="4" borderId="22" xfId="0" applyNumberFormat="1" applyFont="1" applyFill="1" applyBorder="1" applyAlignment="1">
      <alignment horizontal="center" vertical="center" wrapText="1"/>
    </xf>
    <xf numFmtId="3" fontId="10" fillId="4" borderId="0" xfId="0" applyNumberFormat="1" applyFont="1" applyFill="1" applyAlignment="1">
      <alignment vertical="center"/>
    </xf>
    <xf numFmtId="3" fontId="10" fillId="4" borderId="22" xfId="0" applyNumberFormat="1" applyFont="1" applyFill="1" applyBorder="1" applyAlignment="1">
      <alignment vertical="center"/>
    </xf>
    <xf numFmtId="3" fontId="15" fillId="0" borderId="44" xfId="0" applyNumberFormat="1" applyFont="1" applyBorder="1" applyAlignment="1">
      <alignment vertical="center"/>
    </xf>
    <xf numFmtId="3" fontId="10" fillId="2" borderId="58" xfId="0" applyNumberFormat="1" applyFont="1" applyFill="1" applyBorder="1" applyAlignment="1">
      <alignment vertical="center" wrapText="1"/>
    </xf>
    <xf numFmtId="3" fontId="10" fillId="2" borderId="21" xfId="0" applyNumberFormat="1" applyFont="1" applyFill="1" applyBorder="1" applyAlignment="1">
      <alignment vertical="center" wrapText="1"/>
    </xf>
    <xf numFmtId="49" fontId="10" fillId="2" borderId="26" xfId="0" applyNumberFormat="1" applyFont="1" applyFill="1" applyBorder="1" applyAlignment="1">
      <alignment horizontal="center" vertical="center"/>
    </xf>
    <xf numFmtId="3" fontId="11" fillId="2" borderId="26" xfId="1" applyNumberFormat="1" applyFont="1" applyFill="1" applyBorder="1" applyAlignment="1">
      <alignment vertical="center"/>
    </xf>
    <xf numFmtId="3" fontId="10" fillId="2" borderId="20" xfId="0" applyNumberFormat="1" applyFont="1" applyFill="1" applyBorder="1" applyAlignment="1">
      <alignment vertical="center"/>
    </xf>
    <xf numFmtId="3" fontId="10" fillId="2" borderId="47" xfId="0" applyNumberFormat="1" applyFont="1" applyFill="1" applyBorder="1" applyAlignment="1">
      <alignment vertical="center" wrapText="1"/>
    </xf>
    <xf numFmtId="3" fontId="10" fillId="2" borderId="20" xfId="0" applyNumberFormat="1" applyFont="1" applyFill="1" applyBorder="1" applyAlignment="1">
      <alignment vertical="center" wrapText="1"/>
    </xf>
    <xf numFmtId="3" fontId="10" fillId="2" borderId="32" xfId="0" applyNumberFormat="1" applyFont="1" applyFill="1" applyBorder="1" applyAlignment="1">
      <alignment vertical="center" wrapText="1"/>
    </xf>
    <xf numFmtId="3" fontId="10" fillId="2" borderId="32" xfId="0" applyNumberFormat="1" applyFont="1" applyFill="1" applyBorder="1" applyAlignment="1">
      <alignment horizontal="right" vertical="center"/>
    </xf>
    <xf numFmtId="3" fontId="10" fillId="2" borderId="26" xfId="0" applyNumberFormat="1" applyFont="1" applyFill="1" applyBorder="1" applyAlignment="1">
      <alignment horizontal="right" vertical="center"/>
    </xf>
    <xf numFmtId="3" fontId="11" fillId="2" borderId="13" xfId="1" applyNumberFormat="1" applyFont="1" applyFill="1" applyBorder="1" applyAlignment="1">
      <alignment vertical="center"/>
    </xf>
    <xf numFmtId="3" fontId="11" fillId="2" borderId="30" xfId="1" applyNumberFormat="1" applyFont="1" applyFill="1" applyBorder="1" applyAlignment="1">
      <alignment vertical="center" wrapText="1"/>
    </xf>
    <xf numFmtId="3" fontId="10" fillId="2" borderId="19" xfId="0" applyNumberFormat="1" applyFont="1" applyFill="1" applyBorder="1" applyAlignment="1">
      <alignment vertical="center"/>
    </xf>
    <xf numFmtId="3" fontId="10" fillId="2" borderId="48" xfId="0" applyNumberFormat="1" applyFont="1" applyFill="1" applyBorder="1" applyAlignment="1">
      <alignment vertical="center"/>
    </xf>
    <xf numFmtId="3" fontId="10" fillId="2" borderId="48" xfId="0" applyNumberFormat="1" applyFont="1" applyFill="1" applyBorder="1" applyAlignment="1">
      <alignment vertical="center" wrapText="1"/>
    </xf>
    <xf numFmtId="3" fontId="10" fillId="4" borderId="21" xfId="0" applyNumberFormat="1" applyFont="1" applyFill="1" applyBorder="1" applyAlignment="1">
      <alignment vertical="center"/>
    </xf>
    <xf numFmtId="3" fontId="10" fillId="4" borderId="27" xfId="0" applyNumberFormat="1" applyFont="1" applyFill="1" applyBorder="1" applyAlignment="1">
      <alignment vertical="center" wrapText="1"/>
    </xf>
    <xf numFmtId="3" fontId="10" fillId="4" borderId="58" xfId="0" applyNumberFormat="1" applyFont="1" applyFill="1" applyBorder="1" applyAlignment="1">
      <alignment vertical="center" wrapText="1"/>
    </xf>
    <xf numFmtId="3" fontId="10" fillId="4" borderId="21" xfId="0" applyNumberFormat="1" applyFont="1" applyFill="1" applyBorder="1" applyAlignment="1">
      <alignment vertical="center" wrapText="1"/>
    </xf>
    <xf numFmtId="3" fontId="10" fillId="4" borderId="24" xfId="0" applyNumberFormat="1" applyFont="1" applyFill="1" applyBorder="1" applyAlignment="1">
      <alignment vertical="center" wrapText="1"/>
    </xf>
    <xf numFmtId="3" fontId="10" fillId="4" borderId="24" xfId="0" applyNumberFormat="1" applyFont="1" applyFill="1" applyBorder="1" applyAlignment="1">
      <alignment vertical="center"/>
    </xf>
    <xf numFmtId="49" fontId="10" fillId="4" borderId="23" xfId="0" applyNumberFormat="1" applyFont="1" applyFill="1" applyBorder="1" applyAlignment="1">
      <alignment horizontal="center" vertical="center" wrapText="1"/>
    </xf>
    <xf numFmtId="49" fontId="13" fillId="0" borderId="26" xfId="0" applyNumberFormat="1" applyFont="1" applyBorder="1" applyAlignment="1">
      <alignment horizontal="center" vertical="center" wrapText="1"/>
    </xf>
    <xf numFmtId="3" fontId="11" fillId="2" borderId="13" xfId="0" applyNumberFormat="1" applyFont="1" applyFill="1" applyBorder="1" applyAlignment="1">
      <alignment horizontal="right" vertical="center" wrapText="1"/>
    </xf>
    <xf numFmtId="3" fontId="11" fillId="2" borderId="15" xfId="1" applyNumberFormat="1" applyFont="1" applyFill="1" applyBorder="1" applyAlignment="1">
      <alignment vertical="center" wrapText="1"/>
    </xf>
    <xf numFmtId="49" fontId="10" fillId="2" borderId="13" xfId="0" applyNumberFormat="1" applyFont="1" applyFill="1" applyBorder="1" applyAlignment="1">
      <alignment horizontal="center" vertical="center" wrapText="1"/>
    </xf>
    <xf numFmtId="3" fontId="16" fillId="0" borderId="23" xfId="0" applyNumberFormat="1" applyFont="1" applyBorder="1" applyAlignment="1">
      <alignment horizontal="right" vertical="center"/>
    </xf>
    <xf numFmtId="49" fontId="13" fillId="0" borderId="23" xfId="0" applyNumberFormat="1" applyFont="1" applyBorder="1" applyAlignment="1">
      <alignment horizontal="center" vertical="center" wrapText="1"/>
    </xf>
    <xf numFmtId="3" fontId="10" fillId="2" borderId="19" xfId="0" applyNumberFormat="1" applyFont="1" applyFill="1" applyBorder="1" applyAlignment="1">
      <alignment vertical="center" wrapText="1"/>
    </xf>
    <xf numFmtId="49" fontId="10" fillId="2" borderId="2" xfId="0" applyNumberFormat="1" applyFont="1" applyFill="1" applyBorder="1" applyAlignment="1">
      <alignment horizontal="center" vertical="center" wrapText="1"/>
    </xf>
    <xf numFmtId="3" fontId="15" fillId="0" borderId="24" xfId="0" applyNumberFormat="1" applyFont="1" applyBorder="1" applyAlignment="1">
      <alignment horizontal="right" vertical="center"/>
    </xf>
    <xf numFmtId="49" fontId="10" fillId="2" borderId="23" xfId="0" applyNumberFormat="1" applyFont="1" applyFill="1" applyBorder="1" applyAlignment="1">
      <alignment horizontal="center" vertical="center" wrapText="1"/>
    </xf>
    <xf numFmtId="3" fontId="11" fillId="0" borderId="25" xfId="1" applyNumberFormat="1" applyFont="1" applyBorder="1" applyAlignment="1">
      <alignment vertical="center" wrapText="1"/>
    </xf>
    <xf numFmtId="3" fontId="10" fillId="2" borderId="65" xfId="0" applyNumberFormat="1" applyFont="1" applyFill="1" applyBorder="1" applyAlignment="1">
      <alignment vertical="center" wrapText="1"/>
    </xf>
    <xf numFmtId="0" fontId="15" fillId="2" borderId="26" xfId="0" applyFont="1" applyFill="1" applyBorder="1" applyAlignment="1">
      <alignment horizontal="center" vertical="center" wrapText="1"/>
    </xf>
    <xf numFmtId="0" fontId="10" fillId="2" borderId="23" xfId="1" applyFill="1" applyBorder="1" applyAlignment="1">
      <alignment horizontal="center" vertical="center" wrapText="1"/>
    </xf>
    <xf numFmtId="3" fontId="10" fillId="2" borderId="54" xfId="0" applyNumberFormat="1" applyFont="1" applyFill="1" applyBorder="1" applyAlignment="1">
      <alignment vertical="center" wrapText="1"/>
    </xf>
    <xf numFmtId="0" fontId="10" fillId="12" borderId="23" xfId="0" applyFont="1" applyFill="1" applyBorder="1" applyAlignment="1">
      <alignment horizontal="center" vertical="center" wrapText="1"/>
    </xf>
    <xf numFmtId="0" fontId="10" fillId="2" borderId="33" xfId="0" applyFont="1" applyFill="1" applyBorder="1" applyAlignment="1">
      <alignment horizontal="center" vertical="center" wrapText="1"/>
    </xf>
    <xf numFmtId="49" fontId="10" fillId="0" borderId="18" xfId="0" applyNumberFormat="1" applyFont="1" applyBorder="1" applyAlignment="1">
      <alignment horizontal="center" vertical="center" wrapText="1"/>
    </xf>
    <xf numFmtId="3" fontId="10" fillId="0" borderId="68" xfId="0" applyNumberFormat="1" applyFont="1" applyBorder="1" applyAlignment="1">
      <alignment horizontal="center" vertical="center" wrapText="1"/>
    </xf>
    <xf numFmtId="3" fontId="10" fillId="0" borderId="30" xfId="0" applyNumberFormat="1" applyFont="1" applyBorder="1" applyAlignment="1">
      <alignment horizontal="center" vertical="center" wrapText="1"/>
    </xf>
    <xf numFmtId="49" fontId="10" fillId="2" borderId="32" xfId="0" applyNumberFormat="1" applyFont="1" applyFill="1" applyBorder="1" applyAlignment="1">
      <alignment horizontal="center" vertical="center" wrapText="1"/>
    </xf>
    <xf numFmtId="3" fontId="10" fillId="0" borderId="13" xfId="0" applyNumberFormat="1" applyFont="1" applyBorder="1" applyAlignment="1">
      <alignment horizontal="right" vertical="center" wrapText="1"/>
    </xf>
    <xf numFmtId="3" fontId="11" fillId="2" borderId="14" xfId="1" applyNumberFormat="1" applyFont="1" applyFill="1" applyBorder="1" applyAlignment="1">
      <alignment vertical="center" wrapText="1"/>
    </xf>
    <xf numFmtId="3" fontId="10" fillId="4" borderId="26" xfId="0" applyNumberFormat="1" applyFont="1" applyFill="1" applyBorder="1" applyAlignment="1">
      <alignment horizontal="center" vertical="center" wrapText="1"/>
    </xf>
    <xf numFmtId="49" fontId="10" fillId="4" borderId="2" xfId="0" applyNumberFormat="1" applyFont="1" applyFill="1" applyBorder="1" applyAlignment="1">
      <alignment horizontal="center" vertical="center" wrapText="1"/>
    </xf>
    <xf numFmtId="3" fontId="10" fillId="0" borderId="20" xfId="1" applyNumberFormat="1" applyBorder="1" applyAlignment="1">
      <alignment vertical="center" wrapText="1"/>
    </xf>
    <xf numFmtId="3" fontId="10" fillId="0" borderId="62" xfId="0" applyNumberFormat="1" applyFont="1" applyBorder="1" applyAlignment="1">
      <alignment vertical="center" wrapText="1"/>
    </xf>
    <xf numFmtId="3" fontId="10" fillId="0" borderId="27" xfId="1" applyNumberFormat="1" applyBorder="1" applyAlignment="1">
      <alignment vertical="center" wrapText="1"/>
    </xf>
    <xf numFmtId="3" fontId="10" fillId="0" borderId="3" xfId="0" applyNumberFormat="1" applyFont="1" applyBorder="1" applyAlignment="1">
      <alignment horizontal="center" vertical="center" wrapText="1"/>
    </xf>
    <xf numFmtId="3" fontId="10" fillId="0" borderId="23" xfId="0" applyNumberFormat="1" applyFont="1" applyBorder="1" applyAlignment="1">
      <alignment horizontal="center" vertical="center" wrapText="1"/>
    </xf>
    <xf numFmtId="3" fontId="11" fillId="0" borderId="18" xfId="1" applyNumberFormat="1" applyFont="1" applyBorder="1" applyAlignment="1">
      <alignment horizontal="right" vertical="center" wrapText="1"/>
    </xf>
    <xf numFmtId="3" fontId="11" fillId="4" borderId="2" xfId="1" applyNumberFormat="1" applyFont="1" applyFill="1" applyBorder="1" applyAlignment="1">
      <alignment horizontal="right" vertical="center" wrapText="1"/>
    </xf>
    <xf numFmtId="3" fontId="11" fillId="0" borderId="2" xfId="1" applyNumberFormat="1" applyFont="1" applyBorder="1" applyAlignment="1">
      <alignment horizontal="right" vertical="center" wrapText="1"/>
    </xf>
    <xf numFmtId="3" fontId="10" fillId="0" borderId="59" xfId="0" applyNumberFormat="1" applyFont="1" applyBorder="1" applyAlignment="1">
      <alignment horizontal="center" vertical="center" wrapText="1"/>
    </xf>
    <xf numFmtId="49" fontId="10" fillId="0" borderId="13" xfId="1" applyNumberFormat="1" applyBorder="1" applyAlignment="1">
      <alignment horizontal="center" vertical="center" wrapText="1"/>
    </xf>
    <xf numFmtId="3" fontId="16" fillId="0" borderId="13" xfId="1" applyNumberFormat="1" applyFont="1" applyBorder="1" applyAlignment="1">
      <alignment horizontal="right" vertical="center" wrapText="1"/>
    </xf>
    <xf numFmtId="49" fontId="10" fillId="0" borderId="33" xfId="0" applyNumberFormat="1" applyFont="1" applyBorder="1" applyAlignment="1">
      <alignment horizontal="center" vertical="center" wrapText="1"/>
    </xf>
    <xf numFmtId="3" fontId="15" fillId="0" borderId="26" xfId="0" applyNumberFormat="1" applyFont="1" applyBorder="1" applyAlignment="1">
      <alignment horizontal="center" vertical="center" wrapText="1"/>
    </xf>
    <xf numFmtId="3" fontId="10" fillId="0" borderId="47" xfId="0" applyNumberFormat="1" applyFont="1" applyBorder="1" applyAlignment="1">
      <alignment vertical="center"/>
    </xf>
    <xf numFmtId="3" fontId="10" fillId="0" borderId="59" xfId="0" applyNumberFormat="1" applyFont="1" applyBorder="1" applyAlignment="1">
      <alignment vertical="center"/>
    </xf>
    <xf numFmtId="3" fontId="10" fillId="0" borderId="58" xfId="0" applyNumberFormat="1" applyFont="1" applyBorder="1" applyAlignment="1">
      <alignment vertical="center"/>
    </xf>
    <xf numFmtId="3" fontId="10" fillId="0" borderId="47" xfId="0" applyNumberFormat="1" applyFont="1" applyBorder="1" applyAlignment="1">
      <alignment horizontal="right" vertical="center"/>
    </xf>
    <xf numFmtId="3" fontId="11" fillId="0" borderId="4" xfId="1" applyNumberFormat="1" applyFont="1" applyBorder="1" applyAlignment="1">
      <alignment horizontal="right" vertical="center" wrapText="1"/>
    </xf>
    <xf numFmtId="3" fontId="11" fillId="4" borderId="23" xfId="1" applyNumberFormat="1" applyFont="1" applyFill="1" applyBorder="1" applyAlignment="1">
      <alignment horizontal="right" vertical="center" wrapText="1"/>
    </xf>
    <xf numFmtId="0" fontId="10" fillId="4" borderId="27" xfId="0" applyFont="1" applyFill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3" fontId="11" fillId="0" borderId="30" xfId="1" applyNumberFormat="1" applyFont="1" applyBorder="1" applyAlignment="1">
      <alignment horizontal="right" vertical="center" wrapText="1"/>
    </xf>
    <xf numFmtId="3" fontId="15" fillId="11" borderId="13" xfId="0" applyNumberFormat="1" applyFont="1" applyFill="1" applyBorder="1" applyAlignment="1">
      <alignment horizontal="right" vertical="center" wrapText="1"/>
    </xf>
    <xf numFmtId="3" fontId="11" fillId="2" borderId="23" xfId="1" applyNumberFormat="1" applyFont="1" applyFill="1" applyBorder="1" applyAlignment="1">
      <alignment horizontal="right" vertical="center" wrapText="1"/>
    </xf>
    <xf numFmtId="3" fontId="10" fillId="2" borderId="24" xfId="0" applyNumberFormat="1" applyFont="1" applyFill="1" applyBorder="1" applyAlignment="1">
      <alignment horizontal="center" vertical="center" wrapText="1"/>
    </xf>
    <xf numFmtId="3" fontId="11" fillId="2" borderId="13" xfId="1" applyNumberFormat="1" applyFont="1" applyFill="1" applyBorder="1" applyAlignment="1">
      <alignment horizontal="right" vertical="center" wrapText="1"/>
    </xf>
    <xf numFmtId="3" fontId="10" fillId="2" borderId="23" xfId="0" applyNumberFormat="1" applyFont="1" applyFill="1" applyBorder="1" applyAlignment="1">
      <alignment horizontal="right" vertical="center" wrapText="1"/>
    </xf>
    <xf numFmtId="0" fontId="10" fillId="2" borderId="16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3" fontId="11" fillId="2" borderId="31" xfId="1" applyNumberFormat="1" applyFont="1" applyFill="1" applyBorder="1" applyAlignment="1">
      <alignment vertical="center"/>
    </xf>
    <xf numFmtId="0" fontId="10" fillId="2" borderId="13" xfId="0" applyFont="1" applyFill="1" applyBorder="1" applyAlignment="1">
      <alignment horizontal="center" vertical="center"/>
    </xf>
    <xf numFmtId="3" fontId="11" fillId="2" borderId="15" xfId="1" applyNumberFormat="1" applyFont="1" applyFill="1" applyBorder="1" applyAlignment="1">
      <alignment vertical="center"/>
    </xf>
    <xf numFmtId="0" fontId="10" fillId="2" borderId="14" xfId="0" applyFont="1" applyFill="1" applyBorder="1" applyAlignment="1">
      <alignment horizontal="center" vertical="center" wrapText="1"/>
    </xf>
    <xf numFmtId="0" fontId="10" fillId="2" borderId="27" xfId="0" applyFont="1" applyFill="1" applyBorder="1" applyAlignment="1">
      <alignment horizontal="center" vertical="center" wrapText="1"/>
    </xf>
    <xf numFmtId="3" fontId="11" fillId="2" borderId="26" xfId="1" applyNumberFormat="1" applyFont="1" applyFill="1" applyBorder="1" applyAlignment="1">
      <alignment horizontal="right" vertical="center" wrapText="1"/>
    </xf>
    <xf numFmtId="3" fontId="10" fillId="2" borderId="13" xfId="0" applyNumberFormat="1" applyFont="1" applyFill="1" applyBorder="1" applyAlignment="1">
      <alignment horizontal="center" vertical="center" wrapText="1"/>
    </xf>
    <xf numFmtId="3" fontId="15" fillId="0" borderId="23" xfId="0" applyNumberFormat="1" applyFont="1" applyBorder="1" applyAlignment="1">
      <alignment horizontal="right" vertical="center"/>
    </xf>
    <xf numFmtId="49" fontId="10" fillId="0" borderId="14" xfId="0" applyNumberFormat="1" applyFont="1" applyBorder="1" applyAlignment="1">
      <alignment horizontal="center" vertical="center"/>
    </xf>
    <xf numFmtId="49" fontId="10" fillId="0" borderId="18" xfId="0" applyNumberFormat="1" applyFont="1" applyBorder="1" applyAlignment="1">
      <alignment horizontal="center" vertical="center"/>
    </xf>
    <xf numFmtId="3" fontId="10" fillId="2" borderId="72" xfId="0" applyNumberFormat="1" applyFont="1" applyFill="1" applyBorder="1" applyAlignment="1">
      <alignment vertical="center" wrapText="1"/>
    </xf>
    <xf numFmtId="3" fontId="11" fillId="0" borderId="12" xfId="1" applyNumberFormat="1" applyFont="1" applyBorder="1" applyAlignment="1">
      <alignment horizontal="right" vertical="center" wrapText="1"/>
    </xf>
    <xf numFmtId="3" fontId="11" fillId="2" borderId="25" xfId="1" applyNumberFormat="1" applyFont="1" applyFill="1" applyBorder="1" applyAlignment="1">
      <alignment horizontal="right" vertical="center" wrapText="1"/>
    </xf>
    <xf numFmtId="2" fontId="10" fillId="4" borderId="26" xfId="0" applyNumberFormat="1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3" fontId="10" fillId="0" borderId="33" xfId="0" applyNumberFormat="1" applyFont="1" applyBorder="1" applyAlignment="1">
      <alignment horizontal="right" vertical="center" wrapText="1"/>
    </xf>
    <xf numFmtId="3" fontId="15" fillId="0" borderId="13" xfId="0" applyNumberFormat="1" applyFont="1" applyBorder="1" applyAlignment="1">
      <alignment horizontal="right" vertical="center" wrapText="1"/>
    </xf>
    <xf numFmtId="3" fontId="10" fillId="0" borderId="14" xfId="0" applyNumberFormat="1" applyFont="1" applyBorder="1" applyAlignment="1">
      <alignment horizontal="right" vertical="center" wrapText="1"/>
    </xf>
    <xf numFmtId="3" fontId="10" fillId="0" borderId="18" xfId="0" applyNumberFormat="1" applyFont="1" applyBorder="1" applyAlignment="1">
      <alignment horizontal="right" vertical="center" wrapText="1"/>
    </xf>
    <xf numFmtId="3" fontId="10" fillId="0" borderId="2" xfId="0" applyNumberFormat="1" applyFont="1" applyBorder="1" applyAlignment="1">
      <alignment horizontal="right" vertical="center" wrapText="1"/>
    </xf>
    <xf numFmtId="3" fontId="10" fillId="0" borderId="25" xfId="0" applyNumberFormat="1" applyFont="1" applyBorder="1" applyAlignment="1">
      <alignment horizontal="right" vertical="center"/>
    </xf>
    <xf numFmtId="0" fontId="12" fillId="0" borderId="14" xfId="1" applyFont="1" applyBorder="1" applyAlignment="1">
      <alignment horizontal="center" vertical="center" wrapText="1"/>
    </xf>
    <xf numFmtId="4" fontId="11" fillId="0" borderId="69" xfId="0" applyNumberFormat="1" applyFont="1" applyBorder="1" applyAlignment="1">
      <alignment horizontal="center" vertical="center" wrapText="1"/>
    </xf>
    <xf numFmtId="4" fontId="11" fillId="0" borderId="1" xfId="0" applyNumberFormat="1" applyFont="1" applyBorder="1" applyAlignment="1">
      <alignment horizontal="center" vertical="center" wrapText="1"/>
    </xf>
    <xf numFmtId="4" fontId="11" fillId="0" borderId="14" xfId="0" applyNumberFormat="1" applyFont="1" applyBorder="1" applyAlignment="1">
      <alignment horizontal="right" vertical="center" wrapText="1"/>
    </xf>
    <xf numFmtId="49" fontId="11" fillId="0" borderId="16" xfId="0" applyNumberFormat="1" applyFont="1" applyBorder="1" applyAlignment="1">
      <alignment horizontal="center" vertical="center" wrapText="1"/>
    </xf>
    <xf numFmtId="49" fontId="11" fillId="0" borderId="30" xfId="0" applyNumberFormat="1" applyFont="1" applyBorder="1" applyAlignment="1">
      <alignment horizontal="center" vertical="center" wrapText="1"/>
    </xf>
    <xf numFmtId="3" fontId="10" fillId="0" borderId="58" xfId="0" applyNumberFormat="1" applyFont="1" applyBorder="1" applyAlignment="1">
      <alignment horizontal="right" vertical="center"/>
    </xf>
    <xf numFmtId="3" fontId="10" fillId="0" borderId="21" xfId="0" applyNumberFormat="1" applyFont="1" applyBorder="1" applyAlignment="1">
      <alignment horizontal="right" vertical="center"/>
    </xf>
    <xf numFmtId="49" fontId="10" fillId="0" borderId="45" xfId="0" applyNumberFormat="1" applyFont="1" applyBorder="1" applyAlignment="1">
      <alignment horizontal="center" vertical="center" wrapText="1"/>
    </xf>
    <xf numFmtId="49" fontId="10" fillId="0" borderId="16" xfId="0" applyNumberFormat="1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49" fontId="16" fillId="0" borderId="18" xfId="0" applyNumberFormat="1" applyFont="1" applyBorder="1" applyAlignment="1">
      <alignment horizontal="center" vertical="center" wrapText="1"/>
    </xf>
    <xf numFmtId="0" fontId="15" fillId="0" borderId="18" xfId="1" applyFont="1" applyBorder="1" applyAlignment="1">
      <alignment horizontal="center" vertical="center" wrapText="1"/>
    </xf>
    <xf numFmtId="3" fontId="15" fillId="11" borderId="14" xfId="0" applyNumberFormat="1" applyFont="1" applyFill="1" applyBorder="1" applyAlignment="1">
      <alignment horizontal="right" vertical="center" wrapText="1"/>
    </xf>
    <xf numFmtId="3" fontId="15" fillId="0" borderId="16" xfId="0" applyNumberFormat="1" applyFont="1" applyBorder="1" applyAlignment="1">
      <alignment horizontal="right" vertical="center" wrapText="1"/>
    </xf>
    <xf numFmtId="3" fontId="15" fillId="0" borderId="45" xfId="0" applyNumberFormat="1" applyFont="1" applyBorder="1" applyAlignment="1">
      <alignment horizontal="right" vertical="center"/>
    </xf>
    <xf numFmtId="3" fontId="10" fillId="0" borderId="31" xfId="0" applyNumberFormat="1" applyFont="1" applyBorder="1" applyAlignment="1">
      <alignment horizontal="right" vertical="center"/>
    </xf>
    <xf numFmtId="3" fontId="15" fillId="0" borderId="27" xfId="0" applyNumberFormat="1" applyFont="1" applyBorder="1" applyAlignment="1">
      <alignment horizontal="right" vertical="center"/>
    </xf>
    <xf numFmtId="2" fontId="10" fillId="4" borderId="29" xfId="0" applyNumberFormat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3" fontId="10" fillId="0" borderId="2" xfId="0" applyNumberFormat="1" applyFont="1" applyBorder="1" applyAlignment="1">
      <alignment horizontal="center" vertical="center" wrapText="1"/>
    </xf>
    <xf numFmtId="3" fontId="10" fillId="2" borderId="22" xfId="0" applyNumberFormat="1" applyFont="1" applyFill="1" applyBorder="1" applyAlignment="1">
      <alignment vertical="center"/>
    </xf>
    <xf numFmtId="3" fontId="10" fillId="2" borderId="25" xfId="0" applyNumberFormat="1" applyFont="1" applyFill="1" applyBorder="1" applyAlignment="1">
      <alignment horizontal="right" vertical="center" wrapText="1"/>
    </xf>
    <xf numFmtId="3" fontId="10" fillId="2" borderId="23" xfId="0" applyNumberFormat="1" applyFont="1" applyFill="1" applyBorder="1" applyAlignment="1">
      <alignment horizontal="center" vertical="center" wrapText="1"/>
    </xf>
    <xf numFmtId="3" fontId="15" fillId="0" borderId="36" xfId="0" applyNumberFormat="1" applyFont="1" applyBorder="1" applyAlignment="1">
      <alignment horizontal="right" vertical="center" wrapText="1"/>
    </xf>
    <xf numFmtId="3" fontId="10" fillId="0" borderId="20" xfId="0" applyNumberFormat="1" applyFont="1" applyBorder="1" applyAlignment="1">
      <alignment horizontal="right" vertical="center" wrapText="1"/>
    </xf>
    <xf numFmtId="3" fontId="15" fillId="0" borderId="44" xfId="0" applyNumberFormat="1" applyFont="1" applyBorder="1" applyAlignment="1">
      <alignment horizontal="right" vertical="center" wrapText="1"/>
    </xf>
    <xf numFmtId="3" fontId="15" fillId="0" borderId="21" xfId="0" applyNumberFormat="1" applyFont="1" applyBorder="1" applyAlignment="1">
      <alignment horizontal="right" vertical="center" wrapText="1"/>
    </xf>
    <xf numFmtId="3" fontId="15" fillId="0" borderId="54" xfId="0" applyNumberFormat="1" applyFont="1" applyBorder="1" applyAlignment="1">
      <alignment horizontal="right" vertical="center" wrapText="1"/>
    </xf>
    <xf numFmtId="3" fontId="15" fillId="0" borderId="48" xfId="0" applyNumberFormat="1" applyFont="1" applyBorder="1" applyAlignment="1">
      <alignment horizontal="right" vertical="center" wrapText="1"/>
    </xf>
    <xf numFmtId="3" fontId="15" fillId="0" borderId="69" xfId="0" applyNumberFormat="1" applyFont="1" applyBorder="1" applyAlignment="1">
      <alignment horizontal="right" vertical="center" wrapText="1"/>
    </xf>
    <xf numFmtId="3" fontId="10" fillId="0" borderId="25" xfId="0" applyNumberFormat="1" applyFont="1" applyBorder="1" applyAlignment="1">
      <alignment horizontal="right" vertical="center" wrapText="1"/>
    </xf>
    <xf numFmtId="3" fontId="10" fillId="2" borderId="0" xfId="0" applyNumberFormat="1" applyFont="1" applyFill="1" applyAlignment="1">
      <alignment vertical="center"/>
    </xf>
    <xf numFmtId="49" fontId="10" fillId="0" borderId="6" xfId="0" applyNumberFormat="1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3" fontId="11" fillId="0" borderId="2" xfId="1" applyNumberFormat="1" applyFont="1" applyBorder="1" applyAlignment="1">
      <alignment vertical="center" wrapText="1"/>
    </xf>
    <xf numFmtId="0" fontId="10" fillId="0" borderId="32" xfId="1" applyBorder="1" applyAlignment="1">
      <alignment horizontal="center" vertical="center" wrapText="1"/>
    </xf>
    <xf numFmtId="0" fontId="10" fillId="0" borderId="22" xfId="1" applyBorder="1" applyAlignment="1">
      <alignment horizontal="center" vertical="center" wrapText="1"/>
    </xf>
    <xf numFmtId="3" fontId="10" fillId="0" borderId="8" xfId="0" applyNumberFormat="1" applyFont="1" applyBorder="1" applyAlignment="1">
      <alignment vertical="center" wrapText="1"/>
    </xf>
    <xf numFmtId="49" fontId="10" fillId="0" borderId="23" xfId="0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3" fontId="10" fillId="0" borderId="32" xfId="0" applyNumberFormat="1" applyFont="1" applyBorder="1" applyAlignment="1">
      <alignment horizontal="center" vertical="center" wrapText="1"/>
    </xf>
    <xf numFmtId="3" fontId="10" fillId="0" borderId="21" xfId="0" applyNumberFormat="1" applyFont="1" applyBorder="1" applyAlignment="1">
      <alignment vertical="center" wrapText="1"/>
    </xf>
    <xf numFmtId="0" fontId="10" fillId="0" borderId="16" xfId="1" applyBorder="1" applyAlignment="1">
      <alignment horizontal="center" vertical="center" wrapText="1"/>
    </xf>
    <xf numFmtId="3" fontId="15" fillId="0" borderId="68" xfId="0" applyNumberFormat="1" applyFont="1" applyBorder="1" applyAlignment="1">
      <alignment horizontal="right" vertical="center" wrapText="1"/>
    </xf>
    <xf numFmtId="3" fontId="15" fillId="0" borderId="58" xfId="0" applyNumberFormat="1" applyFont="1" applyBorder="1" applyAlignment="1">
      <alignment horizontal="right" vertical="center" wrapText="1"/>
    </xf>
    <xf numFmtId="3" fontId="10" fillId="0" borderId="14" xfId="1" applyNumberFormat="1" applyBorder="1" applyAlignment="1">
      <alignment horizontal="center" vertical="center" wrapText="1"/>
    </xf>
    <xf numFmtId="4" fontId="10" fillId="2" borderId="26" xfId="0" applyNumberFormat="1" applyFont="1" applyFill="1" applyBorder="1" applyAlignment="1">
      <alignment horizontal="center" vertical="center" wrapText="1"/>
    </xf>
    <xf numFmtId="0" fontId="31" fillId="2" borderId="0" xfId="0" applyFont="1" applyFill="1"/>
    <xf numFmtId="3" fontId="10" fillId="0" borderId="14" xfId="0" applyNumberFormat="1" applyFont="1" applyBorder="1" applyAlignment="1">
      <alignment vertical="center"/>
    </xf>
    <xf numFmtId="0" fontId="10" fillId="0" borderId="14" xfId="0" applyFont="1" applyBorder="1" applyAlignment="1">
      <alignment horizontal="center" vertical="center"/>
    </xf>
    <xf numFmtId="3" fontId="15" fillId="0" borderId="49" xfId="0" applyNumberFormat="1" applyFont="1" applyBorder="1" applyAlignment="1">
      <alignment horizontal="right" vertical="center" wrapText="1"/>
    </xf>
    <xf numFmtId="3" fontId="15" fillId="0" borderId="47" xfId="0" applyNumberFormat="1" applyFont="1" applyBorder="1" applyAlignment="1">
      <alignment horizontal="right" vertical="center" wrapText="1"/>
    </xf>
    <xf numFmtId="3" fontId="10" fillId="0" borderId="24" xfId="0" applyNumberFormat="1" applyFont="1" applyBorder="1" applyAlignment="1">
      <alignment vertical="center" wrapText="1"/>
    </xf>
    <xf numFmtId="3" fontId="10" fillId="0" borderId="24" xfId="0" applyNumberFormat="1" applyFont="1" applyBorder="1" applyAlignment="1">
      <alignment horizontal="right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13" xfId="1" applyBorder="1" applyAlignment="1">
      <alignment horizontal="center" vertical="center" wrapText="1"/>
    </xf>
    <xf numFmtId="0" fontId="10" fillId="0" borderId="2" xfId="1" applyBorder="1" applyAlignment="1">
      <alignment horizontal="center" vertical="center" wrapText="1"/>
    </xf>
    <xf numFmtId="3" fontId="11" fillId="5" borderId="18" xfId="1" applyNumberFormat="1" applyFont="1" applyFill="1" applyBorder="1" applyAlignment="1">
      <alignment vertical="center" wrapText="1"/>
    </xf>
    <xf numFmtId="3" fontId="10" fillId="0" borderId="63" xfId="0" applyNumberFormat="1" applyFont="1" applyBorder="1" applyAlignment="1">
      <alignment vertical="center" wrapText="1"/>
    </xf>
    <xf numFmtId="3" fontId="10" fillId="0" borderId="27" xfId="0" applyNumberFormat="1" applyFont="1" applyBorder="1" applyAlignment="1">
      <alignment horizontal="right" vertical="center" wrapText="1"/>
    </xf>
    <xf numFmtId="3" fontId="10" fillId="0" borderId="37" xfId="0" applyNumberFormat="1" applyFont="1" applyBorder="1" applyAlignment="1">
      <alignment horizontal="right" vertical="center" wrapText="1"/>
    </xf>
    <xf numFmtId="3" fontId="10" fillId="0" borderId="45" xfId="0" applyNumberFormat="1" applyFont="1" applyBorder="1" applyAlignment="1">
      <alignment horizontal="center" vertical="center" wrapText="1"/>
    </xf>
    <xf numFmtId="3" fontId="10" fillId="0" borderId="26" xfId="0" applyNumberFormat="1" applyFont="1" applyBorder="1" applyAlignment="1">
      <alignment horizontal="center" vertical="center" wrapText="1"/>
    </xf>
    <xf numFmtId="3" fontId="10" fillId="0" borderId="23" xfId="0" applyNumberFormat="1" applyFont="1" applyBorder="1" applyAlignment="1">
      <alignment horizontal="right" vertical="center" wrapText="1"/>
    </xf>
    <xf numFmtId="3" fontId="11" fillId="0" borderId="23" xfId="1" applyNumberFormat="1" applyFont="1" applyBorder="1" applyAlignment="1">
      <alignment vertical="center" wrapText="1"/>
    </xf>
    <xf numFmtId="3" fontId="10" fillId="0" borderId="32" xfId="0" applyNumberFormat="1" applyFont="1" applyBorder="1" applyAlignment="1">
      <alignment vertical="center" wrapText="1"/>
    </xf>
    <xf numFmtId="3" fontId="10" fillId="0" borderId="32" xfId="0" applyNumberFormat="1" applyFont="1" applyBorder="1" applyAlignment="1">
      <alignment horizontal="right" vertical="center" wrapText="1"/>
    </xf>
    <xf numFmtId="0" fontId="10" fillId="0" borderId="26" xfId="1" applyBorder="1" applyAlignment="1">
      <alignment horizontal="center" vertical="center" wrapText="1"/>
    </xf>
    <xf numFmtId="49" fontId="10" fillId="0" borderId="26" xfId="0" applyNumberFormat="1" applyFont="1" applyBorder="1" applyAlignment="1">
      <alignment horizontal="center" vertical="center" wrapText="1"/>
    </xf>
    <xf numFmtId="3" fontId="10" fillId="0" borderId="20" xfId="0" applyNumberFormat="1" applyFont="1" applyBorder="1" applyAlignment="1">
      <alignment vertical="center" wrapText="1"/>
    </xf>
    <xf numFmtId="3" fontId="10" fillId="0" borderId="58" xfId="0" applyNumberFormat="1" applyFont="1" applyBorder="1" applyAlignment="1">
      <alignment vertical="center" wrapText="1"/>
    </xf>
    <xf numFmtId="3" fontId="10" fillId="0" borderId="47" xfId="0" applyNumberFormat="1" applyFont="1" applyBorder="1" applyAlignment="1">
      <alignment vertical="center" wrapText="1"/>
    </xf>
    <xf numFmtId="3" fontId="10" fillId="0" borderId="26" xfId="0" applyNumberFormat="1" applyFont="1" applyBorder="1" applyAlignment="1">
      <alignment horizontal="right" vertical="center" wrapText="1"/>
    </xf>
    <xf numFmtId="3" fontId="10" fillId="0" borderId="22" xfId="0" applyNumberFormat="1" applyFont="1" applyBorder="1" applyAlignment="1">
      <alignment horizontal="right" vertical="center"/>
    </xf>
    <xf numFmtId="3" fontId="10" fillId="0" borderId="64" xfId="0" applyNumberFormat="1" applyFont="1" applyBorder="1" applyAlignment="1">
      <alignment horizontal="right" vertical="center"/>
    </xf>
    <xf numFmtId="3" fontId="10" fillId="0" borderId="65" xfId="0" applyNumberFormat="1" applyFont="1" applyBorder="1" applyAlignment="1">
      <alignment horizontal="right" vertical="center"/>
    </xf>
    <xf numFmtId="0" fontId="27" fillId="0" borderId="26" xfId="0" applyFont="1" applyBorder="1" applyAlignment="1">
      <alignment horizontal="center" vertical="center"/>
    </xf>
    <xf numFmtId="3" fontId="15" fillId="0" borderId="31" xfId="0" applyNumberFormat="1" applyFont="1" applyBorder="1" applyAlignment="1">
      <alignment horizontal="right" vertical="center" wrapText="1"/>
    </xf>
    <xf numFmtId="3" fontId="10" fillId="2" borderId="26" xfId="0" applyNumberFormat="1" applyFont="1" applyFill="1" applyBorder="1" applyAlignment="1">
      <alignment horizontal="center" vertical="center" wrapText="1"/>
    </xf>
    <xf numFmtId="3" fontId="10" fillId="2" borderId="14" xfId="0" applyNumberFormat="1" applyFont="1" applyFill="1" applyBorder="1" applyAlignment="1">
      <alignment horizontal="center" vertical="center" wrapText="1"/>
    </xf>
    <xf numFmtId="3" fontId="10" fillId="2" borderId="22" xfId="0" applyNumberFormat="1" applyFont="1" applyFill="1" applyBorder="1" applyAlignment="1">
      <alignment horizontal="center" vertical="center" wrapText="1"/>
    </xf>
    <xf numFmtId="3" fontId="10" fillId="2" borderId="18" xfId="0" applyNumberFormat="1" applyFont="1" applyFill="1" applyBorder="1" applyAlignment="1">
      <alignment horizontal="center" vertical="center" wrapText="1"/>
    </xf>
    <xf numFmtId="3" fontId="10" fillId="2" borderId="33" xfId="0" applyNumberFormat="1" applyFont="1" applyFill="1" applyBorder="1" applyAlignment="1">
      <alignment horizontal="center" vertical="center" wrapText="1"/>
    </xf>
    <xf numFmtId="3" fontId="15" fillId="0" borderId="18" xfId="0" applyNumberFormat="1" applyFont="1" applyBorder="1" applyAlignment="1">
      <alignment horizontal="center" vertical="center" wrapText="1"/>
    </xf>
    <xf numFmtId="3" fontId="11" fillId="11" borderId="13" xfId="0" applyNumberFormat="1" applyFont="1" applyFill="1" applyBorder="1" applyAlignment="1">
      <alignment horizontal="right" vertical="center" wrapText="1"/>
    </xf>
    <xf numFmtId="3" fontId="16" fillId="11" borderId="13" xfId="0" applyNumberFormat="1" applyFont="1" applyFill="1" applyBorder="1" applyAlignment="1">
      <alignment horizontal="right" vertical="center" wrapText="1"/>
    </xf>
    <xf numFmtId="3" fontId="11" fillId="11" borderId="18" xfId="0" applyNumberFormat="1" applyFont="1" applyFill="1" applyBorder="1" applyAlignment="1">
      <alignment horizontal="right" vertical="center" wrapText="1"/>
    </xf>
    <xf numFmtId="3" fontId="11" fillId="11" borderId="2" xfId="0" applyNumberFormat="1" applyFont="1" applyFill="1" applyBorder="1" applyAlignment="1">
      <alignment horizontal="right" vertical="center" wrapText="1"/>
    </xf>
    <xf numFmtId="3" fontId="16" fillId="11" borderId="26" xfId="0" applyNumberFormat="1" applyFont="1" applyFill="1" applyBorder="1" applyAlignment="1">
      <alignment horizontal="right" vertical="center" wrapText="1"/>
    </xf>
    <xf numFmtId="3" fontId="16" fillId="11" borderId="23" xfId="0" applyNumberFormat="1" applyFont="1" applyFill="1" applyBorder="1" applyAlignment="1">
      <alignment horizontal="right" vertical="center" wrapText="1"/>
    </xf>
    <xf numFmtId="3" fontId="16" fillId="11" borderId="14" xfId="0" applyNumberFormat="1" applyFont="1" applyFill="1" applyBorder="1" applyAlignment="1">
      <alignment horizontal="right" vertical="center" wrapText="1"/>
    </xf>
    <xf numFmtId="3" fontId="11" fillId="0" borderId="2" xfId="0" applyNumberFormat="1" applyFont="1" applyBorder="1" applyAlignment="1">
      <alignment horizontal="right" vertical="center" wrapText="1"/>
    </xf>
    <xf numFmtId="3" fontId="10" fillId="0" borderId="18" xfId="0" applyNumberFormat="1" applyFont="1" applyBorder="1" applyAlignment="1">
      <alignment horizontal="right" vertical="center"/>
    </xf>
    <xf numFmtId="3" fontId="10" fillId="0" borderId="18" xfId="0" applyNumberFormat="1" applyFont="1" applyBorder="1" applyAlignment="1">
      <alignment vertical="center"/>
    </xf>
    <xf numFmtId="3" fontId="15" fillId="0" borderId="20" xfId="0" applyNumberFormat="1" applyFont="1" applyBorder="1" applyAlignment="1">
      <alignment horizontal="right" vertical="center"/>
    </xf>
    <xf numFmtId="3" fontId="10" fillId="0" borderId="48" xfId="0" applyNumberFormat="1" applyFont="1" applyBorder="1" applyAlignment="1">
      <alignment horizontal="right" vertical="center"/>
    </xf>
    <xf numFmtId="0" fontId="10" fillId="0" borderId="18" xfId="0" applyFont="1" applyBorder="1" applyAlignment="1">
      <alignment horizontal="center" vertical="center"/>
    </xf>
    <xf numFmtId="3" fontId="11" fillId="11" borderId="18" xfId="0" applyNumberFormat="1" applyFont="1" applyFill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/>
    </xf>
    <xf numFmtId="3" fontId="11" fillId="0" borderId="28" xfId="1" applyNumberFormat="1" applyFont="1" applyBorder="1" applyAlignment="1">
      <alignment vertical="center"/>
    </xf>
    <xf numFmtId="3" fontId="15" fillId="0" borderId="59" xfId="0" applyNumberFormat="1" applyFont="1" applyBorder="1" applyAlignment="1">
      <alignment horizontal="right" vertical="center" wrapText="1"/>
    </xf>
    <xf numFmtId="3" fontId="15" fillId="0" borderId="15" xfId="0" applyNumberFormat="1" applyFont="1" applyBorder="1" applyAlignment="1">
      <alignment horizontal="right" vertical="center" wrapText="1"/>
    </xf>
    <xf numFmtId="3" fontId="10" fillId="2" borderId="2" xfId="0" applyNumberFormat="1" applyFont="1" applyFill="1" applyBorder="1" applyAlignment="1">
      <alignment horizontal="center" vertical="center" wrapText="1"/>
    </xf>
    <xf numFmtId="49" fontId="10" fillId="2" borderId="23" xfId="0" applyNumberFormat="1" applyFont="1" applyFill="1" applyBorder="1" applyAlignment="1">
      <alignment horizontal="center" vertical="center"/>
    </xf>
    <xf numFmtId="0" fontId="10" fillId="4" borderId="33" xfId="0" applyFont="1" applyFill="1" applyBorder="1" applyAlignment="1">
      <alignment horizontal="center" vertical="center"/>
    </xf>
    <xf numFmtId="3" fontId="10" fillId="2" borderId="28" xfId="0" applyNumberFormat="1" applyFont="1" applyFill="1" applyBorder="1" applyAlignment="1">
      <alignment vertical="center"/>
    </xf>
    <xf numFmtId="0" fontId="15" fillId="2" borderId="13" xfId="0" applyFont="1" applyFill="1" applyBorder="1" applyAlignment="1">
      <alignment horizontal="center" vertical="center" wrapText="1"/>
    </xf>
    <xf numFmtId="3" fontId="10" fillId="2" borderId="16" xfId="0" applyNumberFormat="1" applyFont="1" applyFill="1" applyBorder="1" applyAlignment="1">
      <alignment horizontal="center" vertical="center" wrapText="1"/>
    </xf>
    <xf numFmtId="3" fontId="11" fillId="3" borderId="14" xfId="0" applyNumberFormat="1" applyFont="1" applyFill="1" applyBorder="1" applyAlignment="1">
      <alignment horizontal="right" vertical="center" wrapText="1"/>
    </xf>
    <xf numFmtId="3" fontId="16" fillId="3" borderId="13" xfId="0" applyNumberFormat="1" applyFont="1" applyFill="1" applyBorder="1" applyAlignment="1">
      <alignment horizontal="right" vertical="center" wrapText="1"/>
    </xf>
    <xf numFmtId="3" fontId="16" fillId="3" borderId="23" xfId="0" applyNumberFormat="1" applyFont="1" applyFill="1" applyBorder="1" applyAlignment="1">
      <alignment horizontal="right" vertical="center" wrapText="1"/>
    </xf>
    <xf numFmtId="3" fontId="16" fillId="3" borderId="26" xfId="0" applyNumberFormat="1" applyFont="1" applyFill="1" applyBorder="1" applyAlignment="1">
      <alignment horizontal="right" vertical="center" wrapText="1"/>
    </xf>
    <xf numFmtId="0" fontId="10" fillId="0" borderId="7" xfId="0" applyFont="1" applyBorder="1" applyAlignment="1">
      <alignment horizontal="center" vertical="center" wrapText="1"/>
    </xf>
    <xf numFmtId="3" fontId="15" fillId="0" borderId="47" xfId="0" applyNumberFormat="1" applyFont="1" applyBorder="1" applyAlignment="1">
      <alignment horizontal="right" vertical="center"/>
    </xf>
    <xf numFmtId="3" fontId="15" fillId="0" borderId="58" xfId="0" applyNumberFormat="1" applyFont="1" applyBorder="1" applyAlignment="1">
      <alignment horizontal="right" vertical="center"/>
    </xf>
    <xf numFmtId="3" fontId="15" fillId="0" borderId="59" xfId="0" applyNumberFormat="1" applyFont="1" applyBorder="1" applyAlignment="1">
      <alignment horizontal="right" vertical="center"/>
    </xf>
    <xf numFmtId="0" fontId="27" fillId="0" borderId="13" xfId="0" applyFont="1" applyBorder="1" applyAlignment="1">
      <alignment horizontal="center" vertical="center"/>
    </xf>
    <xf numFmtId="0" fontId="31" fillId="2" borderId="0" xfId="0" applyFont="1" applyFill="1" applyAlignment="1">
      <alignment wrapText="1"/>
    </xf>
    <xf numFmtId="0" fontId="30" fillId="0" borderId="0" xfId="0" applyFont="1" applyAlignment="1">
      <alignment wrapText="1"/>
    </xf>
    <xf numFmtId="49" fontId="10" fillId="2" borderId="18" xfId="0" applyNumberFormat="1" applyFont="1" applyFill="1" applyBorder="1" applyAlignment="1">
      <alignment horizontal="center" vertical="center"/>
    </xf>
    <xf numFmtId="4" fontId="10" fillId="0" borderId="1" xfId="0" applyNumberFormat="1" applyFont="1" applyBorder="1" applyAlignment="1">
      <alignment horizontal="right" vertical="center" wrapText="1"/>
    </xf>
    <xf numFmtId="49" fontId="15" fillId="2" borderId="13" xfId="0" applyNumberFormat="1" applyFont="1" applyFill="1" applyBorder="1" applyAlignment="1">
      <alignment horizontal="center" vertical="center" wrapText="1"/>
    </xf>
    <xf numFmtId="0" fontId="10" fillId="2" borderId="30" xfId="0" applyFont="1" applyFill="1" applyBorder="1" applyAlignment="1">
      <alignment horizontal="center" vertical="center" wrapText="1"/>
    </xf>
    <xf numFmtId="49" fontId="10" fillId="2" borderId="14" xfId="0" applyNumberFormat="1" applyFont="1" applyFill="1" applyBorder="1" applyAlignment="1">
      <alignment horizontal="center" vertical="center" wrapText="1"/>
    </xf>
    <xf numFmtId="3" fontId="10" fillId="2" borderId="20" xfId="0" applyNumberFormat="1" applyFont="1" applyFill="1" applyBorder="1" applyAlignment="1">
      <alignment horizontal="right" vertical="center"/>
    </xf>
    <xf numFmtId="0" fontId="10" fillId="2" borderId="33" xfId="0" applyFont="1" applyFill="1" applyBorder="1" applyAlignment="1">
      <alignment horizontal="center" vertical="center"/>
    </xf>
    <xf numFmtId="3" fontId="15" fillId="0" borderId="48" xfId="0" applyNumberFormat="1" applyFont="1" applyBorder="1" applyAlignment="1">
      <alignment horizontal="right" vertical="center"/>
    </xf>
    <xf numFmtId="3" fontId="15" fillId="0" borderId="21" xfId="0" applyNumberFormat="1" applyFont="1" applyBorder="1" applyAlignment="1">
      <alignment horizontal="right" vertical="center"/>
    </xf>
    <xf numFmtId="167" fontId="11" fillId="0" borderId="0" xfId="0" applyNumberFormat="1" applyFont="1"/>
    <xf numFmtId="167" fontId="11" fillId="0" borderId="0" xfId="0" applyNumberFormat="1" applyFont="1" applyAlignment="1">
      <alignment vertical="center"/>
    </xf>
    <xf numFmtId="49" fontId="10" fillId="2" borderId="18" xfId="0" applyNumberFormat="1" applyFont="1" applyFill="1" applyBorder="1" applyAlignment="1">
      <alignment horizontal="center" vertical="center" wrapText="1"/>
    </xf>
    <xf numFmtId="49" fontId="11" fillId="0" borderId="3" xfId="0" applyNumberFormat="1" applyFont="1" applyBorder="1" applyAlignment="1">
      <alignment horizontal="center" vertical="center" wrapText="1"/>
    </xf>
    <xf numFmtId="49" fontId="11" fillId="0" borderId="14" xfId="0" applyNumberFormat="1" applyFont="1" applyBorder="1" applyAlignment="1">
      <alignment horizontal="center" vertical="center" wrapText="1"/>
    </xf>
    <xf numFmtId="4" fontId="11" fillId="14" borderId="56" xfId="0" applyNumberFormat="1" applyFont="1" applyFill="1" applyBorder="1" applyAlignment="1">
      <alignment horizontal="center" vertical="center" wrapText="1"/>
    </xf>
    <xf numFmtId="4" fontId="11" fillId="14" borderId="16" xfId="0" applyNumberFormat="1" applyFont="1" applyFill="1" applyBorder="1" applyAlignment="1">
      <alignment horizontal="center" vertical="center" wrapText="1"/>
    </xf>
    <xf numFmtId="0" fontId="28" fillId="2" borderId="0" xfId="0" applyFont="1" applyFill="1"/>
    <xf numFmtId="3" fontId="28" fillId="2" borderId="0" xfId="0" applyNumberFormat="1" applyFont="1" applyFill="1"/>
    <xf numFmtId="0" fontId="31" fillId="2" borderId="0" xfId="0" applyFont="1" applyFill="1" applyAlignment="1">
      <alignment horizontal="right"/>
    </xf>
    <xf numFmtId="0" fontId="27" fillId="2" borderId="0" xfId="0" applyFont="1" applyFill="1" applyAlignment="1">
      <alignment horizontal="right"/>
    </xf>
    <xf numFmtId="0" fontId="28" fillId="2" borderId="0" xfId="0" applyFont="1" applyFill="1" applyAlignment="1">
      <alignment horizontal="center"/>
    </xf>
    <xf numFmtId="0" fontId="31" fillId="2" borderId="0" xfId="0" applyFont="1" applyFill="1" applyAlignment="1">
      <alignment horizontal="center" vertical="center"/>
    </xf>
    <xf numFmtId="0" fontId="28" fillId="0" borderId="0" xfId="0" applyFont="1"/>
    <xf numFmtId="0" fontId="27" fillId="0" borderId="0" xfId="0" applyFont="1" applyAlignment="1">
      <alignment horizontal="center"/>
    </xf>
    <xf numFmtId="0" fontId="10" fillId="0" borderId="22" xfId="0" applyFont="1" applyBorder="1" applyAlignment="1">
      <alignment horizontal="center" vertical="center"/>
    </xf>
    <xf numFmtId="0" fontId="30" fillId="0" borderId="26" xfId="0" applyFont="1" applyBorder="1" applyAlignment="1">
      <alignment horizontal="center" vertical="center"/>
    </xf>
    <xf numFmtId="0" fontId="30" fillId="0" borderId="0" xfId="0" applyFont="1" applyAlignment="1">
      <alignment horizontal="right"/>
    </xf>
    <xf numFmtId="0" fontId="27" fillId="0" borderId="0" xfId="0" applyFont="1" applyAlignment="1">
      <alignment horizontal="right"/>
    </xf>
    <xf numFmtId="3" fontId="28" fillId="0" borderId="0" xfId="0" applyNumberFormat="1" applyFont="1"/>
    <xf numFmtId="3" fontId="15" fillId="0" borderId="36" xfId="0" applyNumberFormat="1" applyFont="1" applyBorder="1" applyAlignment="1">
      <alignment horizontal="right" vertical="center"/>
    </xf>
    <xf numFmtId="3" fontId="15" fillId="0" borderId="44" xfId="0" applyNumberFormat="1" applyFont="1" applyBorder="1" applyAlignment="1">
      <alignment horizontal="right" vertical="center"/>
    </xf>
    <xf numFmtId="4" fontId="11" fillId="18" borderId="18" xfId="0" applyNumberFormat="1" applyFont="1" applyFill="1" applyBorder="1" applyAlignment="1">
      <alignment horizontal="center" vertical="center" wrapText="1"/>
    </xf>
    <xf numFmtId="4" fontId="11" fillId="18" borderId="12" xfId="0" applyNumberFormat="1" applyFont="1" applyFill="1" applyBorder="1" applyAlignment="1">
      <alignment horizontal="center" vertical="center" wrapText="1"/>
    </xf>
    <xf numFmtId="4" fontId="11" fillId="14" borderId="14" xfId="0" applyNumberFormat="1" applyFont="1" applyFill="1" applyBorder="1" applyAlignment="1">
      <alignment horizontal="center" vertical="center" wrapText="1"/>
    </xf>
    <xf numFmtId="3" fontId="10" fillId="2" borderId="69" xfId="0" applyNumberFormat="1" applyFont="1" applyFill="1" applyBorder="1" applyAlignment="1">
      <alignment vertical="center" wrapText="1"/>
    </xf>
    <xf numFmtId="3" fontId="10" fillId="2" borderId="65" xfId="0" applyNumberFormat="1" applyFont="1" applyFill="1" applyBorder="1" applyAlignment="1">
      <alignment vertical="center"/>
    </xf>
    <xf numFmtId="3" fontId="10" fillId="0" borderId="56" xfId="0" applyNumberFormat="1" applyFont="1" applyBorder="1" applyAlignment="1">
      <alignment vertical="center"/>
    </xf>
    <xf numFmtId="3" fontId="10" fillId="4" borderId="65" xfId="0" applyNumberFormat="1" applyFont="1" applyFill="1" applyBorder="1" applyAlignment="1">
      <alignment vertical="center"/>
    </xf>
    <xf numFmtId="3" fontId="10" fillId="4" borderId="20" xfId="0" applyNumberFormat="1" applyFont="1" applyFill="1" applyBorder="1" applyAlignment="1">
      <alignment vertical="center"/>
    </xf>
    <xf numFmtId="3" fontId="10" fillId="0" borderId="12" xfId="0" applyNumberFormat="1" applyFont="1" applyBorder="1" applyAlignment="1">
      <alignment vertical="center"/>
    </xf>
    <xf numFmtId="3" fontId="10" fillId="0" borderId="4" xfId="0" applyNumberFormat="1" applyFont="1" applyBorder="1" applyAlignment="1">
      <alignment vertical="center"/>
    </xf>
    <xf numFmtId="3" fontId="10" fillId="0" borderId="30" xfId="0" applyNumberFormat="1" applyFont="1" applyBorder="1" applyAlignment="1">
      <alignment vertical="center"/>
    </xf>
    <xf numFmtId="0" fontId="10" fillId="0" borderId="18" xfId="1" applyBorder="1" applyAlignment="1">
      <alignment horizontal="center" vertical="center"/>
    </xf>
    <xf numFmtId="3" fontId="10" fillId="0" borderId="25" xfId="0" applyNumberFormat="1" applyFont="1" applyBorder="1" applyAlignment="1">
      <alignment vertical="center" wrapText="1"/>
    </xf>
    <xf numFmtId="3" fontId="10" fillId="0" borderId="31" xfId="0" applyNumberFormat="1" applyFont="1" applyBorder="1" applyAlignment="1">
      <alignment vertical="center" wrapText="1"/>
    </xf>
    <xf numFmtId="0" fontId="10" fillId="0" borderId="14" xfId="1" applyBorder="1" applyAlignment="1">
      <alignment horizontal="center" vertical="center" wrapText="1"/>
    </xf>
    <xf numFmtId="3" fontId="11" fillId="11" borderId="23" xfId="0" applyNumberFormat="1" applyFont="1" applyFill="1" applyBorder="1" applyAlignment="1">
      <alignment horizontal="right" vertical="center" wrapText="1"/>
    </xf>
    <xf numFmtId="3" fontId="11" fillId="11" borderId="26" xfId="0" applyNumberFormat="1" applyFont="1" applyFill="1" applyBorder="1" applyAlignment="1">
      <alignment horizontal="right" vertical="center" wrapText="1"/>
    </xf>
    <xf numFmtId="49" fontId="11" fillId="0" borderId="0" xfId="0" applyNumberFormat="1" applyFont="1" applyAlignment="1">
      <alignment horizontal="center" vertical="center" wrapText="1"/>
    </xf>
    <xf numFmtId="3" fontId="15" fillId="0" borderId="65" xfId="0" applyNumberFormat="1" applyFont="1" applyBorder="1" applyAlignment="1">
      <alignment horizontal="right" vertical="center" wrapText="1"/>
    </xf>
    <xf numFmtId="3" fontId="15" fillId="0" borderId="41" xfId="0" applyNumberFormat="1" applyFont="1" applyBorder="1" applyAlignment="1">
      <alignment horizontal="right" vertical="center" wrapText="1"/>
    </xf>
    <xf numFmtId="2" fontId="10" fillId="4" borderId="24" xfId="0" applyNumberFormat="1" applyFont="1" applyFill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 wrapText="1"/>
    </xf>
    <xf numFmtId="49" fontId="13" fillId="0" borderId="2" xfId="0" applyNumberFormat="1" applyFont="1" applyBorder="1" applyAlignment="1">
      <alignment horizontal="center" vertical="center" wrapText="1"/>
    </xf>
    <xf numFmtId="3" fontId="13" fillId="0" borderId="26" xfId="0" applyNumberFormat="1" applyFont="1" applyBorder="1" applyAlignment="1">
      <alignment horizontal="center" vertical="center" wrapText="1"/>
    </xf>
    <xf numFmtId="3" fontId="13" fillId="0" borderId="13" xfId="0" applyNumberFormat="1" applyFont="1" applyBorder="1" applyAlignment="1">
      <alignment horizontal="center" vertical="center" wrapText="1"/>
    </xf>
    <xf numFmtId="49" fontId="13" fillId="0" borderId="13" xfId="0" applyNumberFormat="1" applyFont="1" applyBorder="1" applyAlignment="1">
      <alignment horizontal="center" vertical="center" wrapText="1"/>
    </xf>
    <xf numFmtId="0" fontId="13" fillId="2" borderId="45" xfId="0" applyFont="1" applyFill="1" applyBorder="1" applyAlignment="1">
      <alignment horizontal="center" vertical="center" wrapText="1"/>
    </xf>
    <xf numFmtId="49" fontId="13" fillId="2" borderId="13" xfId="0" applyNumberFormat="1" applyFont="1" applyFill="1" applyBorder="1" applyAlignment="1">
      <alignment horizontal="center" vertical="center" wrapText="1"/>
    </xf>
    <xf numFmtId="0" fontId="10" fillId="4" borderId="22" xfId="0" applyFont="1" applyFill="1" applyBorder="1" applyAlignment="1">
      <alignment horizontal="center" vertical="center"/>
    </xf>
    <xf numFmtId="3" fontId="15" fillId="0" borderId="64" xfId="0" applyNumberFormat="1" applyFont="1" applyBorder="1" applyAlignment="1">
      <alignment horizontal="right" vertical="center" wrapText="1"/>
    </xf>
    <xf numFmtId="3" fontId="15" fillId="0" borderId="65" xfId="0" applyNumberFormat="1" applyFont="1" applyBorder="1" applyAlignment="1">
      <alignment vertical="center"/>
    </xf>
    <xf numFmtId="49" fontId="16" fillId="0" borderId="25" xfId="0" applyNumberFormat="1" applyFont="1" applyBorder="1" applyAlignment="1">
      <alignment horizontal="center" vertical="center" wrapText="1"/>
    </xf>
    <xf numFmtId="3" fontId="15" fillId="11" borderId="26" xfId="0" applyNumberFormat="1" applyFont="1" applyFill="1" applyBorder="1" applyAlignment="1">
      <alignment horizontal="right" vertical="center"/>
    </xf>
    <xf numFmtId="3" fontId="11" fillId="11" borderId="14" xfId="0" applyNumberFormat="1" applyFont="1" applyFill="1" applyBorder="1" applyAlignment="1">
      <alignment horizontal="right" vertical="center" wrapText="1"/>
    </xf>
    <xf numFmtId="4" fontId="11" fillId="8" borderId="16" xfId="0" applyNumberFormat="1" applyFont="1" applyFill="1" applyBorder="1" applyAlignment="1">
      <alignment horizontal="center" vertical="center" wrapText="1"/>
    </xf>
    <xf numFmtId="49" fontId="16" fillId="0" borderId="6" xfId="0" applyNumberFormat="1" applyFont="1" applyBorder="1" applyAlignment="1">
      <alignment horizontal="center" vertical="center" wrapText="1" shrinkToFit="1"/>
    </xf>
    <xf numFmtId="3" fontId="15" fillId="0" borderId="69" xfId="0" applyNumberFormat="1" applyFont="1" applyBorder="1" applyAlignment="1">
      <alignment horizontal="right" vertical="center"/>
    </xf>
    <xf numFmtId="3" fontId="15" fillId="0" borderId="54" xfId="0" applyNumberFormat="1" applyFont="1" applyBorder="1" applyAlignment="1">
      <alignment horizontal="right" vertical="center"/>
    </xf>
    <xf numFmtId="49" fontId="13" fillId="0" borderId="18" xfId="0" applyNumberFormat="1" applyFont="1" applyBorder="1" applyAlignment="1">
      <alignment horizontal="center" vertical="center" wrapText="1"/>
    </xf>
    <xf numFmtId="0" fontId="23" fillId="0" borderId="26" xfId="0" applyFont="1" applyBorder="1" applyAlignment="1">
      <alignment horizontal="center" vertical="center" wrapText="1"/>
    </xf>
    <xf numFmtId="3" fontId="34" fillId="0" borderId="26" xfId="1" applyNumberFormat="1" applyFont="1" applyBorder="1" applyAlignment="1">
      <alignment vertical="center" wrapText="1"/>
    </xf>
    <xf numFmtId="49" fontId="23" fillId="0" borderId="26" xfId="0" applyNumberFormat="1" applyFont="1" applyBorder="1" applyAlignment="1">
      <alignment horizontal="center" vertical="center" wrapText="1"/>
    </xf>
    <xf numFmtId="0" fontId="13" fillId="0" borderId="23" xfId="0" applyFont="1" applyBorder="1" applyAlignment="1">
      <alignment horizontal="center" vertical="center" wrapText="1"/>
    </xf>
    <xf numFmtId="3" fontId="13" fillId="0" borderId="23" xfId="0" applyNumberFormat="1" applyFont="1" applyBorder="1" applyAlignment="1">
      <alignment horizontal="center" vertical="center" wrapText="1"/>
    </xf>
    <xf numFmtId="49" fontId="13" fillId="0" borderId="32" xfId="0" applyNumberFormat="1" applyFont="1" applyBorder="1" applyAlignment="1">
      <alignment horizontal="center" vertical="center" wrapText="1"/>
    </xf>
    <xf numFmtId="3" fontId="11" fillId="4" borderId="22" xfId="1" applyNumberFormat="1" applyFont="1" applyFill="1" applyBorder="1" applyAlignment="1">
      <alignment vertical="center"/>
    </xf>
    <xf numFmtId="0" fontId="13" fillId="0" borderId="13" xfId="0" applyFont="1" applyBorder="1" applyAlignment="1">
      <alignment horizontal="center" vertical="center" wrapText="1"/>
    </xf>
    <xf numFmtId="0" fontId="10" fillId="4" borderId="23" xfId="0" applyFont="1" applyFill="1" applyBorder="1" applyAlignment="1">
      <alignment horizontal="center" vertical="center"/>
    </xf>
    <xf numFmtId="49" fontId="10" fillId="4" borderId="25" xfId="0" applyNumberFormat="1" applyFont="1" applyFill="1" applyBorder="1" applyAlignment="1">
      <alignment horizontal="center" vertical="center" wrapText="1"/>
    </xf>
    <xf numFmtId="0" fontId="10" fillId="4" borderId="26" xfId="0" applyFont="1" applyFill="1" applyBorder="1" applyAlignment="1">
      <alignment horizontal="center" vertical="center"/>
    </xf>
    <xf numFmtId="3" fontId="36" fillId="3" borderId="14" xfId="0" applyNumberFormat="1" applyFont="1" applyFill="1" applyBorder="1" applyAlignment="1">
      <alignment horizontal="right" vertical="center" wrapText="1"/>
    </xf>
    <xf numFmtId="0" fontId="18" fillId="0" borderId="30" xfId="0" applyFont="1" applyBorder="1" applyAlignment="1">
      <alignment horizontal="center" vertical="center"/>
    </xf>
    <xf numFmtId="3" fontId="19" fillId="0" borderId="23" xfId="1" applyNumberFormat="1" applyFont="1" applyBorder="1" applyAlignment="1">
      <alignment vertical="center" wrapText="1"/>
    </xf>
    <xf numFmtId="3" fontId="18" fillId="0" borderId="20" xfId="0" applyNumberFormat="1" applyFont="1" applyBorder="1" applyAlignment="1">
      <alignment vertical="center"/>
    </xf>
    <xf numFmtId="3" fontId="18" fillId="0" borderId="37" xfId="0" applyNumberFormat="1" applyFont="1" applyBorder="1" applyAlignment="1">
      <alignment vertical="center"/>
    </xf>
    <xf numFmtId="3" fontId="18" fillId="0" borderId="23" xfId="0" applyNumberFormat="1" applyFont="1" applyBorder="1" applyAlignment="1">
      <alignment vertical="center" wrapText="1"/>
    </xf>
    <xf numFmtId="3" fontId="18" fillId="0" borderId="27" xfId="0" applyNumberFormat="1" applyFont="1" applyBorder="1" applyAlignment="1">
      <alignment vertical="center" wrapText="1"/>
    </xf>
    <xf numFmtId="3" fontId="18" fillId="0" borderId="20" xfId="0" applyNumberFormat="1" applyFont="1" applyBorder="1" applyAlignment="1">
      <alignment horizontal="right" vertical="center"/>
    </xf>
    <xf numFmtId="0" fontId="18" fillId="0" borderId="26" xfId="0" applyFont="1" applyBorder="1" applyAlignment="1">
      <alignment horizontal="center" vertical="center" wrapText="1"/>
    </xf>
    <xf numFmtId="3" fontId="18" fillId="0" borderId="26" xfId="0" applyNumberFormat="1" applyFont="1" applyBorder="1" applyAlignment="1">
      <alignment horizontal="center" vertical="center" wrapText="1"/>
    </xf>
    <xf numFmtId="0" fontId="37" fillId="0" borderId="0" xfId="0" applyFont="1"/>
    <xf numFmtId="3" fontId="19" fillId="0" borderId="25" xfId="1" applyNumberFormat="1" applyFont="1" applyBorder="1" applyAlignment="1">
      <alignment vertical="center" wrapText="1"/>
    </xf>
    <xf numFmtId="3" fontId="19" fillId="0" borderId="23" xfId="1" applyNumberFormat="1" applyFont="1" applyBorder="1" applyAlignment="1">
      <alignment horizontal="right" vertical="center" wrapText="1"/>
    </xf>
    <xf numFmtId="3" fontId="18" fillId="0" borderId="47" xfId="0" applyNumberFormat="1" applyFont="1" applyBorder="1" applyAlignment="1">
      <alignment vertical="center"/>
    </xf>
    <xf numFmtId="3" fontId="19" fillId="0" borderId="23" xfId="1" applyNumberFormat="1" applyFont="1" applyBorder="1" applyAlignment="1">
      <alignment vertical="center"/>
    </xf>
    <xf numFmtId="3" fontId="18" fillId="0" borderId="26" xfId="0" applyNumberFormat="1" applyFont="1" applyBorder="1" applyAlignment="1">
      <alignment vertical="center"/>
    </xf>
    <xf numFmtId="3" fontId="18" fillId="0" borderId="23" xfId="0" applyNumberFormat="1" applyFont="1" applyBorder="1" applyAlignment="1">
      <alignment horizontal="right" vertical="center" wrapText="1"/>
    </xf>
    <xf numFmtId="3" fontId="18" fillId="0" borderId="58" xfId="0" applyNumberFormat="1" applyFont="1" applyBorder="1" applyAlignment="1">
      <alignment vertical="center" wrapText="1"/>
    </xf>
    <xf numFmtId="3" fontId="18" fillId="0" borderId="21" xfId="0" applyNumberFormat="1" applyFont="1" applyBorder="1" applyAlignment="1">
      <alignment vertical="center" wrapText="1"/>
    </xf>
    <xf numFmtId="3" fontId="18" fillId="0" borderId="32" xfId="0" applyNumberFormat="1" applyFont="1" applyBorder="1" applyAlignment="1">
      <alignment horizontal="right" vertical="center"/>
    </xf>
    <xf numFmtId="0" fontId="18" fillId="0" borderId="14" xfId="0" applyFont="1" applyBorder="1" applyAlignment="1">
      <alignment horizontal="center" vertical="center" wrapText="1"/>
    </xf>
    <xf numFmtId="3" fontId="18" fillId="0" borderId="25" xfId="0" applyNumberFormat="1" applyFont="1" applyBorder="1" applyAlignment="1">
      <alignment vertical="center"/>
    </xf>
    <xf numFmtId="3" fontId="18" fillId="0" borderId="21" xfId="0" applyNumberFormat="1" applyFont="1" applyBorder="1" applyAlignment="1">
      <alignment vertical="center"/>
    </xf>
    <xf numFmtId="3" fontId="18" fillId="0" borderId="27" xfId="0" applyNumberFormat="1" applyFont="1" applyBorder="1" applyAlignment="1">
      <alignment vertical="center"/>
    </xf>
    <xf numFmtId="49" fontId="18" fillId="0" borderId="23" xfId="0" applyNumberFormat="1" applyFont="1" applyBorder="1" applyAlignment="1">
      <alignment horizontal="center" vertical="center"/>
    </xf>
    <xf numFmtId="0" fontId="18" fillId="2" borderId="23" xfId="0" applyFont="1" applyFill="1" applyBorder="1" applyAlignment="1">
      <alignment horizontal="center" vertical="center" wrapText="1"/>
    </xf>
    <xf numFmtId="3" fontId="18" fillId="0" borderId="24" xfId="0" applyNumberFormat="1" applyFont="1" applyBorder="1" applyAlignment="1">
      <alignment horizontal="right" vertical="center"/>
    </xf>
    <xf numFmtId="0" fontId="18" fillId="0" borderId="22" xfId="0" applyFont="1" applyBorder="1" applyAlignment="1">
      <alignment horizontal="center" vertical="center" wrapText="1"/>
    </xf>
    <xf numFmtId="3" fontId="18" fillId="0" borderId="58" xfId="0" applyNumberFormat="1" applyFont="1" applyBorder="1" applyAlignment="1">
      <alignment vertical="center"/>
    </xf>
    <xf numFmtId="3" fontId="18" fillId="0" borderId="23" xfId="0" applyNumberFormat="1" applyFont="1" applyBorder="1" applyAlignment="1">
      <alignment vertical="center"/>
    </xf>
    <xf numFmtId="0" fontId="17" fillId="0" borderId="18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49" fontId="15" fillId="0" borderId="2" xfId="0" applyNumberFormat="1" applyFont="1" applyBorder="1" applyAlignment="1">
      <alignment horizontal="center" vertical="center" wrapText="1"/>
    </xf>
    <xf numFmtId="0" fontId="13" fillId="0" borderId="24" xfId="0" applyFont="1" applyBorder="1" applyAlignment="1">
      <alignment horizontal="center" vertical="center" wrapText="1"/>
    </xf>
    <xf numFmtId="2" fontId="10" fillId="0" borderId="6" xfId="0" applyNumberFormat="1" applyFont="1" applyBorder="1" applyAlignment="1">
      <alignment horizontal="center" vertical="center" wrapText="1"/>
    </xf>
    <xf numFmtId="49" fontId="10" fillId="2" borderId="22" xfId="0" applyNumberFormat="1" applyFont="1" applyFill="1" applyBorder="1" applyAlignment="1">
      <alignment horizontal="center" vertical="center" wrapText="1"/>
    </xf>
    <xf numFmtId="49" fontId="10" fillId="0" borderId="44" xfId="0" applyNumberFormat="1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right" vertical="center"/>
    </xf>
    <xf numFmtId="49" fontId="10" fillId="0" borderId="31" xfId="0" applyNumberFormat="1" applyFont="1" applyBorder="1" applyAlignment="1">
      <alignment horizontal="center" vertical="center" wrapText="1"/>
    </xf>
    <xf numFmtId="3" fontId="10" fillId="0" borderId="48" xfId="1" applyNumberFormat="1" applyBorder="1" applyAlignment="1">
      <alignment vertical="center" wrapText="1"/>
    </xf>
    <xf numFmtId="3" fontId="10" fillId="0" borderId="19" xfId="1" applyNumberFormat="1" applyBorder="1" applyAlignment="1">
      <alignment vertical="center" wrapText="1"/>
    </xf>
    <xf numFmtId="3" fontId="15" fillId="0" borderId="31" xfId="0" applyNumberFormat="1" applyFont="1" applyBorder="1" applyAlignment="1">
      <alignment horizontal="right" vertical="center"/>
    </xf>
    <xf numFmtId="3" fontId="15" fillId="0" borderId="13" xfId="0" applyNumberFormat="1" applyFont="1" applyBorder="1" applyAlignment="1">
      <alignment horizontal="center" vertical="center" wrapText="1"/>
    </xf>
    <xf numFmtId="3" fontId="15" fillId="0" borderId="14" xfId="0" applyNumberFormat="1" applyFont="1" applyBorder="1" applyAlignment="1">
      <alignment horizontal="right" vertical="center"/>
    </xf>
    <xf numFmtId="3" fontId="15" fillId="11" borderId="23" xfId="0" applyNumberFormat="1" applyFont="1" applyFill="1" applyBorder="1" applyAlignment="1">
      <alignment horizontal="right" vertical="center" wrapText="1"/>
    </xf>
    <xf numFmtId="3" fontId="16" fillId="0" borderId="13" xfId="0" applyNumberFormat="1" applyFont="1" applyBorder="1" applyAlignment="1">
      <alignment horizontal="right" vertical="center"/>
    </xf>
    <xf numFmtId="3" fontId="15" fillId="0" borderId="13" xfId="0" applyNumberFormat="1" applyFont="1" applyBorder="1" applyAlignment="1">
      <alignment vertical="center"/>
    </xf>
    <xf numFmtId="0" fontId="15" fillId="0" borderId="33" xfId="0" applyFont="1" applyBorder="1" applyAlignment="1">
      <alignment horizontal="center" vertical="center" wrapText="1"/>
    </xf>
    <xf numFmtId="0" fontId="15" fillId="0" borderId="26" xfId="1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3" fontId="10" fillId="0" borderId="54" xfId="0" applyNumberFormat="1" applyFont="1" applyBorder="1" applyAlignment="1">
      <alignment horizontal="right" vertical="center" wrapText="1"/>
    </xf>
    <xf numFmtId="3" fontId="10" fillId="0" borderId="36" xfId="0" applyNumberFormat="1" applyFont="1" applyBorder="1" applyAlignment="1">
      <alignment horizontal="right" vertical="center" wrapText="1"/>
    </xf>
    <xf numFmtId="3" fontId="10" fillId="0" borderId="9" xfId="0" applyNumberFormat="1" applyFont="1" applyBorder="1" applyAlignment="1">
      <alignment vertical="center" wrapText="1"/>
    </xf>
    <xf numFmtId="49" fontId="36" fillId="0" borderId="13" xfId="0" applyNumberFormat="1" applyFont="1" applyBorder="1" applyAlignment="1">
      <alignment horizontal="center" vertical="center" wrapText="1" shrinkToFit="1"/>
    </xf>
    <xf numFmtId="0" fontId="17" fillId="0" borderId="13" xfId="1" applyFont="1" applyBorder="1" applyAlignment="1">
      <alignment horizontal="center" vertical="center" wrapText="1"/>
    </xf>
    <xf numFmtId="3" fontId="36" fillId="0" borderId="13" xfId="1" applyNumberFormat="1" applyFont="1" applyBorder="1" applyAlignment="1">
      <alignment vertical="center" wrapText="1"/>
    </xf>
    <xf numFmtId="3" fontId="17" fillId="0" borderId="68" xfId="0" applyNumberFormat="1" applyFont="1" applyBorder="1" applyAlignment="1">
      <alignment horizontal="right" vertical="center" wrapText="1"/>
    </xf>
    <xf numFmtId="3" fontId="17" fillId="0" borderId="73" xfId="0" applyNumberFormat="1" applyFont="1" applyBorder="1" applyAlignment="1">
      <alignment horizontal="right" vertical="center" wrapText="1"/>
    </xf>
    <xf numFmtId="3" fontId="17" fillId="0" borderId="16" xfId="0" applyNumberFormat="1" applyFont="1" applyBorder="1" applyAlignment="1">
      <alignment horizontal="right" vertical="center" wrapText="1"/>
    </xf>
    <xf numFmtId="49" fontId="17" fillId="0" borderId="15" xfId="0" applyNumberFormat="1" applyFont="1" applyBorder="1" applyAlignment="1">
      <alignment horizontal="center" vertical="center" wrapText="1"/>
    </xf>
    <xf numFmtId="0" fontId="10" fillId="4" borderId="33" xfId="0" applyFont="1" applyFill="1" applyBorder="1" applyAlignment="1">
      <alignment horizontal="center" vertical="center" wrapText="1"/>
    </xf>
    <xf numFmtId="3" fontId="15" fillId="0" borderId="14" xfId="0" applyNumberFormat="1" applyFont="1" applyBorder="1" applyAlignment="1">
      <alignment horizontal="center" vertical="center" wrapText="1"/>
    </xf>
    <xf numFmtId="49" fontId="10" fillId="12" borderId="23" xfId="0" applyNumberFormat="1" applyFont="1" applyFill="1" applyBorder="1" applyAlignment="1">
      <alignment horizontal="center" vertical="center" wrapText="1"/>
    </xf>
    <xf numFmtId="0" fontId="10" fillId="4" borderId="25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3" fontId="15" fillId="11" borderId="26" xfId="0" applyNumberFormat="1" applyFont="1" applyFill="1" applyBorder="1" applyAlignment="1">
      <alignment horizontal="right" vertical="center" wrapText="1"/>
    </xf>
    <xf numFmtId="3" fontId="36" fillId="11" borderId="13" xfId="0" applyNumberFormat="1" applyFont="1" applyFill="1" applyBorder="1" applyAlignment="1">
      <alignment horizontal="right" vertical="center" wrapText="1"/>
    </xf>
    <xf numFmtId="49" fontId="18" fillId="2" borderId="23" xfId="0" applyNumberFormat="1" applyFont="1" applyFill="1" applyBorder="1" applyAlignment="1">
      <alignment horizontal="center" vertical="center" wrapText="1"/>
    </xf>
    <xf numFmtId="3" fontId="36" fillId="3" borderId="23" xfId="0" applyNumberFormat="1" applyFont="1" applyFill="1" applyBorder="1" applyAlignment="1">
      <alignment horizontal="right" vertical="center" wrapText="1"/>
    </xf>
    <xf numFmtId="3" fontId="36" fillId="11" borderId="26" xfId="0" applyNumberFormat="1" applyFont="1" applyFill="1" applyBorder="1" applyAlignment="1">
      <alignment horizontal="right" vertical="center" wrapText="1"/>
    </xf>
    <xf numFmtId="49" fontId="17" fillId="0" borderId="31" xfId="0" applyNumberFormat="1" applyFont="1" applyBorder="1" applyAlignment="1">
      <alignment horizontal="center" vertical="center" wrapText="1"/>
    </xf>
    <xf numFmtId="0" fontId="17" fillId="0" borderId="26" xfId="1" applyFont="1" applyBorder="1" applyAlignment="1">
      <alignment horizontal="center" vertical="center" wrapText="1"/>
    </xf>
    <xf numFmtId="3" fontId="19" fillId="11" borderId="26" xfId="0" applyNumberFormat="1" applyFont="1" applyFill="1" applyBorder="1" applyAlignment="1">
      <alignment horizontal="right" vertical="center" wrapText="1"/>
    </xf>
    <xf numFmtId="3" fontId="17" fillId="0" borderId="45" xfId="0" applyNumberFormat="1" applyFont="1" applyBorder="1" applyAlignment="1">
      <alignment horizontal="right" vertical="center" wrapText="1"/>
    </xf>
    <xf numFmtId="3" fontId="17" fillId="11" borderId="14" xfId="0" applyNumberFormat="1" applyFont="1" applyFill="1" applyBorder="1" applyAlignment="1">
      <alignment horizontal="right" vertical="center" wrapText="1"/>
    </xf>
    <xf numFmtId="3" fontId="17" fillId="0" borderId="13" xfId="0" applyNumberFormat="1" applyFont="1" applyBorder="1" applyAlignment="1">
      <alignment horizontal="right" vertical="center" wrapText="1"/>
    </xf>
    <xf numFmtId="0" fontId="17" fillId="0" borderId="23" xfId="1" applyFont="1" applyBorder="1" applyAlignment="1">
      <alignment horizontal="center" vertical="center" wrapText="1"/>
    </xf>
    <xf numFmtId="3" fontId="36" fillId="0" borderId="23" xfId="1" applyNumberFormat="1" applyFont="1" applyBorder="1" applyAlignment="1">
      <alignment vertical="center" wrapText="1"/>
    </xf>
    <xf numFmtId="3" fontId="36" fillId="0" borderId="26" xfId="1" applyNumberFormat="1" applyFont="1" applyBorder="1" applyAlignment="1">
      <alignment horizontal="right" vertical="center" wrapText="1"/>
    </xf>
    <xf numFmtId="3" fontId="17" fillId="0" borderId="58" xfId="0" applyNumberFormat="1" applyFont="1" applyBorder="1" applyAlignment="1">
      <alignment horizontal="right" vertical="center" wrapText="1"/>
    </xf>
    <xf numFmtId="3" fontId="17" fillId="0" borderId="21" xfId="0" applyNumberFormat="1" applyFont="1" applyBorder="1" applyAlignment="1">
      <alignment horizontal="right" vertical="center" wrapText="1"/>
    </xf>
    <xf numFmtId="3" fontId="17" fillId="0" borderId="24" xfId="0" applyNumberFormat="1" applyFont="1" applyBorder="1" applyAlignment="1">
      <alignment horizontal="right" vertical="center" wrapText="1"/>
    </xf>
    <xf numFmtId="3" fontId="17" fillId="11" borderId="23" xfId="0" applyNumberFormat="1" applyFont="1" applyFill="1" applyBorder="1" applyAlignment="1">
      <alignment horizontal="right" vertical="center" wrapText="1"/>
    </xf>
    <xf numFmtId="3" fontId="17" fillId="0" borderId="23" xfId="0" applyNumberFormat="1" applyFont="1" applyBorder="1" applyAlignment="1">
      <alignment horizontal="right" vertical="center" wrapText="1"/>
    </xf>
    <xf numFmtId="0" fontId="17" fillId="0" borderId="27" xfId="1" applyFont="1" applyBorder="1" applyAlignment="1">
      <alignment horizontal="center" vertical="center" wrapText="1"/>
    </xf>
    <xf numFmtId="0" fontId="18" fillId="0" borderId="32" xfId="0" applyFont="1" applyBorder="1" applyAlignment="1">
      <alignment horizontal="center" vertical="center" wrapText="1"/>
    </xf>
    <xf numFmtId="49" fontId="36" fillId="0" borderId="26" xfId="0" applyNumberFormat="1" applyFont="1" applyBorder="1" applyAlignment="1">
      <alignment horizontal="center" vertical="center" wrapText="1" shrinkToFit="1"/>
    </xf>
    <xf numFmtId="3" fontId="17" fillId="0" borderId="47" xfId="0" applyNumberFormat="1" applyFont="1" applyBorder="1" applyAlignment="1">
      <alignment horizontal="right" vertical="center" wrapText="1"/>
    </xf>
    <xf numFmtId="3" fontId="17" fillId="0" borderId="36" xfId="0" applyNumberFormat="1" applyFont="1" applyBorder="1" applyAlignment="1">
      <alignment horizontal="right" vertical="center" wrapText="1"/>
    </xf>
    <xf numFmtId="3" fontId="17" fillId="0" borderId="20" xfId="0" applyNumberFormat="1" applyFont="1" applyBorder="1" applyAlignment="1">
      <alignment horizontal="right" vertical="center" wrapText="1"/>
    </xf>
    <xf numFmtId="3" fontId="17" fillId="0" borderId="31" xfId="1" applyNumberFormat="1" applyFont="1" applyBorder="1" applyAlignment="1">
      <alignment horizontal="right" vertical="center" wrapText="1"/>
    </xf>
    <xf numFmtId="3" fontId="17" fillId="0" borderId="26" xfId="1" applyNumberFormat="1" applyFont="1" applyBorder="1" applyAlignment="1">
      <alignment horizontal="right" vertical="center" wrapText="1"/>
    </xf>
    <xf numFmtId="3" fontId="17" fillId="0" borderId="32" xfId="0" applyNumberFormat="1" applyFont="1" applyBorder="1" applyAlignment="1">
      <alignment horizontal="right" vertical="center" wrapText="1"/>
    </xf>
    <xf numFmtId="49" fontId="17" fillId="0" borderId="37" xfId="0" applyNumberFormat="1" applyFont="1" applyBorder="1" applyAlignment="1">
      <alignment horizontal="center" vertical="center" wrapText="1"/>
    </xf>
    <xf numFmtId="3" fontId="17" fillId="0" borderId="59" xfId="0" applyNumberFormat="1" applyFont="1" applyBorder="1" applyAlignment="1">
      <alignment horizontal="right" vertical="center" wrapText="1"/>
    </xf>
    <xf numFmtId="3" fontId="17" fillId="0" borderId="48" xfId="0" applyNumberFormat="1" applyFont="1" applyBorder="1" applyAlignment="1">
      <alignment horizontal="right" vertical="center" wrapText="1"/>
    </xf>
    <xf numFmtId="3" fontId="17" fillId="0" borderId="54" xfId="0" applyNumberFormat="1" applyFont="1" applyBorder="1" applyAlignment="1">
      <alignment horizontal="right" vertical="center" wrapText="1"/>
    </xf>
    <xf numFmtId="3" fontId="17" fillId="0" borderId="44" xfId="0" applyNumberFormat="1" applyFont="1" applyBorder="1" applyAlignment="1">
      <alignment horizontal="right" vertical="center" wrapText="1"/>
    </xf>
    <xf numFmtId="3" fontId="10" fillId="0" borderId="16" xfId="0" applyNumberFormat="1" applyFont="1" applyBorder="1" applyAlignment="1">
      <alignment horizontal="right" vertical="center" wrapText="1"/>
    </xf>
    <xf numFmtId="3" fontId="10" fillId="0" borderId="9" xfId="0" applyNumberFormat="1" applyFont="1" applyBorder="1" applyAlignment="1">
      <alignment horizontal="right" vertical="center" wrapText="1"/>
    </xf>
    <xf numFmtId="3" fontId="36" fillId="0" borderId="26" xfId="1" applyNumberFormat="1" applyFont="1" applyBorder="1" applyAlignment="1">
      <alignment vertical="center" wrapText="1"/>
    </xf>
    <xf numFmtId="3" fontId="18" fillId="0" borderId="26" xfId="0" applyNumberFormat="1" applyFont="1" applyBorder="1" applyAlignment="1">
      <alignment horizontal="right" vertical="center" wrapText="1"/>
    </xf>
    <xf numFmtId="3" fontId="18" fillId="0" borderId="32" xfId="0" applyNumberFormat="1" applyFont="1" applyBorder="1" applyAlignment="1">
      <alignment horizontal="right" vertical="center" wrapText="1"/>
    </xf>
    <xf numFmtId="49" fontId="11" fillId="0" borderId="22" xfId="0" applyNumberFormat="1" applyFont="1" applyBorder="1" applyAlignment="1">
      <alignment horizontal="center" vertical="center" wrapText="1"/>
    </xf>
    <xf numFmtId="3" fontId="15" fillId="0" borderId="19" xfId="0" applyNumberFormat="1" applyFont="1" applyBorder="1" applyAlignment="1">
      <alignment horizontal="right" vertical="center" wrapText="1"/>
    </xf>
    <xf numFmtId="3" fontId="10" fillId="0" borderId="36" xfId="0" applyNumberFormat="1" applyFont="1" applyBorder="1" applyAlignment="1">
      <alignment horizontal="right" vertical="center"/>
    </xf>
    <xf numFmtId="3" fontId="10" fillId="0" borderId="16" xfId="0" applyNumberFormat="1" applyFont="1" applyBorder="1" applyAlignment="1">
      <alignment horizontal="right" vertical="center"/>
    </xf>
    <xf numFmtId="3" fontId="10" fillId="0" borderId="1" xfId="0" applyNumberFormat="1" applyFont="1" applyBorder="1" applyAlignment="1">
      <alignment horizontal="right" vertical="center"/>
    </xf>
    <xf numFmtId="3" fontId="10" fillId="0" borderId="6" xfId="0" applyNumberFormat="1" applyFont="1" applyBorder="1" applyAlignment="1">
      <alignment horizontal="right" vertical="center"/>
    </xf>
    <xf numFmtId="3" fontId="10" fillId="0" borderId="24" xfId="0" applyNumberFormat="1" applyFont="1" applyBorder="1" applyAlignment="1">
      <alignment horizontal="right" vertical="center"/>
    </xf>
    <xf numFmtId="3" fontId="10" fillId="0" borderId="29" xfId="0" applyNumberFormat="1" applyFont="1" applyBorder="1" applyAlignment="1">
      <alignment horizontal="right" vertical="center"/>
    </xf>
    <xf numFmtId="3" fontId="18" fillId="0" borderId="36" xfId="0" applyNumberFormat="1" applyFont="1" applyBorder="1" applyAlignment="1">
      <alignment horizontal="right" vertical="center"/>
    </xf>
    <xf numFmtId="0" fontId="18" fillId="0" borderId="13" xfId="0" applyFont="1" applyBorder="1" applyAlignment="1">
      <alignment horizontal="center" vertical="center" wrapText="1"/>
    </xf>
    <xf numFmtId="3" fontId="19" fillId="11" borderId="13" xfId="0" applyNumberFormat="1" applyFont="1" applyFill="1" applyBorder="1" applyAlignment="1">
      <alignment horizontal="right" vertical="center" wrapText="1"/>
    </xf>
    <xf numFmtId="49" fontId="18" fillId="0" borderId="13" xfId="0" applyNumberFormat="1" applyFont="1" applyBorder="1" applyAlignment="1">
      <alignment horizontal="center" vertical="center" wrapText="1"/>
    </xf>
    <xf numFmtId="3" fontId="10" fillId="0" borderId="30" xfId="0" applyNumberFormat="1" applyFont="1" applyBorder="1" applyAlignment="1">
      <alignment horizontal="right" vertical="center"/>
    </xf>
    <xf numFmtId="3" fontId="10" fillId="0" borderId="69" xfId="0" applyNumberFormat="1" applyFont="1" applyBorder="1" applyAlignment="1">
      <alignment horizontal="right" vertical="center"/>
    </xf>
    <xf numFmtId="49" fontId="10" fillId="4" borderId="33" xfId="0" applyNumberFormat="1" applyFont="1" applyFill="1" applyBorder="1" applyAlignment="1">
      <alignment horizontal="center" vertical="center" wrapText="1"/>
    </xf>
    <xf numFmtId="3" fontId="10" fillId="0" borderId="64" xfId="0" applyNumberFormat="1" applyFont="1" applyBorder="1" applyAlignment="1">
      <alignment vertical="center"/>
    </xf>
    <xf numFmtId="0" fontId="10" fillId="2" borderId="22" xfId="1" applyFill="1" applyBorder="1" applyAlignment="1">
      <alignment horizontal="center" vertical="center" wrapText="1"/>
    </xf>
    <xf numFmtId="0" fontId="17" fillId="0" borderId="33" xfId="0" applyFont="1" applyBorder="1" applyAlignment="1">
      <alignment horizontal="center" vertical="center"/>
    </xf>
    <xf numFmtId="0" fontId="17" fillId="0" borderId="22" xfId="0" applyFont="1" applyBorder="1" applyAlignment="1">
      <alignment horizontal="center" vertical="center" wrapText="1"/>
    </xf>
    <xf numFmtId="3" fontId="17" fillId="0" borderId="25" xfId="0" applyNumberFormat="1" applyFont="1" applyBorder="1" applyAlignment="1">
      <alignment horizontal="right" vertical="center" wrapText="1"/>
    </xf>
    <xf numFmtId="3" fontId="18" fillId="0" borderId="31" xfId="0" applyNumberFormat="1" applyFont="1" applyBorder="1" applyAlignment="1">
      <alignment vertical="center" wrapText="1"/>
    </xf>
    <xf numFmtId="3" fontId="18" fillId="0" borderId="20" xfId="0" applyNumberFormat="1" applyFont="1" applyBorder="1" applyAlignment="1">
      <alignment vertical="center" wrapText="1"/>
    </xf>
    <xf numFmtId="3" fontId="18" fillId="0" borderId="37" xfId="0" applyNumberFormat="1" applyFont="1" applyBorder="1" applyAlignment="1">
      <alignment vertical="center" wrapText="1"/>
    </xf>
    <xf numFmtId="0" fontId="18" fillId="0" borderId="26" xfId="1" applyFont="1" applyBorder="1" applyAlignment="1">
      <alignment horizontal="center" vertical="center" wrapText="1"/>
    </xf>
    <xf numFmtId="0" fontId="18" fillId="0" borderId="37" xfId="0" applyFont="1" applyBorder="1" applyAlignment="1">
      <alignment horizontal="center" vertical="center" wrapText="1"/>
    </xf>
    <xf numFmtId="3" fontId="18" fillId="0" borderId="26" xfId="0" applyNumberFormat="1" applyFont="1" applyBorder="1" applyAlignment="1">
      <alignment vertical="center" wrapText="1"/>
    </xf>
    <xf numFmtId="3" fontId="19" fillId="0" borderId="26" xfId="1" applyNumberFormat="1" applyFont="1" applyBorder="1" applyAlignment="1">
      <alignment vertical="center" wrapText="1"/>
    </xf>
    <xf numFmtId="3" fontId="19" fillId="0" borderId="31" xfId="1" applyNumberFormat="1" applyFont="1" applyBorder="1" applyAlignment="1">
      <alignment vertical="center" wrapText="1"/>
    </xf>
    <xf numFmtId="3" fontId="18" fillId="0" borderId="47" xfId="0" applyNumberFormat="1" applyFont="1" applyBorder="1" applyAlignment="1">
      <alignment vertical="center" wrapText="1"/>
    </xf>
    <xf numFmtId="3" fontId="18" fillId="0" borderId="45" xfId="0" applyNumberFormat="1" applyFont="1" applyBorder="1" applyAlignment="1">
      <alignment horizontal="right" vertical="center" wrapText="1"/>
    </xf>
    <xf numFmtId="0" fontId="18" fillId="0" borderId="13" xfId="1" applyFont="1" applyBorder="1" applyAlignment="1">
      <alignment horizontal="center" vertical="center" wrapText="1"/>
    </xf>
    <xf numFmtId="0" fontId="18" fillId="0" borderId="19" xfId="0" applyFont="1" applyBorder="1" applyAlignment="1">
      <alignment horizontal="center" vertical="center" wrapText="1"/>
    </xf>
    <xf numFmtId="3" fontId="19" fillId="0" borderId="13" xfId="1" applyNumberFormat="1" applyFont="1" applyBorder="1" applyAlignment="1">
      <alignment vertical="center" wrapText="1"/>
    </xf>
    <xf numFmtId="3" fontId="19" fillId="0" borderId="13" xfId="1" applyNumberFormat="1" applyFont="1" applyBorder="1" applyAlignment="1">
      <alignment horizontal="right" vertical="center" wrapText="1"/>
    </xf>
    <xf numFmtId="3" fontId="18" fillId="0" borderId="13" xfId="0" applyNumberFormat="1" applyFont="1" applyBorder="1" applyAlignment="1">
      <alignment horizontal="right" vertical="center" wrapText="1"/>
    </xf>
    <xf numFmtId="3" fontId="18" fillId="0" borderId="24" xfId="0" applyNumberFormat="1" applyFont="1" applyBorder="1" applyAlignment="1">
      <alignment horizontal="right" vertical="center" wrapText="1"/>
    </xf>
    <xf numFmtId="49" fontId="18" fillId="0" borderId="31" xfId="0" applyNumberFormat="1" applyFont="1" applyBorder="1" applyAlignment="1">
      <alignment horizontal="center" vertical="center" wrapText="1"/>
    </xf>
    <xf numFmtId="3" fontId="19" fillId="0" borderId="26" xfId="1" applyNumberFormat="1" applyFont="1" applyBorder="1" applyAlignment="1">
      <alignment horizontal="right" vertical="center" wrapText="1"/>
    </xf>
    <xf numFmtId="3" fontId="15" fillId="0" borderId="68" xfId="0" applyNumberFormat="1" applyFont="1" applyBorder="1" applyAlignment="1">
      <alignment vertical="center"/>
    </xf>
    <xf numFmtId="49" fontId="10" fillId="0" borderId="37" xfId="0" applyNumberFormat="1" applyFont="1" applyBorder="1" applyAlignment="1">
      <alignment horizontal="center" vertical="center" wrapText="1"/>
    </xf>
    <xf numFmtId="3" fontId="15" fillId="0" borderId="47" xfId="1" applyNumberFormat="1" applyFont="1" applyBorder="1" applyAlignment="1">
      <alignment horizontal="right" vertical="center" wrapText="1"/>
    </xf>
    <xf numFmtId="3" fontId="15" fillId="0" borderId="20" xfId="1" applyNumberFormat="1" applyFont="1" applyBorder="1" applyAlignment="1">
      <alignment horizontal="right" vertical="center" wrapText="1"/>
    </xf>
    <xf numFmtId="0" fontId="23" fillId="0" borderId="26" xfId="1" applyFont="1" applyBorder="1" applyAlignment="1">
      <alignment horizontal="center" vertical="center" wrapText="1"/>
    </xf>
    <xf numFmtId="0" fontId="23" fillId="0" borderId="23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3" fontId="14" fillId="0" borderId="23" xfId="1" applyNumberFormat="1" applyFont="1" applyBorder="1" applyAlignment="1">
      <alignment vertical="center" wrapText="1"/>
    </xf>
    <xf numFmtId="3" fontId="13" fillId="0" borderId="23" xfId="0" applyNumberFormat="1" applyFont="1" applyBorder="1" applyAlignment="1">
      <alignment vertical="center" wrapText="1"/>
    </xf>
    <xf numFmtId="49" fontId="13" fillId="0" borderId="33" xfId="0" applyNumberFormat="1" applyFont="1" applyBorder="1" applyAlignment="1">
      <alignment horizontal="center" vertical="center" wrapText="1"/>
    </xf>
    <xf numFmtId="49" fontId="11" fillId="0" borderId="26" xfId="0" applyNumberFormat="1" applyFont="1" applyBorder="1" applyAlignment="1">
      <alignment horizontal="center" vertical="center" wrapText="1" shrinkToFit="1"/>
    </xf>
    <xf numFmtId="49" fontId="11" fillId="0" borderId="23" xfId="0" applyNumberFormat="1" applyFont="1" applyBorder="1" applyAlignment="1">
      <alignment horizontal="center" vertical="center" wrapText="1" shrinkToFit="1"/>
    </xf>
    <xf numFmtId="3" fontId="10" fillId="0" borderId="53" xfId="0" applyNumberFormat="1" applyFont="1" applyBorder="1" applyAlignment="1">
      <alignment horizontal="right" vertical="center" wrapText="1"/>
    </xf>
    <xf numFmtId="3" fontId="10" fillId="0" borderId="63" xfId="0" applyNumberFormat="1" applyFont="1" applyBorder="1" applyAlignment="1">
      <alignment horizontal="right" vertical="center" wrapText="1"/>
    </xf>
    <xf numFmtId="49" fontId="11" fillId="0" borderId="26" xfId="0" applyNumberFormat="1" applyFont="1" applyBorder="1" applyAlignment="1">
      <alignment horizontal="center" vertical="center" wrapText="1"/>
    </xf>
    <xf numFmtId="3" fontId="10" fillId="0" borderId="47" xfId="0" applyNumberFormat="1" applyFont="1" applyBorder="1" applyAlignment="1">
      <alignment horizontal="right" vertical="center" wrapText="1"/>
    </xf>
    <xf numFmtId="49" fontId="11" fillId="0" borderId="2" xfId="0" applyNumberFormat="1" applyFont="1" applyBorder="1" applyAlignment="1">
      <alignment horizontal="center" vertical="center" wrapText="1"/>
    </xf>
    <xf numFmtId="3" fontId="15" fillId="0" borderId="58" xfId="1" applyNumberFormat="1" applyFont="1" applyBorder="1" applyAlignment="1">
      <alignment horizontal="right" vertical="center" wrapText="1"/>
    </xf>
    <xf numFmtId="3" fontId="15" fillId="0" borderId="21" xfId="1" applyNumberFormat="1" applyFont="1" applyBorder="1" applyAlignment="1">
      <alignment horizontal="right" vertical="center" wrapText="1"/>
    </xf>
    <xf numFmtId="49" fontId="16" fillId="0" borderId="2" xfId="0" applyNumberFormat="1" applyFont="1" applyBorder="1" applyAlignment="1">
      <alignment horizontal="center" vertical="center" wrapText="1"/>
    </xf>
    <xf numFmtId="3" fontId="15" fillId="11" borderId="2" xfId="0" applyNumberFormat="1" applyFont="1" applyFill="1" applyBorder="1" applyAlignment="1">
      <alignment horizontal="right" vertical="center" wrapText="1"/>
    </xf>
    <xf numFmtId="3" fontId="16" fillId="11" borderId="2" xfId="0" applyNumberFormat="1" applyFont="1" applyFill="1" applyBorder="1" applyAlignment="1">
      <alignment horizontal="right" vertical="center" wrapText="1"/>
    </xf>
    <xf numFmtId="49" fontId="16" fillId="0" borderId="31" xfId="0" applyNumberFormat="1" applyFont="1" applyBorder="1" applyAlignment="1">
      <alignment horizontal="center" vertical="center" wrapText="1"/>
    </xf>
    <xf numFmtId="3" fontId="16" fillId="0" borderId="26" xfId="0" applyNumberFormat="1" applyFont="1" applyBorder="1" applyAlignment="1">
      <alignment horizontal="right" vertical="center"/>
    </xf>
    <xf numFmtId="3" fontId="15" fillId="0" borderId="56" xfId="1" applyNumberFormat="1" applyFont="1" applyBorder="1" applyAlignment="1">
      <alignment horizontal="right" vertical="center" wrapText="1"/>
    </xf>
    <xf numFmtId="3" fontId="15" fillId="11" borderId="18" xfId="0" applyNumberFormat="1" applyFont="1" applyFill="1" applyBorder="1" applyAlignment="1">
      <alignment horizontal="right" vertical="center" wrapText="1"/>
    </xf>
    <xf numFmtId="3" fontId="16" fillId="11" borderId="18" xfId="0" applyNumberFormat="1" applyFont="1" applyFill="1" applyBorder="1" applyAlignment="1">
      <alignment horizontal="right" vertical="center" wrapText="1"/>
    </xf>
    <xf numFmtId="3" fontId="15" fillId="0" borderId="55" xfId="0" applyNumberFormat="1" applyFont="1" applyBorder="1" applyAlignment="1">
      <alignment horizontal="right" vertical="center" wrapText="1"/>
    </xf>
    <xf numFmtId="3" fontId="15" fillId="0" borderId="56" xfId="0" applyNumberFormat="1" applyFont="1" applyBorder="1" applyAlignment="1">
      <alignment horizontal="right" vertical="center" wrapText="1"/>
    </xf>
    <xf numFmtId="3" fontId="15" fillId="0" borderId="38" xfId="0" applyNumberFormat="1" applyFont="1" applyBorder="1" applyAlignment="1">
      <alignment horizontal="right" vertical="center" wrapText="1"/>
    </xf>
    <xf numFmtId="3" fontId="15" fillId="0" borderId="6" xfId="0" applyNumberFormat="1" applyFont="1" applyBorder="1" applyAlignment="1">
      <alignment horizontal="right" vertical="center" wrapText="1"/>
    </xf>
    <xf numFmtId="3" fontId="10" fillId="0" borderId="6" xfId="0" applyNumberFormat="1" applyFont="1" applyBorder="1" applyAlignment="1">
      <alignment horizontal="right" vertical="center" wrapText="1"/>
    </xf>
    <xf numFmtId="0" fontId="15" fillId="0" borderId="23" xfId="1" applyFont="1" applyBorder="1" applyAlignment="1">
      <alignment horizontal="center" vertical="center"/>
    </xf>
    <xf numFmtId="3" fontId="16" fillId="0" borderId="15" xfId="1" applyNumberFormat="1" applyFont="1" applyBorder="1" applyAlignment="1">
      <alignment horizontal="right" vertical="center" wrapText="1"/>
    </xf>
    <xf numFmtId="3" fontId="15" fillId="0" borderId="59" xfId="1" applyNumberFormat="1" applyFont="1" applyBorder="1" applyAlignment="1">
      <alignment horizontal="right" vertical="center" wrapText="1"/>
    </xf>
    <xf numFmtId="3" fontId="15" fillId="0" borderId="48" xfId="1" applyNumberFormat="1" applyFont="1" applyBorder="1" applyAlignment="1">
      <alignment horizontal="right" vertical="center" wrapText="1"/>
    </xf>
    <xf numFmtId="3" fontId="15" fillId="0" borderId="17" xfId="1" applyNumberFormat="1" applyFont="1" applyBorder="1" applyAlignment="1">
      <alignment horizontal="right" vertical="center" wrapText="1"/>
    </xf>
    <xf numFmtId="3" fontId="11" fillId="3" borderId="13" xfId="0" applyNumberFormat="1" applyFont="1" applyFill="1" applyBorder="1" applyAlignment="1">
      <alignment horizontal="right" vertical="center" wrapText="1"/>
    </xf>
    <xf numFmtId="0" fontId="15" fillId="0" borderId="19" xfId="0" applyFont="1" applyBorder="1" applyAlignment="1">
      <alignment horizontal="center" vertical="center" wrapText="1"/>
    </xf>
    <xf numFmtId="0" fontId="15" fillId="0" borderId="37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49" fontId="10" fillId="0" borderId="4" xfId="0" applyNumberFormat="1" applyFont="1" applyBorder="1" applyAlignment="1">
      <alignment horizontal="center" vertical="center" wrapText="1"/>
    </xf>
    <xf numFmtId="0" fontId="11" fillId="8" borderId="3" xfId="1" applyFont="1" applyFill="1" applyBorder="1" applyAlignment="1">
      <alignment horizontal="center" vertical="center" wrapText="1"/>
    </xf>
    <xf numFmtId="49" fontId="11" fillId="0" borderId="23" xfId="0" applyNumberFormat="1" applyFont="1" applyBorder="1" applyAlignment="1">
      <alignment horizontal="center" vertical="center" wrapText="1"/>
    </xf>
    <xf numFmtId="49" fontId="11" fillId="0" borderId="13" xfId="0" applyNumberFormat="1" applyFont="1" applyBorder="1" applyAlignment="1">
      <alignment horizontal="center" vertical="center" wrapText="1"/>
    </xf>
    <xf numFmtId="49" fontId="11" fillId="0" borderId="18" xfId="0" applyNumberFormat="1" applyFont="1" applyBorder="1" applyAlignment="1">
      <alignment horizontal="center" vertical="center" wrapText="1"/>
    </xf>
    <xf numFmtId="49" fontId="11" fillId="0" borderId="25" xfId="0" applyNumberFormat="1" applyFont="1" applyBorder="1" applyAlignment="1">
      <alignment horizontal="center" vertical="center" wrapText="1"/>
    </xf>
    <xf numFmtId="49" fontId="11" fillId="0" borderId="31" xfId="0" applyNumberFormat="1" applyFont="1" applyBorder="1" applyAlignment="1">
      <alignment horizontal="center" vertical="center" wrapText="1"/>
    </xf>
    <xf numFmtId="49" fontId="11" fillId="0" borderId="15" xfId="0" applyNumberFormat="1" applyFont="1" applyBorder="1" applyAlignment="1">
      <alignment horizontal="center" vertical="center" wrapText="1"/>
    </xf>
    <xf numFmtId="3" fontId="10" fillId="11" borderId="2" xfId="0" applyNumberFormat="1" applyFont="1" applyFill="1" applyBorder="1" applyAlignment="1">
      <alignment horizontal="right" vertical="center" wrapText="1"/>
    </xf>
    <xf numFmtId="3" fontId="10" fillId="11" borderId="23" xfId="0" applyNumberFormat="1" applyFont="1" applyFill="1" applyBorder="1" applyAlignment="1">
      <alignment horizontal="right" vertical="center" wrapText="1"/>
    </xf>
    <xf numFmtId="3" fontId="10" fillId="11" borderId="14" xfId="0" applyNumberFormat="1" applyFont="1" applyFill="1" applyBorder="1" applyAlignment="1">
      <alignment horizontal="right" vertical="center" wrapText="1"/>
    </xf>
    <xf numFmtId="3" fontId="10" fillId="11" borderId="18" xfId="0" applyNumberFormat="1" applyFont="1" applyFill="1" applyBorder="1" applyAlignment="1">
      <alignment horizontal="right" vertical="center" wrapText="1"/>
    </xf>
    <xf numFmtId="3" fontId="10" fillId="11" borderId="26" xfId="0" applyNumberFormat="1" applyFont="1" applyFill="1" applyBorder="1" applyAlignment="1">
      <alignment horizontal="right" vertical="center" wrapText="1"/>
    </xf>
    <xf numFmtId="3" fontId="10" fillId="11" borderId="13" xfId="0" applyNumberFormat="1" applyFont="1" applyFill="1" applyBorder="1" applyAlignment="1">
      <alignment horizontal="right" vertical="center" wrapText="1"/>
    </xf>
    <xf numFmtId="3" fontId="10" fillId="11" borderId="23" xfId="0" applyNumberFormat="1" applyFont="1" applyFill="1" applyBorder="1" applyAlignment="1">
      <alignment horizontal="right" vertical="center"/>
    </xf>
    <xf numFmtId="3" fontId="10" fillId="11" borderId="26" xfId="0" applyNumberFormat="1" applyFont="1" applyFill="1" applyBorder="1" applyAlignment="1">
      <alignment horizontal="right" vertical="center"/>
    </xf>
    <xf numFmtId="3" fontId="10" fillId="11" borderId="13" xfId="0" applyNumberFormat="1" applyFont="1" applyFill="1" applyBorder="1" applyAlignment="1">
      <alignment horizontal="right" vertical="center"/>
    </xf>
    <xf numFmtId="3" fontId="10" fillId="11" borderId="14" xfId="0" applyNumberFormat="1" applyFont="1" applyFill="1" applyBorder="1" applyAlignment="1">
      <alignment horizontal="right" vertical="center"/>
    </xf>
    <xf numFmtId="3" fontId="15" fillId="11" borderId="14" xfId="0" applyNumberFormat="1" applyFont="1" applyFill="1" applyBorder="1" applyAlignment="1">
      <alignment horizontal="right" vertical="center"/>
    </xf>
    <xf numFmtId="3" fontId="11" fillId="11" borderId="32" xfId="0" applyNumberFormat="1" applyFont="1" applyFill="1" applyBorder="1" applyAlignment="1">
      <alignment horizontal="right" vertical="center"/>
    </xf>
    <xf numFmtId="3" fontId="11" fillId="3" borderId="23" xfId="0" applyNumberFormat="1" applyFont="1" applyFill="1" applyBorder="1" applyAlignment="1">
      <alignment horizontal="right" vertical="center" wrapText="1"/>
    </xf>
    <xf numFmtId="3" fontId="11" fillId="3" borderId="18" xfId="0" applyNumberFormat="1" applyFont="1" applyFill="1" applyBorder="1" applyAlignment="1">
      <alignment horizontal="right" vertical="center" wrapText="1"/>
    </xf>
    <xf numFmtId="3" fontId="11" fillId="3" borderId="26" xfId="0" applyNumberFormat="1" applyFont="1" applyFill="1" applyBorder="1" applyAlignment="1">
      <alignment horizontal="right" vertical="center" wrapText="1"/>
    </xf>
    <xf numFmtId="3" fontId="11" fillId="3" borderId="9" xfId="0" applyNumberFormat="1" applyFont="1" applyFill="1" applyBorder="1" applyAlignment="1">
      <alignment horizontal="right" vertical="center" wrapText="1"/>
    </xf>
    <xf numFmtId="3" fontId="11" fillId="3" borderId="2" xfId="0" applyNumberFormat="1" applyFont="1" applyFill="1" applyBorder="1" applyAlignment="1">
      <alignment horizontal="right" vertical="center" wrapText="1"/>
    </xf>
    <xf numFmtId="3" fontId="11" fillId="3" borderId="27" xfId="0" applyNumberFormat="1" applyFont="1" applyFill="1" applyBorder="1" applyAlignment="1">
      <alignment horizontal="right" vertical="center" wrapText="1"/>
    </xf>
    <xf numFmtId="3" fontId="11" fillId="3" borderId="24" xfId="0" applyNumberFormat="1" applyFont="1" applyFill="1" applyBorder="1" applyAlignment="1">
      <alignment horizontal="right" vertical="center" wrapText="1"/>
    </xf>
    <xf numFmtId="3" fontId="11" fillId="3" borderId="32" xfId="0" applyNumberFormat="1" applyFont="1" applyFill="1" applyBorder="1" applyAlignment="1">
      <alignment horizontal="right" vertical="center"/>
    </xf>
    <xf numFmtId="3" fontId="11" fillId="3" borderId="45" xfId="0" applyNumberFormat="1" applyFont="1" applyFill="1" applyBorder="1" applyAlignment="1">
      <alignment horizontal="right" vertical="center"/>
    </xf>
    <xf numFmtId="3" fontId="11" fillId="3" borderId="32" xfId="0" applyNumberFormat="1" applyFont="1" applyFill="1" applyBorder="1" applyAlignment="1">
      <alignment horizontal="right" vertical="center" wrapText="1"/>
    </xf>
    <xf numFmtId="3" fontId="11" fillId="3" borderId="35" xfId="0" applyNumberFormat="1" applyFont="1" applyFill="1" applyBorder="1" applyAlignment="1">
      <alignment horizontal="right" vertical="center"/>
    </xf>
    <xf numFmtId="3" fontId="11" fillId="3" borderId="20" xfId="0" applyNumberFormat="1" applyFont="1" applyFill="1" applyBorder="1" applyAlignment="1">
      <alignment horizontal="right" vertical="center" wrapText="1"/>
    </xf>
    <xf numFmtId="3" fontId="16" fillId="3" borderId="2" xfId="0" applyNumberFormat="1" applyFont="1" applyFill="1" applyBorder="1" applyAlignment="1">
      <alignment horizontal="right" vertical="center" wrapText="1"/>
    </xf>
    <xf numFmtId="3" fontId="10" fillId="0" borderId="59" xfId="0" applyNumberFormat="1" applyFont="1" applyBorder="1" applyAlignment="1">
      <alignment horizontal="right" vertical="center"/>
    </xf>
    <xf numFmtId="49" fontId="10" fillId="0" borderId="2" xfId="1" applyNumberFormat="1" applyBorder="1" applyAlignment="1">
      <alignment horizontal="center" vertical="center" wrapText="1"/>
    </xf>
    <xf numFmtId="3" fontId="10" fillId="0" borderId="58" xfId="0" applyNumberFormat="1" applyFont="1" applyBorder="1" applyAlignment="1">
      <alignment horizontal="right" vertical="center" wrapText="1"/>
    </xf>
    <xf numFmtId="3" fontId="10" fillId="0" borderId="44" xfId="0" applyNumberFormat="1" applyFont="1" applyBorder="1" applyAlignment="1">
      <alignment horizontal="right" vertical="center" wrapText="1"/>
    </xf>
    <xf numFmtId="49" fontId="11" fillId="0" borderId="18" xfId="0" applyNumberFormat="1" applyFont="1" applyBorder="1" applyAlignment="1">
      <alignment horizontal="center" vertical="center" wrapText="1" shrinkToFit="1"/>
    </xf>
    <xf numFmtId="3" fontId="10" fillId="0" borderId="55" xfId="0" applyNumberFormat="1" applyFont="1" applyBorder="1" applyAlignment="1">
      <alignment horizontal="right" vertical="center" wrapText="1"/>
    </xf>
    <xf numFmtId="3" fontId="10" fillId="0" borderId="56" xfId="0" applyNumberFormat="1" applyFont="1" applyBorder="1" applyAlignment="1">
      <alignment horizontal="right" vertical="center" wrapText="1"/>
    </xf>
    <xf numFmtId="3" fontId="10" fillId="0" borderId="57" xfId="0" applyNumberFormat="1" applyFont="1" applyBorder="1" applyAlignment="1">
      <alignment horizontal="right" vertical="center" wrapText="1"/>
    </xf>
    <xf numFmtId="3" fontId="10" fillId="0" borderId="59" xfId="0" applyNumberFormat="1" applyFont="1" applyBorder="1" applyAlignment="1">
      <alignment horizontal="right" vertical="center" wrapText="1"/>
    </xf>
    <xf numFmtId="3" fontId="10" fillId="0" borderId="70" xfId="0" applyNumberFormat="1" applyFont="1" applyBorder="1" applyAlignment="1">
      <alignment horizontal="right" vertical="center" wrapText="1"/>
    </xf>
    <xf numFmtId="3" fontId="10" fillId="0" borderId="49" xfId="0" applyNumberFormat="1" applyFont="1" applyBorder="1" applyAlignment="1">
      <alignment horizontal="right" vertical="center" wrapText="1"/>
    </xf>
    <xf numFmtId="3" fontId="10" fillId="0" borderId="43" xfId="0" applyNumberFormat="1" applyFont="1" applyBorder="1" applyAlignment="1">
      <alignment horizontal="right" vertical="center" wrapText="1"/>
    </xf>
    <xf numFmtId="3" fontId="10" fillId="0" borderId="38" xfId="0" applyNumberFormat="1" applyFont="1" applyBorder="1" applyAlignment="1">
      <alignment horizontal="right" vertical="center" wrapText="1"/>
    </xf>
    <xf numFmtId="49" fontId="16" fillId="0" borderId="2" xfId="0" applyNumberFormat="1" applyFont="1" applyBorder="1" applyAlignment="1">
      <alignment horizontal="center" vertical="center" wrapText="1" shrinkToFit="1"/>
    </xf>
    <xf numFmtId="49" fontId="11" fillId="0" borderId="26" xfId="0" applyNumberFormat="1" applyFont="1" applyBorder="1" applyAlignment="1">
      <alignment horizontal="center" vertical="center"/>
    </xf>
    <xf numFmtId="3" fontId="10" fillId="0" borderId="41" xfId="0" applyNumberFormat="1" applyFont="1" applyBorder="1" applyAlignment="1">
      <alignment horizontal="right" vertical="center" wrapText="1"/>
    </xf>
    <xf numFmtId="3" fontId="10" fillId="0" borderId="31" xfId="0" applyNumberFormat="1" applyFont="1" applyBorder="1" applyAlignment="1">
      <alignment horizontal="right" vertical="center" wrapText="1"/>
    </xf>
    <xf numFmtId="49" fontId="11" fillId="0" borderId="13" xfId="0" applyNumberFormat="1" applyFont="1" applyBorder="1" applyAlignment="1">
      <alignment horizontal="center" vertical="center"/>
    </xf>
    <xf numFmtId="3" fontId="10" fillId="0" borderId="48" xfId="0" applyNumberFormat="1" applyFont="1" applyBorder="1" applyAlignment="1">
      <alignment horizontal="right" vertical="center" wrapText="1"/>
    </xf>
    <xf numFmtId="3" fontId="10" fillId="0" borderId="17" xfId="0" applyNumberFormat="1" applyFont="1" applyBorder="1" applyAlignment="1">
      <alignment horizontal="right" vertical="center" wrapText="1"/>
    </xf>
    <xf numFmtId="3" fontId="10" fillId="0" borderId="15" xfId="0" applyNumberFormat="1" applyFont="1" applyBorder="1" applyAlignment="1">
      <alignment horizontal="right" vertical="center" wrapText="1"/>
    </xf>
    <xf numFmtId="3" fontId="15" fillId="0" borderId="25" xfId="0" applyNumberFormat="1" applyFont="1" applyBorder="1" applyAlignment="1">
      <alignment vertical="center"/>
    </xf>
    <xf numFmtId="3" fontId="15" fillId="0" borderId="14" xfId="0" applyNumberFormat="1" applyFont="1" applyBorder="1" applyAlignment="1">
      <alignment vertical="center"/>
    </xf>
    <xf numFmtId="3" fontId="15" fillId="0" borderId="69" xfId="0" applyNumberFormat="1" applyFont="1" applyBorder="1" applyAlignment="1">
      <alignment vertical="center"/>
    </xf>
    <xf numFmtId="3" fontId="15" fillId="0" borderId="1" xfId="0" applyNumberFormat="1" applyFont="1" applyBorder="1" applyAlignment="1">
      <alignment vertical="center"/>
    </xf>
    <xf numFmtId="3" fontId="15" fillId="0" borderId="68" xfId="0" applyNumberFormat="1" applyFont="1" applyBorder="1" applyAlignment="1">
      <alignment horizontal="right" vertical="center"/>
    </xf>
    <xf numFmtId="3" fontId="15" fillId="0" borderId="73" xfId="0" applyNumberFormat="1" applyFont="1" applyBorder="1" applyAlignment="1">
      <alignment horizontal="right" vertical="center"/>
    </xf>
    <xf numFmtId="3" fontId="15" fillId="0" borderId="16" xfId="0" applyNumberFormat="1" applyFont="1" applyBorder="1" applyAlignment="1">
      <alignment horizontal="right" vertical="center"/>
    </xf>
    <xf numFmtId="0" fontId="15" fillId="0" borderId="13" xfId="1" applyFont="1" applyBorder="1" applyAlignment="1">
      <alignment horizontal="center" vertical="center"/>
    </xf>
    <xf numFmtId="3" fontId="15" fillId="0" borderId="59" xfId="1" applyNumberFormat="1" applyFont="1" applyBorder="1" applyAlignment="1">
      <alignment vertical="center"/>
    </xf>
    <xf numFmtId="3" fontId="15" fillId="0" borderId="48" xfId="1" applyNumberFormat="1" applyFont="1" applyBorder="1" applyAlignment="1">
      <alignment vertical="center"/>
    </xf>
    <xf numFmtId="3" fontId="10" fillId="0" borderId="44" xfId="0" applyNumberFormat="1" applyFont="1" applyBorder="1" applyAlignment="1">
      <alignment horizontal="right" vertical="center"/>
    </xf>
    <xf numFmtId="3" fontId="15" fillId="0" borderId="54" xfId="0" applyNumberFormat="1" applyFont="1" applyBorder="1" applyAlignment="1">
      <alignment vertical="center" wrapText="1"/>
    </xf>
    <xf numFmtId="3" fontId="11" fillId="0" borderId="23" xfId="0" applyNumberFormat="1" applyFont="1" applyBorder="1" applyAlignment="1">
      <alignment horizontal="right" vertical="center"/>
    </xf>
    <xf numFmtId="3" fontId="15" fillId="0" borderId="64" xfId="0" applyNumberFormat="1" applyFont="1" applyBorder="1" applyAlignment="1">
      <alignment horizontal="right" vertical="center"/>
    </xf>
    <xf numFmtId="3" fontId="15" fillId="0" borderId="65" xfId="0" applyNumberFormat="1" applyFont="1" applyBorder="1" applyAlignment="1">
      <alignment horizontal="right" vertical="center"/>
    </xf>
    <xf numFmtId="3" fontId="15" fillId="0" borderId="72" xfId="0" applyNumberFormat="1" applyFont="1" applyBorder="1" applyAlignment="1">
      <alignment horizontal="right" vertical="center"/>
    </xf>
    <xf numFmtId="3" fontId="15" fillId="0" borderId="29" xfId="0" applyNumberFormat="1" applyFont="1" applyBorder="1" applyAlignment="1">
      <alignment horizontal="right" vertical="center"/>
    </xf>
    <xf numFmtId="0" fontId="15" fillId="0" borderId="25" xfId="0" applyFont="1" applyBorder="1" applyAlignment="1">
      <alignment horizontal="center" vertical="center"/>
    </xf>
    <xf numFmtId="0" fontId="15" fillId="0" borderId="22" xfId="0" applyFont="1" applyBorder="1" applyAlignment="1">
      <alignment horizontal="center" vertical="center"/>
    </xf>
    <xf numFmtId="3" fontId="15" fillId="0" borderId="49" xfId="0" applyNumberFormat="1" applyFont="1" applyBorder="1" applyAlignment="1">
      <alignment horizontal="right" vertical="center"/>
    </xf>
    <xf numFmtId="3" fontId="15" fillId="0" borderId="43" xfId="0" applyNumberFormat="1" applyFont="1" applyBorder="1" applyAlignment="1">
      <alignment horizontal="right" vertical="center"/>
    </xf>
    <xf numFmtId="3" fontId="15" fillId="0" borderId="35" xfId="0" applyNumberFormat="1" applyFont="1" applyBorder="1" applyAlignment="1">
      <alignment horizontal="right" vertical="center"/>
    </xf>
    <xf numFmtId="3" fontId="15" fillId="0" borderId="70" xfId="0" applyNumberFormat="1" applyFont="1" applyBorder="1" applyAlignment="1">
      <alignment horizontal="right" vertical="center"/>
    </xf>
    <xf numFmtId="0" fontId="15" fillId="0" borderId="31" xfId="0" applyFont="1" applyBorder="1" applyAlignment="1">
      <alignment horizontal="center" vertical="center"/>
    </xf>
    <xf numFmtId="0" fontId="15" fillId="0" borderId="33" xfId="0" applyFont="1" applyBorder="1" applyAlignment="1">
      <alignment horizontal="center" vertical="center"/>
    </xf>
    <xf numFmtId="49" fontId="15" fillId="0" borderId="34" xfId="0" applyNumberFormat="1" applyFont="1" applyBorder="1" applyAlignment="1">
      <alignment horizontal="center" vertical="center"/>
    </xf>
    <xf numFmtId="49" fontId="36" fillId="0" borderId="33" xfId="0" applyNumberFormat="1" applyFont="1" applyBorder="1" applyAlignment="1">
      <alignment horizontal="center" vertical="center" wrapText="1"/>
    </xf>
    <xf numFmtId="0" fontId="17" fillId="0" borderId="33" xfId="0" applyFont="1" applyBorder="1" applyAlignment="1">
      <alignment horizontal="center" vertical="center" wrapText="1"/>
    </xf>
    <xf numFmtId="3" fontId="36" fillId="0" borderId="33" xfId="0" applyNumberFormat="1" applyFont="1" applyBorder="1" applyAlignment="1">
      <alignment horizontal="right" vertical="center"/>
    </xf>
    <xf numFmtId="3" fontId="17" fillId="0" borderId="49" xfId="0" applyNumberFormat="1" applyFont="1" applyBorder="1" applyAlignment="1">
      <alignment horizontal="right" vertical="center"/>
    </xf>
    <xf numFmtId="3" fontId="17" fillId="0" borderId="35" xfId="0" applyNumberFormat="1" applyFont="1" applyBorder="1" applyAlignment="1">
      <alignment horizontal="right" vertical="center"/>
    </xf>
    <xf numFmtId="3" fontId="17" fillId="0" borderId="49" xfId="0" applyNumberFormat="1" applyFont="1" applyBorder="1" applyAlignment="1">
      <alignment horizontal="right" vertical="center" wrapText="1"/>
    </xf>
    <xf numFmtId="3" fontId="17" fillId="0" borderId="43" xfId="0" applyNumberFormat="1" applyFont="1" applyBorder="1" applyAlignment="1">
      <alignment horizontal="right" vertical="center" wrapText="1"/>
    </xf>
    <xf numFmtId="3" fontId="17" fillId="0" borderId="35" xfId="0" applyNumberFormat="1" applyFont="1" applyBorder="1" applyAlignment="1">
      <alignment horizontal="right" vertical="center" wrapText="1"/>
    </xf>
    <xf numFmtId="3" fontId="17" fillId="11" borderId="33" xfId="0" applyNumberFormat="1" applyFont="1" applyFill="1" applyBorder="1" applyAlignment="1">
      <alignment horizontal="right" vertical="center" wrapText="1"/>
    </xf>
    <xf numFmtId="3" fontId="36" fillId="11" borderId="33" xfId="0" applyNumberFormat="1" applyFont="1" applyFill="1" applyBorder="1" applyAlignment="1">
      <alignment horizontal="right" vertical="center" wrapText="1"/>
    </xf>
    <xf numFmtId="3" fontId="17" fillId="0" borderId="47" xfId="0" applyNumberFormat="1" applyFont="1" applyBorder="1" applyAlignment="1">
      <alignment horizontal="right" vertical="center"/>
    </xf>
    <xf numFmtId="0" fontId="17" fillId="0" borderId="22" xfId="0" applyFont="1" applyBorder="1" applyAlignment="1">
      <alignment horizontal="center" vertical="center"/>
    </xf>
    <xf numFmtId="49" fontId="17" fillId="0" borderId="34" xfId="0" applyNumberFormat="1" applyFont="1" applyBorder="1" applyAlignment="1">
      <alignment horizontal="center" vertical="center"/>
    </xf>
    <xf numFmtId="3" fontId="15" fillId="0" borderId="19" xfId="0" applyNumberFormat="1" applyFont="1" applyBorder="1" applyAlignment="1">
      <alignment horizontal="right" vertical="center"/>
    </xf>
    <xf numFmtId="3" fontId="15" fillId="0" borderId="15" xfId="0" applyNumberFormat="1" applyFont="1" applyBorder="1" applyAlignment="1">
      <alignment vertical="center"/>
    </xf>
    <xf numFmtId="3" fontId="11" fillId="0" borderId="26" xfId="0" applyNumberFormat="1" applyFont="1" applyBorder="1" applyAlignment="1">
      <alignment horizontal="right" vertical="center"/>
    </xf>
    <xf numFmtId="0" fontId="10" fillId="0" borderId="31" xfId="0" applyFont="1" applyBorder="1" applyAlignment="1">
      <alignment horizontal="center" vertical="center"/>
    </xf>
    <xf numFmtId="3" fontId="15" fillId="0" borderId="26" xfId="0" applyNumberFormat="1" applyFont="1" applyBorder="1" applyAlignment="1">
      <alignment vertical="center"/>
    </xf>
    <xf numFmtId="3" fontId="15" fillId="0" borderId="31" xfId="0" applyNumberFormat="1" applyFont="1" applyBorder="1" applyAlignment="1">
      <alignment vertical="center"/>
    </xf>
    <xf numFmtId="0" fontId="15" fillId="0" borderId="33" xfId="1" applyFont="1" applyBorder="1" applyAlignment="1">
      <alignment horizontal="center" vertical="center" wrapText="1"/>
    </xf>
    <xf numFmtId="49" fontId="36" fillId="0" borderId="26" xfId="0" applyNumberFormat="1" applyFont="1" applyBorder="1" applyAlignment="1">
      <alignment horizontal="center" vertical="center" wrapText="1"/>
    </xf>
    <xf numFmtId="3" fontId="36" fillId="0" borderId="26" xfId="0" applyNumberFormat="1" applyFont="1" applyBorder="1" applyAlignment="1">
      <alignment horizontal="right" vertical="center"/>
    </xf>
    <xf numFmtId="3" fontId="17" fillId="0" borderId="20" xfId="0" applyNumberFormat="1" applyFont="1" applyBorder="1" applyAlignment="1">
      <alignment horizontal="right" vertical="center"/>
    </xf>
    <xf numFmtId="3" fontId="17" fillId="0" borderId="32" xfId="0" applyNumberFormat="1" applyFont="1" applyBorder="1" applyAlignment="1">
      <alignment horizontal="right" vertical="center"/>
    </xf>
    <xf numFmtId="3" fontId="17" fillId="0" borderId="37" xfId="0" applyNumberFormat="1" applyFont="1" applyBorder="1" applyAlignment="1">
      <alignment horizontal="right" vertical="center"/>
    </xf>
    <xf numFmtId="3" fontId="17" fillId="0" borderId="31" xfId="0" applyNumberFormat="1" applyFont="1" applyBorder="1" applyAlignment="1">
      <alignment horizontal="right" vertical="center"/>
    </xf>
    <xf numFmtId="3" fontId="17" fillId="11" borderId="26" xfId="0" applyNumberFormat="1" applyFont="1" applyFill="1" applyBorder="1" applyAlignment="1">
      <alignment horizontal="right" vertical="center" wrapText="1"/>
    </xf>
    <xf numFmtId="3" fontId="36" fillId="3" borderId="26" xfId="0" applyNumberFormat="1" applyFont="1" applyFill="1" applyBorder="1" applyAlignment="1">
      <alignment horizontal="right" vertical="center" wrapText="1"/>
    </xf>
    <xf numFmtId="3" fontId="17" fillId="0" borderId="26" xfId="0" applyNumberFormat="1" applyFont="1" applyBorder="1" applyAlignment="1">
      <alignment vertical="center"/>
    </xf>
    <xf numFmtId="3" fontId="17" fillId="0" borderId="31" xfId="0" applyNumberFormat="1" applyFont="1" applyBorder="1" applyAlignment="1">
      <alignment vertical="center"/>
    </xf>
    <xf numFmtId="3" fontId="17" fillId="0" borderId="47" xfId="0" applyNumberFormat="1" applyFont="1" applyBorder="1" applyAlignment="1">
      <alignment vertical="center"/>
    </xf>
    <xf numFmtId="3" fontId="17" fillId="0" borderId="20" xfId="0" applyNumberFormat="1" applyFont="1" applyBorder="1" applyAlignment="1">
      <alignment vertical="center"/>
    </xf>
    <xf numFmtId="3" fontId="17" fillId="0" borderId="37" xfId="0" applyNumberFormat="1" applyFont="1" applyBorder="1" applyAlignment="1">
      <alignment vertical="center"/>
    </xf>
    <xf numFmtId="3" fontId="17" fillId="0" borderId="36" xfId="0" applyNumberFormat="1" applyFont="1" applyBorder="1" applyAlignment="1">
      <alignment horizontal="right" vertical="center"/>
    </xf>
    <xf numFmtId="0" fontId="17" fillId="0" borderId="26" xfId="0" applyFont="1" applyBorder="1" applyAlignment="1">
      <alignment horizontal="center" vertical="center"/>
    </xf>
    <xf numFmtId="49" fontId="17" fillId="0" borderId="31" xfId="0" applyNumberFormat="1" applyFont="1" applyBorder="1" applyAlignment="1">
      <alignment horizontal="center" vertical="center"/>
    </xf>
    <xf numFmtId="0" fontId="17" fillId="0" borderId="31" xfId="0" applyFont="1" applyBorder="1" applyAlignment="1">
      <alignment horizontal="center" vertical="center"/>
    </xf>
    <xf numFmtId="0" fontId="17" fillId="0" borderId="33" xfId="1" applyFont="1" applyBorder="1" applyAlignment="1">
      <alignment horizontal="center" vertical="center" wrapText="1"/>
    </xf>
    <xf numFmtId="3" fontId="36" fillId="0" borderId="22" xfId="0" applyNumberFormat="1" applyFont="1" applyBorder="1" applyAlignment="1">
      <alignment horizontal="right" vertical="center"/>
    </xf>
    <xf numFmtId="3" fontId="15" fillId="0" borderId="25" xfId="0" applyNumberFormat="1" applyFont="1" applyBorder="1" applyAlignment="1">
      <alignment horizontal="right" vertical="center"/>
    </xf>
    <xf numFmtId="49" fontId="11" fillId="0" borderId="33" xfId="0" applyNumberFormat="1" applyFont="1" applyBorder="1" applyAlignment="1">
      <alignment horizontal="center" vertical="center" wrapText="1"/>
    </xf>
    <xf numFmtId="3" fontId="10" fillId="0" borderId="41" xfId="0" applyNumberFormat="1" applyFont="1" applyBorder="1" applyAlignment="1">
      <alignment horizontal="right" vertical="center"/>
    </xf>
    <xf numFmtId="0" fontId="27" fillId="4" borderId="26" xfId="0" applyFont="1" applyFill="1" applyBorder="1" applyAlignment="1">
      <alignment horizontal="center" vertical="center"/>
    </xf>
    <xf numFmtId="3" fontId="17" fillId="0" borderId="58" xfId="1" applyNumberFormat="1" applyFont="1" applyBorder="1" applyAlignment="1">
      <alignment horizontal="right" vertical="center" wrapText="1"/>
    </xf>
    <xf numFmtId="3" fontId="17" fillId="0" borderId="21" xfId="1" applyNumberFormat="1" applyFont="1" applyBorder="1" applyAlignment="1">
      <alignment horizontal="right" vertical="center" wrapText="1"/>
    </xf>
    <xf numFmtId="3" fontId="17" fillId="0" borderId="26" xfId="0" applyNumberFormat="1" applyFont="1" applyBorder="1" applyAlignment="1">
      <alignment horizontal="right" vertical="center" wrapText="1"/>
    </xf>
    <xf numFmtId="49" fontId="36" fillId="0" borderId="13" xfId="0" applyNumberFormat="1" applyFont="1" applyBorder="1" applyAlignment="1">
      <alignment horizontal="center" vertical="center" wrapText="1"/>
    </xf>
    <xf numFmtId="3" fontId="17" fillId="0" borderId="68" xfId="1" applyNumberFormat="1" applyFont="1" applyBorder="1" applyAlignment="1">
      <alignment horizontal="right" vertical="center" wrapText="1"/>
    </xf>
    <xf numFmtId="3" fontId="17" fillId="0" borderId="69" xfId="1" applyNumberFormat="1" applyFont="1" applyBorder="1" applyAlignment="1">
      <alignment horizontal="right" vertical="center" wrapText="1"/>
    </xf>
    <xf numFmtId="3" fontId="17" fillId="0" borderId="15" xfId="0" applyNumberFormat="1" applyFont="1" applyBorder="1" applyAlignment="1">
      <alignment horizontal="right" vertical="center" wrapText="1"/>
    </xf>
    <xf numFmtId="49" fontId="17" fillId="0" borderId="19" xfId="0" applyNumberFormat="1" applyFont="1" applyBorder="1" applyAlignment="1">
      <alignment horizontal="center" vertical="center" wrapText="1"/>
    </xf>
    <xf numFmtId="3" fontId="17" fillId="0" borderId="41" xfId="0" applyNumberFormat="1" applyFont="1" applyBorder="1" applyAlignment="1">
      <alignment horizontal="right" vertical="center" wrapText="1"/>
    </xf>
    <xf numFmtId="49" fontId="17" fillId="0" borderId="27" xfId="0" applyNumberFormat="1" applyFont="1" applyBorder="1" applyAlignment="1">
      <alignment horizontal="center" vertical="center" wrapText="1"/>
    </xf>
    <xf numFmtId="3" fontId="10" fillId="0" borderId="68" xfId="0" applyNumberFormat="1" applyFont="1" applyBorder="1" applyAlignment="1">
      <alignment horizontal="right" vertical="center" wrapText="1"/>
    </xf>
    <xf numFmtId="3" fontId="10" fillId="0" borderId="69" xfId="0" applyNumberFormat="1" applyFont="1" applyBorder="1" applyAlignment="1">
      <alignment horizontal="right" vertical="center" wrapText="1"/>
    </xf>
    <xf numFmtId="3" fontId="16" fillId="0" borderId="18" xfId="1" applyNumberFormat="1" applyFont="1" applyBorder="1" applyAlignment="1">
      <alignment horizontal="right" vertical="center" wrapText="1"/>
    </xf>
    <xf numFmtId="3" fontId="15" fillId="0" borderId="55" xfId="1" applyNumberFormat="1" applyFont="1" applyBorder="1" applyAlignment="1">
      <alignment horizontal="right" vertical="center" wrapText="1"/>
    </xf>
    <xf numFmtId="3" fontId="15" fillId="0" borderId="18" xfId="0" applyNumberFormat="1" applyFont="1" applyBorder="1" applyAlignment="1">
      <alignment horizontal="right" vertical="center" wrapText="1"/>
    </xf>
    <xf numFmtId="3" fontId="10" fillId="0" borderId="30" xfId="0" applyNumberFormat="1" applyFont="1" applyBorder="1" applyAlignment="1">
      <alignment horizontal="right" vertical="center" wrapText="1"/>
    </xf>
    <xf numFmtId="3" fontId="10" fillId="0" borderId="75" xfId="0" applyNumberFormat="1" applyFont="1" applyBorder="1" applyAlignment="1">
      <alignment horizontal="right" vertical="center" wrapText="1"/>
    </xf>
    <xf numFmtId="49" fontId="36" fillId="0" borderId="23" xfId="0" applyNumberFormat="1" applyFont="1" applyBorder="1" applyAlignment="1">
      <alignment horizontal="center" vertical="center" wrapText="1"/>
    </xf>
    <xf numFmtId="3" fontId="17" fillId="0" borderId="75" xfId="0" applyNumberFormat="1" applyFont="1" applyBorder="1" applyAlignment="1">
      <alignment horizontal="right" vertical="center" wrapText="1"/>
    </xf>
    <xf numFmtId="3" fontId="36" fillId="11" borderId="23" xfId="0" applyNumberFormat="1" applyFont="1" applyFill="1" applyBorder="1" applyAlignment="1">
      <alignment horizontal="right" vertical="center" wrapText="1"/>
    </xf>
    <xf numFmtId="49" fontId="17" fillId="0" borderId="25" xfId="0" applyNumberFormat="1" applyFont="1" applyBorder="1" applyAlignment="1">
      <alignment horizontal="center" vertical="center" wrapText="1"/>
    </xf>
    <xf numFmtId="3" fontId="15" fillId="0" borderId="17" xfId="0" applyNumberFormat="1" applyFont="1" applyBorder="1" applyAlignment="1">
      <alignment horizontal="right" vertical="center" wrapText="1"/>
    </xf>
    <xf numFmtId="3" fontId="17" fillId="0" borderId="47" xfId="1" applyNumberFormat="1" applyFont="1" applyBorder="1" applyAlignment="1">
      <alignment horizontal="right" vertical="center" wrapText="1"/>
    </xf>
    <xf numFmtId="3" fontId="17" fillId="0" borderId="20" xfId="1" applyNumberFormat="1" applyFont="1" applyBorder="1" applyAlignment="1">
      <alignment horizontal="right" vertical="center" wrapText="1"/>
    </xf>
    <xf numFmtId="3" fontId="16" fillId="3" borderId="32" xfId="0" applyNumberFormat="1" applyFont="1" applyFill="1" applyBorder="1" applyAlignment="1">
      <alignment horizontal="right" vertical="center" wrapText="1"/>
    </xf>
    <xf numFmtId="3" fontId="15" fillId="0" borderId="62" xfId="0" applyNumberFormat="1" applyFont="1" applyBorder="1" applyAlignment="1">
      <alignment horizontal="right" vertical="center"/>
    </xf>
    <xf numFmtId="3" fontId="15" fillId="0" borderId="53" xfId="0" applyNumberFormat="1" applyFont="1" applyBorder="1" applyAlignment="1">
      <alignment horizontal="right" vertical="center"/>
    </xf>
    <xf numFmtId="3" fontId="15" fillId="0" borderId="9" xfId="0" applyNumberFormat="1" applyFont="1" applyBorder="1" applyAlignment="1">
      <alignment horizontal="right" vertical="center"/>
    </xf>
    <xf numFmtId="3" fontId="11" fillId="0" borderId="14" xfId="0" applyNumberFormat="1" applyFont="1" applyBorder="1" applyAlignment="1">
      <alignment horizontal="right" vertical="center"/>
    </xf>
    <xf numFmtId="3" fontId="11" fillId="3" borderId="19" xfId="0" applyNumberFormat="1" applyFont="1" applyFill="1" applyBorder="1" applyAlignment="1">
      <alignment horizontal="right" vertical="center" wrapText="1"/>
    </xf>
    <xf numFmtId="49" fontId="36" fillId="0" borderId="23" xfId="0" applyNumberFormat="1" applyFont="1" applyBorder="1" applyAlignment="1">
      <alignment horizontal="center" vertical="center" wrapText="1" shrinkToFit="1"/>
    </xf>
    <xf numFmtId="3" fontId="17" fillId="0" borderId="32" xfId="0" applyNumberFormat="1" applyFont="1" applyBorder="1" applyAlignment="1">
      <alignment vertical="center" wrapText="1"/>
    </xf>
    <xf numFmtId="3" fontId="10" fillId="0" borderId="55" xfId="0" applyNumberFormat="1" applyFont="1" applyBorder="1" applyAlignment="1">
      <alignment horizontal="right" vertical="center"/>
    </xf>
    <xf numFmtId="3" fontId="15" fillId="11" borderId="23" xfId="0" applyNumberFormat="1" applyFont="1" applyFill="1" applyBorder="1" applyAlignment="1">
      <alignment horizontal="right" vertical="center"/>
    </xf>
    <xf numFmtId="0" fontId="15" fillId="0" borderId="14" xfId="0" applyFont="1" applyBorder="1" applyAlignment="1">
      <alignment horizontal="center" vertical="center"/>
    </xf>
    <xf numFmtId="49" fontId="15" fillId="0" borderId="1" xfId="0" applyNumberFormat="1" applyFont="1" applyBorder="1" applyAlignment="1">
      <alignment horizontal="center" vertical="center"/>
    </xf>
    <xf numFmtId="49" fontId="15" fillId="0" borderId="30" xfId="0" applyNumberFormat="1" applyFont="1" applyBorder="1" applyAlignment="1">
      <alignment horizontal="center" vertical="center"/>
    </xf>
    <xf numFmtId="3" fontId="17" fillId="0" borderId="58" xfId="0" applyNumberFormat="1" applyFont="1" applyBorder="1" applyAlignment="1">
      <alignment vertical="center"/>
    </xf>
    <xf numFmtId="3" fontId="17" fillId="0" borderId="21" xfId="0" applyNumberFormat="1" applyFont="1" applyBorder="1" applyAlignment="1">
      <alignment vertical="center"/>
    </xf>
    <xf numFmtId="3" fontId="17" fillId="0" borderId="23" xfId="0" applyNumberFormat="1" applyFont="1" applyBorder="1" applyAlignment="1">
      <alignment vertical="center"/>
    </xf>
    <xf numFmtId="3" fontId="17" fillId="0" borderId="25" xfId="0" applyNumberFormat="1" applyFont="1" applyBorder="1" applyAlignment="1">
      <alignment vertical="center"/>
    </xf>
    <xf numFmtId="3" fontId="17" fillId="0" borderId="27" xfId="0" applyNumberFormat="1" applyFont="1" applyBorder="1" applyAlignment="1">
      <alignment vertical="center"/>
    </xf>
    <xf numFmtId="3" fontId="17" fillId="0" borderId="58" xfId="0" applyNumberFormat="1" applyFont="1" applyBorder="1" applyAlignment="1">
      <alignment horizontal="right" vertical="center"/>
    </xf>
    <xf numFmtId="3" fontId="17" fillId="0" borderId="44" xfId="0" applyNumberFormat="1" applyFont="1" applyBorder="1" applyAlignment="1">
      <alignment horizontal="right" vertical="center"/>
    </xf>
    <xf numFmtId="49" fontId="17" fillId="0" borderId="25" xfId="0" applyNumberFormat="1" applyFont="1" applyBorder="1" applyAlignment="1">
      <alignment horizontal="center" vertical="center"/>
    </xf>
    <xf numFmtId="3" fontId="36" fillId="3" borderId="24" xfId="0" applyNumberFormat="1" applyFont="1" applyFill="1" applyBorder="1" applyAlignment="1">
      <alignment horizontal="right" vertical="center" wrapText="1"/>
    </xf>
    <xf numFmtId="49" fontId="11" fillId="0" borderId="26" xfId="0" applyNumberFormat="1" applyFont="1" applyBorder="1" applyAlignment="1">
      <alignment horizontal="center" vertical="center" shrinkToFit="1"/>
    </xf>
    <xf numFmtId="3" fontId="15" fillId="0" borderId="47" xfId="1" applyNumberFormat="1" applyFont="1" applyBorder="1" applyAlignment="1">
      <alignment vertical="center"/>
    </xf>
    <xf numFmtId="3" fontId="15" fillId="0" borderId="20" xfId="1" applyNumberFormat="1" applyFont="1" applyBorder="1" applyAlignment="1">
      <alignment vertical="center"/>
    </xf>
    <xf numFmtId="3" fontId="15" fillId="0" borderId="32" xfId="0" applyNumberFormat="1" applyFont="1" applyBorder="1" applyAlignment="1">
      <alignment vertical="center"/>
    </xf>
    <xf numFmtId="3" fontId="16" fillId="3" borderId="32" xfId="0" applyNumberFormat="1" applyFont="1" applyFill="1" applyBorder="1" applyAlignment="1">
      <alignment horizontal="right" vertical="center"/>
    </xf>
    <xf numFmtId="3" fontId="16" fillId="11" borderId="32" xfId="0" applyNumberFormat="1" applyFont="1" applyFill="1" applyBorder="1" applyAlignment="1">
      <alignment horizontal="right" vertical="center"/>
    </xf>
    <xf numFmtId="49" fontId="15" fillId="0" borderId="37" xfId="0" applyNumberFormat="1" applyFont="1" applyBorder="1" applyAlignment="1">
      <alignment horizontal="center" vertical="center"/>
    </xf>
    <xf numFmtId="3" fontId="36" fillId="3" borderId="32" xfId="0" applyNumberFormat="1" applyFont="1" applyFill="1" applyBorder="1" applyAlignment="1">
      <alignment horizontal="right" vertical="center" wrapText="1"/>
    </xf>
    <xf numFmtId="49" fontId="16" fillId="0" borderId="26" xfId="0" applyNumberFormat="1" applyFont="1" applyBorder="1" applyAlignment="1">
      <alignment horizontal="center" vertical="center" shrinkToFit="1"/>
    </xf>
    <xf numFmtId="49" fontId="11" fillId="0" borderId="13" xfId="0" applyNumberFormat="1" applyFont="1" applyBorder="1" applyAlignment="1">
      <alignment horizontal="center" vertical="center" shrinkToFit="1"/>
    </xf>
    <xf numFmtId="49" fontId="11" fillId="0" borderId="33" xfId="0" applyNumberFormat="1" applyFont="1" applyBorder="1" applyAlignment="1">
      <alignment horizontal="center" vertical="center"/>
    </xf>
    <xf numFmtId="49" fontId="11" fillId="0" borderId="33" xfId="0" applyNumberFormat="1" applyFont="1" applyBorder="1" applyAlignment="1">
      <alignment horizontal="center" vertical="center" shrinkToFit="1"/>
    </xf>
    <xf numFmtId="3" fontId="10" fillId="0" borderId="49" xfId="0" applyNumberFormat="1" applyFont="1" applyBorder="1" applyAlignment="1">
      <alignment vertical="center"/>
    </xf>
    <xf numFmtId="3" fontId="10" fillId="0" borderId="34" xfId="0" applyNumberFormat="1" applyFont="1" applyBorder="1" applyAlignment="1">
      <alignment vertical="center"/>
    </xf>
    <xf numFmtId="3" fontId="10" fillId="0" borderId="49" xfId="0" applyNumberFormat="1" applyFont="1" applyBorder="1" applyAlignment="1">
      <alignment horizontal="right" vertical="center"/>
    </xf>
    <xf numFmtId="49" fontId="16" fillId="0" borderId="33" xfId="0" applyNumberFormat="1" applyFont="1" applyBorder="1" applyAlignment="1">
      <alignment horizontal="center" vertical="center"/>
    </xf>
    <xf numFmtId="49" fontId="16" fillId="0" borderId="33" xfId="0" applyNumberFormat="1" applyFont="1" applyBorder="1" applyAlignment="1">
      <alignment horizontal="center" vertical="center" shrinkToFit="1"/>
    </xf>
    <xf numFmtId="3" fontId="16" fillId="0" borderId="33" xfId="1" applyNumberFormat="1" applyFont="1" applyBorder="1" applyAlignment="1">
      <alignment vertical="center"/>
    </xf>
    <xf numFmtId="3" fontId="17" fillId="0" borderId="49" xfId="1" applyNumberFormat="1" applyFont="1" applyBorder="1" applyAlignment="1">
      <alignment vertical="center"/>
    </xf>
    <xf numFmtId="3" fontId="17" fillId="0" borderId="43" xfId="1" applyNumberFormat="1" applyFont="1" applyBorder="1" applyAlignment="1">
      <alignment vertical="center"/>
    </xf>
    <xf numFmtId="3" fontId="15" fillId="0" borderId="49" xfId="0" applyNumberFormat="1" applyFont="1" applyBorder="1" applyAlignment="1">
      <alignment vertical="center"/>
    </xf>
    <xf numFmtId="3" fontId="15" fillId="0" borderId="43" xfId="0" applyNumberFormat="1" applyFont="1" applyBorder="1" applyAlignment="1">
      <alignment vertical="center"/>
    </xf>
    <xf numFmtId="3" fontId="15" fillId="0" borderId="35" xfId="0" applyNumberFormat="1" applyFont="1" applyBorder="1" applyAlignment="1">
      <alignment vertical="center"/>
    </xf>
    <xf numFmtId="3" fontId="15" fillId="11" borderId="33" xfId="0" applyNumberFormat="1" applyFont="1" applyFill="1" applyBorder="1" applyAlignment="1">
      <alignment horizontal="right" vertical="center"/>
    </xf>
    <xf numFmtId="3" fontId="16" fillId="3" borderId="35" xfId="0" applyNumberFormat="1" applyFont="1" applyFill="1" applyBorder="1" applyAlignment="1">
      <alignment horizontal="right" vertical="center"/>
    </xf>
    <xf numFmtId="3" fontId="15" fillId="0" borderId="33" xfId="0" applyNumberFormat="1" applyFont="1" applyBorder="1" applyAlignment="1">
      <alignment vertical="center"/>
    </xf>
    <xf numFmtId="3" fontId="15" fillId="0" borderId="34" xfId="0" applyNumberFormat="1" applyFont="1" applyBorder="1" applyAlignment="1">
      <alignment vertical="center"/>
    </xf>
    <xf numFmtId="3" fontId="15" fillId="0" borderId="40" xfId="0" applyNumberFormat="1" applyFont="1" applyBorder="1" applyAlignment="1">
      <alignment vertical="center"/>
    </xf>
    <xf numFmtId="49" fontId="15" fillId="0" borderId="40" xfId="0" applyNumberFormat="1" applyFont="1" applyBorder="1" applyAlignment="1">
      <alignment horizontal="center" vertical="center"/>
    </xf>
    <xf numFmtId="49" fontId="15" fillId="0" borderId="33" xfId="0" applyNumberFormat="1" applyFont="1" applyBorder="1" applyAlignment="1">
      <alignment horizontal="center" vertical="center" wrapText="1"/>
    </xf>
    <xf numFmtId="3" fontId="15" fillId="0" borderId="49" xfId="1" applyNumberFormat="1" applyFont="1" applyBorder="1" applyAlignment="1">
      <alignment vertical="center"/>
    </xf>
    <xf numFmtId="3" fontId="15" fillId="0" borderId="43" xfId="1" applyNumberFormat="1" applyFont="1" applyBorder="1" applyAlignment="1">
      <alignment vertical="center"/>
    </xf>
    <xf numFmtId="3" fontId="16" fillId="0" borderId="25" xfId="1" applyNumberFormat="1" applyFont="1" applyBorder="1" applyAlignment="1">
      <alignment horizontal="right" vertical="center" wrapText="1"/>
    </xf>
    <xf numFmtId="3" fontId="16" fillId="0" borderId="12" xfId="1" applyNumberFormat="1" applyFont="1" applyBorder="1" applyAlignment="1">
      <alignment horizontal="right" vertical="center" wrapText="1"/>
    </xf>
    <xf numFmtId="49" fontId="36" fillId="0" borderId="33" xfId="0" applyNumberFormat="1" applyFont="1" applyBorder="1" applyAlignment="1">
      <alignment horizontal="center" vertical="center"/>
    </xf>
    <xf numFmtId="49" fontId="36" fillId="0" borderId="33" xfId="0" applyNumberFormat="1" applyFont="1" applyBorder="1" applyAlignment="1">
      <alignment horizontal="center" vertical="center" shrinkToFit="1"/>
    </xf>
    <xf numFmtId="3" fontId="36" fillId="0" borderId="33" xfId="1" applyNumberFormat="1" applyFont="1" applyBorder="1" applyAlignment="1">
      <alignment vertical="center"/>
    </xf>
    <xf numFmtId="3" fontId="17" fillId="0" borderId="49" xfId="0" applyNumberFormat="1" applyFont="1" applyBorder="1" applyAlignment="1">
      <alignment vertical="center"/>
    </xf>
    <xf numFmtId="3" fontId="17" fillId="0" borderId="43" xfId="0" applyNumberFormat="1" applyFont="1" applyBorder="1" applyAlignment="1">
      <alignment vertical="center"/>
    </xf>
    <xf numFmtId="3" fontId="17" fillId="0" borderId="35" xfId="0" applyNumberFormat="1" applyFont="1" applyBorder="1" applyAlignment="1">
      <alignment vertical="center"/>
    </xf>
    <xf numFmtId="3" fontId="17" fillId="11" borderId="33" xfId="0" applyNumberFormat="1" applyFont="1" applyFill="1" applyBorder="1" applyAlignment="1">
      <alignment horizontal="right" vertical="center"/>
    </xf>
    <xf numFmtId="3" fontId="36" fillId="3" borderId="35" xfId="0" applyNumberFormat="1" applyFont="1" applyFill="1" applyBorder="1" applyAlignment="1">
      <alignment horizontal="right" vertical="center"/>
    </xf>
    <xf numFmtId="3" fontId="17" fillId="0" borderId="33" xfId="0" applyNumberFormat="1" applyFont="1" applyBorder="1" applyAlignment="1">
      <alignment vertical="center"/>
    </xf>
    <xf numFmtId="3" fontId="17" fillId="0" borderId="34" xfId="0" applyNumberFormat="1" applyFont="1" applyBorder="1" applyAlignment="1">
      <alignment vertical="center"/>
    </xf>
    <xf numFmtId="3" fontId="17" fillId="0" borderId="40" xfId="0" applyNumberFormat="1" applyFont="1" applyBorder="1" applyAlignment="1">
      <alignment vertical="center"/>
    </xf>
    <xf numFmtId="49" fontId="17" fillId="0" borderId="40" xfId="0" applyNumberFormat="1" applyFont="1" applyBorder="1" applyAlignment="1">
      <alignment horizontal="center" vertical="center"/>
    </xf>
    <xf numFmtId="49" fontId="17" fillId="0" borderId="33" xfId="0" applyNumberFormat="1" applyFont="1" applyBorder="1" applyAlignment="1">
      <alignment horizontal="center" vertical="center" wrapText="1"/>
    </xf>
    <xf numFmtId="3" fontId="15" fillId="0" borderId="5" xfId="0" applyNumberFormat="1" applyFont="1" applyBorder="1" applyAlignment="1">
      <alignment horizontal="right" vertical="center" wrapText="1"/>
    </xf>
    <xf numFmtId="3" fontId="15" fillId="0" borderId="23" xfId="0" applyNumberFormat="1" applyFont="1" applyBorder="1" applyAlignment="1">
      <alignment horizontal="center" vertical="center" wrapText="1"/>
    </xf>
    <xf numFmtId="3" fontId="16" fillId="0" borderId="25" xfId="1" applyNumberFormat="1" applyFont="1" applyBorder="1" applyAlignment="1">
      <alignment vertical="center" wrapText="1"/>
    </xf>
    <xf numFmtId="3" fontId="14" fillId="0" borderId="26" xfId="1" applyNumberFormat="1" applyFont="1" applyBorder="1" applyAlignment="1">
      <alignment vertical="center" wrapText="1"/>
    </xf>
    <xf numFmtId="3" fontId="13" fillId="0" borderId="27" xfId="0" applyNumberFormat="1" applyFont="1" applyBorder="1" applyAlignment="1">
      <alignment vertical="center" wrapText="1"/>
    </xf>
    <xf numFmtId="0" fontId="13" fillId="0" borderId="22" xfId="0" applyFont="1" applyBorder="1" applyAlignment="1">
      <alignment horizontal="center" vertical="center" wrapText="1"/>
    </xf>
    <xf numFmtId="49" fontId="16" fillId="2" borderId="26" xfId="0" applyNumberFormat="1" applyFont="1" applyFill="1" applyBorder="1" applyAlignment="1">
      <alignment horizontal="center" vertical="center" wrapText="1" shrinkToFit="1"/>
    </xf>
    <xf numFmtId="0" fontId="15" fillId="2" borderId="26" xfId="1" applyFont="1" applyFill="1" applyBorder="1" applyAlignment="1">
      <alignment horizontal="center" vertical="center" wrapText="1"/>
    </xf>
    <xf numFmtId="3" fontId="16" fillId="2" borderId="26" xfId="1" applyNumberFormat="1" applyFont="1" applyFill="1" applyBorder="1" applyAlignment="1">
      <alignment vertical="center" wrapText="1"/>
    </xf>
    <xf numFmtId="3" fontId="16" fillId="2" borderId="23" xfId="0" applyNumberFormat="1" applyFont="1" applyFill="1" applyBorder="1" applyAlignment="1">
      <alignment horizontal="right" vertical="center" wrapText="1"/>
    </xf>
    <xf numFmtId="3" fontId="15" fillId="2" borderId="47" xfId="0" applyNumberFormat="1" applyFont="1" applyFill="1" applyBorder="1" applyAlignment="1">
      <alignment horizontal="right" vertical="center" wrapText="1"/>
    </xf>
    <xf numFmtId="3" fontId="15" fillId="2" borderId="20" xfId="0" applyNumberFormat="1" applyFont="1" applyFill="1" applyBorder="1" applyAlignment="1">
      <alignment horizontal="right" vertical="center" wrapText="1"/>
    </xf>
    <xf numFmtId="49" fontId="15" fillId="2" borderId="26" xfId="0" applyNumberFormat="1" applyFont="1" applyFill="1" applyBorder="1" applyAlignment="1">
      <alignment horizontal="center" vertical="center" wrapText="1"/>
    </xf>
    <xf numFmtId="3" fontId="36" fillId="0" borderId="25" xfId="1" applyNumberFormat="1" applyFont="1" applyBorder="1" applyAlignment="1">
      <alignment horizontal="right" vertical="center" wrapText="1"/>
    </xf>
    <xf numFmtId="3" fontId="16" fillId="0" borderId="31" xfId="1" applyNumberFormat="1" applyFont="1" applyBorder="1" applyAlignment="1">
      <alignment horizontal="right" vertical="center" wrapText="1"/>
    </xf>
    <xf numFmtId="3" fontId="36" fillId="0" borderId="30" xfId="1" applyNumberFormat="1" applyFont="1" applyBorder="1" applyAlignment="1">
      <alignment horizontal="right" vertical="center" wrapText="1"/>
    </xf>
    <xf numFmtId="3" fontId="36" fillId="0" borderId="31" xfId="1" applyNumberFormat="1" applyFont="1" applyBorder="1" applyAlignment="1">
      <alignment horizontal="right" vertical="center" wrapText="1"/>
    </xf>
    <xf numFmtId="3" fontId="16" fillId="0" borderId="31" xfId="1" applyNumberFormat="1" applyFont="1" applyBorder="1" applyAlignment="1">
      <alignment vertical="center"/>
    </xf>
    <xf numFmtId="3" fontId="36" fillId="0" borderId="34" xfId="1" applyNumberFormat="1" applyFont="1" applyBorder="1" applyAlignment="1">
      <alignment vertical="center"/>
    </xf>
    <xf numFmtId="3" fontId="16" fillId="0" borderId="34" xfId="1" applyNumberFormat="1" applyFont="1" applyBorder="1" applyAlignment="1">
      <alignment vertical="center"/>
    </xf>
    <xf numFmtId="3" fontId="16" fillId="0" borderId="15" xfId="1" applyNumberFormat="1" applyFont="1" applyBorder="1" applyAlignment="1">
      <alignment vertical="center"/>
    </xf>
    <xf numFmtId="49" fontId="10" fillId="0" borderId="14" xfId="0" applyNumberFormat="1" applyFont="1" applyBorder="1" applyAlignment="1">
      <alignment horizontal="center" vertical="center" wrapText="1" shrinkToFit="1"/>
    </xf>
    <xf numFmtId="0" fontId="16" fillId="0" borderId="4" xfId="0" applyFont="1" applyBorder="1" applyAlignment="1">
      <alignment horizontal="center" vertical="center" wrapText="1"/>
    </xf>
    <xf numFmtId="0" fontId="11" fillId="5" borderId="5" xfId="0" applyFont="1" applyFill="1" applyBorder="1" applyAlignment="1">
      <alignment horizontal="center" vertical="center" wrapText="1"/>
    </xf>
    <xf numFmtId="0" fontId="17" fillId="0" borderId="31" xfId="0" applyFont="1" applyBorder="1" applyAlignment="1">
      <alignment horizontal="center" vertical="center" wrapText="1"/>
    </xf>
    <xf numFmtId="2" fontId="10" fillId="0" borderId="12" xfId="0" applyNumberFormat="1" applyFont="1" applyBorder="1" applyAlignment="1">
      <alignment horizontal="center" vertical="center" wrapText="1"/>
    </xf>
    <xf numFmtId="2" fontId="10" fillId="0" borderId="37" xfId="0" applyNumberFormat="1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7" fillId="0" borderId="30" xfId="0" applyFont="1" applyBorder="1" applyAlignment="1">
      <alignment horizontal="center" vertical="center" wrapText="1"/>
    </xf>
    <xf numFmtId="2" fontId="15" fillId="0" borderId="31" xfId="0" applyNumberFormat="1" applyFont="1" applyBorder="1" applyAlignment="1">
      <alignment horizontal="center" vertical="center" wrapText="1"/>
    </xf>
    <xf numFmtId="2" fontId="17" fillId="0" borderId="25" xfId="0" applyNumberFormat="1" applyFont="1" applyBorder="1" applyAlignment="1">
      <alignment horizontal="center" vertical="center" wrapText="1"/>
    </xf>
    <xf numFmtId="3" fontId="15" fillId="0" borderId="30" xfId="0" applyNumberFormat="1" applyFont="1" applyBorder="1" applyAlignment="1">
      <alignment horizontal="right" vertical="center"/>
    </xf>
    <xf numFmtId="1" fontId="21" fillId="5" borderId="5" xfId="1" applyNumberFormat="1" applyFont="1" applyFill="1" applyBorder="1" applyAlignment="1">
      <alignment vertical="center" wrapText="1"/>
    </xf>
    <xf numFmtId="1" fontId="21" fillId="5" borderId="12" xfId="1" applyNumberFormat="1" applyFont="1" applyFill="1" applyBorder="1" applyAlignment="1">
      <alignment vertical="center"/>
    </xf>
    <xf numFmtId="1" fontId="21" fillId="5" borderId="5" xfId="1" applyNumberFormat="1" applyFont="1" applyFill="1" applyBorder="1" applyAlignment="1">
      <alignment vertical="center"/>
    </xf>
    <xf numFmtId="3" fontId="11" fillId="3" borderId="48" xfId="0" applyNumberFormat="1" applyFont="1" applyFill="1" applyBorder="1" applyAlignment="1">
      <alignment horizontal="right" vertical="center" wrapText="1"/>
    </xf>
    <xf numFmtId="3" fontId="10" fillId="0" borderId="68" xfId="0" applyNumberFormat="1" applyFont="1" applyBorder="1" applyAlignment="1">
      <alignment vertical="center"/>
    </xf>
    <xf numFmtId="3" fontId="10" fillId="0" borderId="56" xfId="0" applyNumberFormat="1" applyFont="1" applyBorder="1" applyAlignment="1">
      <alignment horizontal="right" vertical="center"/>
    </xf>
    <xf numFmtId="3" fontId="11" fillId="3" borderId="14" xfId="0" applyNumberFormat="1" applyFont="1" applyFill="1" applyBorder="1" applyAlignment="1">
      <alignment horizontal="right" vertical="center"/>
    </xf>
    <xf numFmtId="3" fontId="11" fillId="3" borderId="29" xfId="0" applyNumberFormat="1" applyFont="1" applyFill="1" applyBorder="1" applyAlignment="1">
      <alignment horizontal="right" vertical="center"/>
    </xf>
    <xf numFmtId="3" fontId="10" fillId="11" borderId="33" xfId="0" applyNumberFormat="1" applyFont="1" applyFill="1" applyBorder="1" applyAlignment="1">
      <alignment horizontal="right" vertical="center"/>
    </xf>
    <xf numFmtId="3" fontId="11" fillId="3" borderId="45" xfId="0" applyNumberFormat="1" applyFont="1" applyFill="1" applyBorder="1" applyAlignment="1">
      <alignment horizontal="right" vertical="center" wrapText="1"/>
    </xf>
    <xf numFmtId="49" fontId="11" fillId="0" borderId="14" xfId="0" applyNumberFormat="1" applyFont="1" applyBorder="1" applyAlignment="1">
      <alignment horizontal="center" vertical="center"/>
    </xf>
    <xf numFmtId="2" fontId="10" fillId="0" borderId="26" xfId="0" applyNumberFormat="1" applyFont="1" applyBorder="1" applyAlignment="1">
      <alignment horizontal="center" vertical="center" wrapText="1"/>
    </xf>
    <xf numFmtId="167" fontId="12" fillId="0" borderId="14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1" fontId="12" fillId="5" borderId="5" xfId="1" applyNumberFormat="1" applyFont="1" applyFill="1" applyBorder="1" applyAlignment="1">
      <alignment vertical="center" wrapText="1"/>
    </xf>
    <xf numFmtId="0" fontId="12" fillId="0" borderId="26" xfId="0" applyFont="1" applyBorder="1" applyAlignment="1">
      <alignment horizontal="center" vertical="center" wrapText="1"/>
    </xf>
    <xf numFmtId="1" fontId="12" fillId="5" borderId="5" xfId="1" applyNumberFormat="1" applyFont="1" applyFill="1" applyBorder="1" applyAlignment="1">
      <alignment vertical="center"/>
    </xf>
    <xf numFmtId="0" fontId="12" fillId="0" borderId="1" xfId="1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center" wrapText="1"/>
    </xf>
    <xf numFmtId="49" fontId="12" fillId="0" borderId="0" xfId="0" applyNumberFormat="1" applyFont="1" applyAlignment="1">
      <alignment horizontal="center" vertical="center"/>
    </xf>
    <xf numFmtId="167" fontId="12" fillId="0" borderId="0" xfId="0" applyNumberFormat="1" applyFont="1" applyAlignment="1">
      <alignment vertical="center"/>
    </xf>
    <xf numFmtId="49" fontId="12" fillId="0" borderId="0" xfId="0" applyNumberFormat="1" applyFont="1" applyAlignment="1">
      <alignment horizontal="center" vertical="center" wrapText="1"/>
    </xf>
    <xf numFmtId="3" fontId="11" fillId="5" borderId="12" xfId="1" applyNumberFormat="1" applyFont="1" applyFill="1" applyBorder="1" applyAlignment="1">
      <alignment horizontal="center" vertical="center" wrapText="1"/>
    </xf>
    <xf numFmtId="0" fontId="40" fillId="2" borderId="0" xfId="0" applyFont="1" applyFill="1"/>
    <xf numFmtId="3" fontId="13" fillId="0" borderId="32" xfId="0" applyNumberFormat="1" applyFont="1" applyBorder="1" applyAlignment="1">
      <alignment vertical="center" wrapText="1"/>
    </xf>
    <xf numFmtId="3" fontId="13" fillId="0" borderId="37" xfId="0" applyNumberFormat="1" applyFont="1" applyBorder="1" applyAlignment="1">
      <alignment vertical="center" wrapText="1"/>
    </xf>
    <xf numFmtId="3" fontId="13" fillId="0" borderId="20" xfId="0" applyNumberFormat="1" applyFont="1" applyBorder="1" applyAlignment="1">
      <alignment vertical="center" wrapText="1"/>
    </xf>
    <xf numFmtId="3" fontId="13" fillId="0" borderId="21" xfId="0" applyNumberFormat="1" applyFont="1" applyBorder="1" applyAlignment="1">
      <alignment vertical="center" wrapText="1"/>
    </xf>
    <xf numFmtId="0" fontId="10" fillId="2" borderId="5" xfId="0" applyFont="1" applyFill="1" applyBorder="1" applyAlignment="1">
      <alignment horizontal="center" vertical="center" wrapText="1"/>
    </xf>
    <xf numFmtId="3" fontId="10" fillId="0" borderId="75" xfId="0" applyNumberFormat="1" applyFont="1" applyBorder="1" applyAlignment="1">
      <alignment horizontal="right" vertical="center"/>
    </xf>
    <xf numFmtId="49" fontId="11" fillId="0" borderId="25" xfId="0" applyNumberFormat="1" applyFont="1" applyBorder="1" applyAlignment="1">
      <alignment horizontal="center" vertical="center" wrapText="1" shrinkToFit="1"/>
    </xf>
    <xf numFmtId="49" fontId="11" fillId="0" borderId="31" xfId="0" applyNumberFormat="1" applyFont="1" applyBorder="1" applyAlignment="1">
      <alignment horizontal="center" vertical="center" wrapText="1" shrinkToFit="1"/>
    </xf>
    <xf numFmtId="49" fontId="11" fillId="0" borderId="15" xfId="0" applyNumberFormat="1" applyFont="1" applyBorder="1" applyAlignment="1">
      <alignment horizontal="center" vertical="center" wrapText="1" shrinkToFit="1"/>
    </xf>
    <xf numFmtId="49" fontId="11" fillId="0" borderId="12" xfId="0" applyNumberFormat="1" applyFont="1" applyBorder="1" applyAlignment="1">
      <alignment horizontal="center" vertical="center" wrapText="1" shrinkToFit="1"/>
    </xf>
    <xf numFmtId="49" fontId="11" fillId="0" borderId="4" xfId="0" applyNumberFormat="1" applyFont="1" applyBorder="1" applyAlignment="1">
      <alignment horizontal="center" vertical="center" wrapText="1" shrinkToFit="1"/>
    </xf>
    <xf numFmtId="1" fontId="12" fillId="5" borderId="18" xfId="1" applyNumberFormat="1" applyFont="1" applyFill="1" applyBorder="1" applyAlignment="1">
      <alignment vertical="center"/>
    </xf>
    <xf numFmtId="0" fontId="13" fillId="0" borderId="27" xfId="0" applyFont="1" applyBorder="1" applyAlignment="1">
      <alignment horizontal="center" vertical="center" wrapText="1"/>
    </xf>
    <xf numFmtId="49" fontId="11" fillId="0" borderId="14" xfId="0" applyNumberFormat="1" applyFont="1" applyBorder="1" applyAlignment="1">
      <alignment horizontal="center" vertical="center" shrinkToFit="1"/>
    </xf>
    <xf numFmtId="3" fontId="10" fillId="0" borderId="16" xfId="0" applyNumberFormat="1" applyFont="1" applyBorder="1" applyAlignment="1">
      <alignment vertical="center"/>
    </xf>
    <xf numFmtId="0" fontId="13" fillId="0" borderId="26" xfId="0" applyFont="1" applyBorder="1" applyAlignment="1">
      <alignment horizontal="center" vertical="center"/>
    </xf>
    <xf numFmtId="49" fontId="11" fillId="0" borderId="22" xfId="0" applyNumberFormat="1" applyFont="1" applyBorder="1" applyAlignment="1">
      <alignment horizontal="center" vertical="center"/>
    </xf>
    <xf numFmtId="49" fontId="11" fillId="0" borderId="22" xfId="0" applyNumberFormat="1" applyFont="1" applyBorder="1" applyAlignment="1">
      <alignment horizontal="center" vertical="center" shrinkToFit="1"/>
    </xf>
    <xf numFmtId="3" fontId="13" fillId="0" borderId="31" xfId="0" applyNumberFormat="1" applyFont="1" applyBorder="1" applyAlignment="1">
      <alignment vertical="center" wrapText="1"/>
    </xf>
    <xf numFmtId="3" fontId="11" fillId="3" borderId="37" xfId="0" applyNumberFormat="1" applyFont="1" applyFill="1" applyBorder="1" applyAlignment="1">
      <alignment horizontal="right" vertical="center" wrapText="1"/>
    </xf>
    <xf numFmtId="0" fontId="13" fillId="0" borderId="33" xfId="0" applyFont="1" applyBorder="1" applyAlignment="1">
      <alignment horizontal="center" vertical="center" wrapText="1"/>
    </xf>
    <xf numFmtId="0" fontId="45" fillId="0" borderId="31" xfId="0" applyFont="1" applyBorder="1" applyAlignment="1">
      <alignment horizontal="center" vertical="center" wrapText="1"/>
    </xf>
    <xf numFmtId="0" fontId="45" fillId="0" borderId="15" xfId="0" applyFont="1" applyBorder="1" applyAlignment="1">
      <alignment horizontal="center" vertical="center" wrapText="1"/>
    </xf>
    <xf numFmtId="3" fontId="13" fillId="0" borderId="24" xfId="0" applyNumberFormat="1" applyFont="1" applyBorder="1" applyAlignment="1">
      <alignment horizontal="right" vertical="center" wrapText="1"/>
    </xf>
    <xf numFmtId="0" fontId="18" fillId="0" borderId="33" xfId="0" applyFont="1" applyBorder="1" applyAlignment="1">
      <alignment horizontal="center" vertical="center" wrapText="1"/>
    </xf>
    <xf numFmtId="0" fontId="10" fillId="2" borderId="18" xfId="1" applyFill="1" applyBorder="1" applyAlignment="1">
      <alignment horizontal="center" vertical="center" wrapText="1"/>
    </xf>
    <xf numFmtId="2" fontId="18" fillId="0" borderId="23" xfId="0" applyNumberFormat="1" applyFont="1" applyBorder="1" applyAlignment="1">
      <alignment horizontal="center" vertical="center" wrapText="1"/>
    </xf>
    <xf numFmtId="49" fontId="18" fillId="0" borderId="23" xfId="0" applyNumberFormat="1" applyFont="1" applyBorder="1" applyAlignment="1">
      <alignment horizontal="center" vertical="center" wrapText="1"/>
    </xf>
    <xf numFmtId="2" fontId="45" fillId="0" borderId="42" xfId="0" applyNumberFormat="1" applyFont="1" applyBorder="1" applyAlignment="1">
      <alignment horizontal="center" vertical="center" wrapText="1"/>
    </xf>
    <xf numFmtId="2" fontId="13" fillId="0" borderId="13" xfId="0" applyNumberFormat="1" applyFont="1" applyBorder="1" applyAlignment="1">
      <alignment horizontal="center" vertical="center" wrapText="1"/>
    </xf>
    <xf numFmtId="2" fontId="10" fillId="4" borderId="23" xfId="0" applyNumberFormat="1" applyFont="1" applyFill="1" applyBorder="1" applyAlignment="1">
      <alignment horizontal="center" vertical="center" wrapText="1"/>
    </xf>
    <xf numFmtId="0" fontId="45" fillId="0" borderId="5" xfId="0" applyFont="1" applyBorder="1" applyAlignment="1">
      <alignment horizontal="center" vertical="center" wrapText="1"/>
    </xf>
    <xf numFmtId="3" fontId="16" fillId="0" borderId="2" xfId="0" applyNumberFormat="1" applyFont="1" applyBorder="1" applyAlignment="1">
      <alignment horizontal="right" vertical="center"/>
    </xf>
    <xf numFmtId="3" fontId="15" fillId="0" borderId="8" xfId="0" applyNumberFormat="1" applyFont="1" applyBorder="1" applyAlignment="1">
      <alignment vertical="center"/>
    </xf>
    <xf numFmtId="0" fontId="45" fillId="0" borderId="37" xfId="0" applyFont="1" applyBorder="1" applyAlignment="1">
      <alignment horizontal="center" vertical="center" wrapText="1"/>
    </xf>
    <xf numFmtId="0" fontId="27" fillId="2" borderId="23" xfId="0" applyFont="1" applyFill="1" applyBorder="1" applyAlignment="1">
      <alignment horizontal="center" vertical="center"/>
    </xf>
    <xf numFmtId="0" fontId="47" fillId="0" borderId="26" xfId="0" applyFont="1" applyBorder="1" applyAlignment="1">
      <alignment horizontal="center" vertical="center"/>
    </xf>
    <xf numFmtId="0" fontId="27" fillId="2" borderId="26" xfId="0" applyFont="1" applyFill="1" applyBorder="1" applyAlignment="1">
      <alignment horizontal="center" vertical="center"/>
    </xf>
    <xf numFmtId="0" fontId="27" fillId="4" borderId="23" xfId="0" applyFont="1" applyFill="1" applyBorder="1" applyAlignment="1">
      <alignment horizontal="center" vertical="center"/>
    </xf>
    <xf numFmtId="0" fontId="13" fillId="2" borderId="14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49" fontId="11" fillId="0" borderId="6" xfId="0" applyNumberFormat="1" applyFont="1" applyBorder="1" applyAlignment="1">
      <alignment horizontal="center" vertical="center" wrapText="1" shrinkToFit="1"/>
    </xf>
    <xf numFmtId="49" fontId="10" fillId="0" borderId="38" xfId="0" applyNumberFormat="1" applyFont="1" applyBorder="1" applyAlignment="1">
      <alignment horizontal="center" vertical="center" wrapText="1"/>
    </xf>
    <xf numFmtId="0" fontId="27" fillId="0" borderId="23" xfId="0" applyFont="1" applyBorder="1" applyAlignment="1">
      <alignment horizontal="center" vertical="center"/>
    </xf>
    <xf numFmtId="3" fontId="10" fillId="11" borderId="22" xfId="0" applyNumberFormat="1" applyFont="1" applyFill="1" applyBorder="1" applyAlignment="1">
      <alignment horizontal="right" vertical="center"/>
    </xf>
    <xf numFmtId="3" fontId="11" fillId="3" borderId="16" xfId="0" applyNumberFormat="1" applyFont="1" applyFill="1" applyBorder="1" applyAlignment="1">
      <alignment horizontal="right" vertical="center"/>
    </xf>
    <xf numFmtId="3" fontId="11" fillId="11" borderId="16" xfId="0" applyNumberFormat="1" applyFont="1" applyFill="1" applyBorder="1" applyAlignment="1">
      <alignment horizontal="right" vertical="center"/>
    </xf>
    <xf numFmtId="3" fontId="11" fillId="3" borderId="6" xfId="0" applyNumberFormat="1" applyFont="1" applyFill="1" applyBorder="1" applyAlignment="1">
      <alignment horizontal="right" vertical="center" wrapText="1"/>
    </xf>
    <xf numFmtId="0" fontId="45" fillId="0" borderId="12" xfId="0" applyFont="1" applyBorder="1" applyAlignment="1">
      <alignment horizontal="center" vertical="center" wrapText="1"/>
    </xf>
    <xf numFmtId="0" fontId="12" fillId="4" borderId="26" xfId="0" applyFont="1" applyFill="1" applyBorder="1" applyAlignment="1">
      <alignment horizontal="center" vertical="center" wrapText="1"/>
    </xf>
    <xf numFmtId="3" fontId="16" fillId="3" borderId="6" xfId="0" applyNumberFormat="1" applyFont="1" applyFill="1" applyBorder="1" applyAlignment="1">
      <alignment horizontal="right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45" fillId="0" borderId="37" xfId="1" applyFont="1" applyBorder="1" applyAlignment="1">
      <alignment horizontal="center" vertical="center" wrapText="1"/>
    </xf>
    <xf numFmtId="49" fontId="10" fillId="2" borderId="33" xfId="0" applyNumberFormat="1" applyFont="1" applyFill="1" applyBorder="1" applyAlignment="1">
      <alignment horizontal="center" vertical="center" wrapText="1"/>
    </xf>
    <xf numFmtId="49" fontId="16" fillId="2" borderId="13" xfId="0" applyNumberFormat="1" applyFont="1" applyFill="1" applyBorder="1" applyAlignment="1">
      <alignment horizontal="center" vertical="center" wrapText="1"/>
    </xf>
    <xf numFmtId="3" fontId="15" fillId="2" borderId="59" xfId="0" applyNumberFormat="1" applyFont="1" applyFill="1" applyBorder="1" applyAlignment="1">
      <alignment horizontal="right" vertical="center" wrapText="1"/>
    </xf>
    <xf numFmtId="3" fontId="15" fillId="2" borderId="48" xfId="0" applyNumberFormat="1" applyFont="1" applyFill="1" applyBorder="1" applyAlignment="1">
      <alignment horizontal="right" vertical="center" wrapText="1"/>
    </xf>
    <xf numFmtId="3" fontId="15" fillId="2" borderId="13" xfId="0" applyNumberFormat="1" applyFont="1" applyFill="1" applyBorder="1" applyAlignment="1">
      <alignment horizontal="right" vertical="center" wrapText="1"/>
    </xf>
    <xf numFmtId="3" fontId="16" fillId="2" borderId="13" xfId="0" applyNumberFormat="1" applyFont="1" applyFill="1" applyBorder="1" applyAlignment="1">
      <alignment horizontal="right" vertical="center" wrapText="1"/>
    </xf>
    <xf numFmtId="0" fontId="15" fillId="2" borderId="13" xfId="1" applyFont="1" applyFill="1" applyBorder="1" applyAlignment="1">
      <alignment horizontal="center" vertical="center" wrapText="1"/>
    </xf>
    <xf numFmtId="0" fontId="43" fillId="0" borderId="13" xfId="0" applyFont="1" applyBorder="1" applyAlignment="1">
      <alignment horizontal="center" vertical="center"/>
    </xf>
    <xf numFmtId="3" fontId="16" fillId="3" borderId="27" xfId="0" applyNumberFormat="1" applyFont="1" applyFill="1" applyBorder="1" applyAlignment="1">
      <alignment horizontal="right" vertical="center" wrapText="1"/>
    </xf>
    <xf numFmtId="3" fontId="16" fillId="3" borderId="37" xfId="0" applyNumberFormat="1" applyFont="1" applyFill="1" applyBorder="1" applyAlignment="1">
      <alignment horizontal="right" vertical="center" wrapText="1"/>
    </xf>
    <xf numFmtId="3" fontId="10" fillId="0" borderId="17" xfId="0" applyNumberFormat="1" applyFont="1" applyBorder="1" applyAlignment="1">
      <alignment horizontal="right" vertical="center"/>
    </xf>
    <xf numFmtId="0" fontId="15" fillId="2" borderId="23" xfId="0" applyFont="1" applyFill="1" applyBorder="1" applyAlignment="1">
      <alignment horizontal="center" vertical="center" wrapText="1"/>
    </xf>
    <xf numFmtId="3" fontId="15" fillId="0" borderId="43" xfId="0" applyNumberFormat="1" applyFont="1" applyBorder="1" applyAlignment="1">
      <alignment horizontal="right" vertical="center" wrapText="1"/>
    </xf>
    <xf numFmtId="0" fontId="46" fillId="0" borderId="26" xfId="0" applyFont="1" applyBorder="1" applyAlignment="1">
      <alignment horizontal="center" vertical="center"/>
    </xf>
    <xf numFmtId="3" fontId="10" fillId="19" borderId="23" xfId="0" applyNumberFormat="1" applyFont="1" applyFill="1" applyBorder="1" applyAlignment="1">
      <alignment horizontal="right" vertical="center" wrapText="1"/>
    </xf>
    <xf numFmtId="3" fontId="11" fillId="20" borderId="24" xfId="0" applyNumberFormat="1" applyFont="1" applyFill="1" applyBorder="1" applyAlignment="1">
      <alignment horizontal="right" vertical="center" wrapText="1"/>
    </xf>
    <xf numFmtId="3" fontId="11" fillId="3" borderId="16" xfId="0" applyNumberFormat="1" applyFont="1" applyFill="1" applyBorder="1" applyAlignment="1">
      <alignment horizontal="right" vertical="center" wrapText="1"/>
    </xf>
    <xf numFmtId="0" fontId="10" fillId="12" borderId="26" xfId="0" applyFont="1" applyFill="1" applyBorder="1" applyAlignment="1">
      <alignment horizontal="center" vertical="center" wrapText="1"/>
    </xf>
    <xf numFmtId="0" fontId="18" fillId="0" borderId="2" xfId="1" applyFont="1" applyBorder="1" applyAlignment="1">
      <alignment horizontal="center" vertical="center" wrapText="1"/>
    </xf>
    <xf numFmtId="3" fontId="15" fillId="0" borderId="23" xfId="0" applyNumberFormat="1" applyFont="1" applyBorder="1" applyAlignment="1">
      <alignment horizontal="right" vertical="center" wrapText="1"/>
    </xf>
    <xf numFmtId="0" fontId="41" fillId="0" borderId="0" xfId="0" applyFont="1"/>
    <xf numFmtId="0" fontId="45" fillId="0" borderId="27" xfId="1" applyFont="1" applyBorder="1" applyAlignment="1">
      <alignment horizontal="center" vertical="center" wrapText="1"/>
    </xf>
    <xf numFmtId="0" fontId="13" fillId="2" borderId="13" xfId="0" applyFont="1" applyFill="1" applyBorder="1" applyAlignment="1">
      <alignment horizontal="center" vertical="center" wrapText="1"/>
    </xf>
    <xf numFmtId="49" fontId="16" fillId="0" borderId="13" xfId="0" applyNumberFormat="1" applyFont="1" applyBorder="1" applyAlignment="1">
      <alignment horizontal="center" vertical="center" shrinkToFit="1"/>
    </xf>
    <xf numFmtId="0" fontId="45" fillId="0" borderId="19" xfId="1" applyFont="1" applyBorder="1" applyAlignment="1">
      <alignment horizontal="center" vertical="center" wrapText="1"/>
    </xf>
    <xf numFmtId="3" fontId="15" fillId="0" borderId="45" xfId="0" applyNumberFormat="1" applyFont="1" applyBorder="1" applyAlignment="1">
      <alignment vertical="center"/>
    </xf>
    <xf numFmtId="3" fontId="15" fillId="11" borderId="13" xfId="0" applyNumberFormat="1" applyFont="1" applyFill="1" applyBorder="1" applyAlignment="1">
      <alignment horizontal="right" vertical="center"/>
    </xf>
    <xf numFmtId="3" fontId="16" fillId="3" borderId="45" xfId="0" applyNumberFormat="1" applyFont="1" applyFill="1" applyBorder="1" applyAlignment="1">
      <alignment horizontal="right" vertical="center"/>
    </xf>
    <xf numFmtId="49" fontId="15" fillId="0" borderId="19" xfId="0" applyNumberFormat="1" applyFont="1" applyBorder="1" applyAlignment="1">
      <alignment horizontal="center" vertical="center"/>
    </xf>
    <xf numFmtId="0" fontId="44" fillId="0" borderId="40" xfId="1" applyFont="1" applyBorder="1" applyAlignment="1">
      <alignment horizontal="center" vertical="center" wrapText="1"/>
    </xf>
    <xf numFmtId="0" fontId="45" fillId="0" borderId="40" xfId="1" applyFont="1" applyBorder="1" applyAlignment="1">
      <alignment horizontal="center" vertical="center" wrapText="1"/>
    </xf>
    <xf numFmtId="3" fontId="16" fillId="11" borderId="35" xfId="0" applyNumberFormat="1" applyFont="1" applyFill="1" applyBorder="1" applyAlignment="1">
      <alignment horizontal="right" vertical="center"/>
    </xf>
    <xf numFmtId="3" fontId="10" fillId="0" borderId="46" xfId="0" applyNumberFormat="1" applyFont="1" applyBorder="1" applyAlignment="1">
      <alignment horizontal="right" vertical="center" wrapText="1"/>
    </xf>
    <xf numFmtId="49" fontId="11" fillId="9" borderId="23" xfId="0" applyNumberFormat="1" applyFont="1" applyFill="1" applyBorder="1" applyAlignment="1">
      <alignment horizontal="center" vertical="center" wrapText="1"/>
    </xf>
    <xf numFmtId="49" fontId="11" fillId="9" borderId="26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167" fontId="11" fillId="0" borderId="26" xfId="0" applyNumberFormat="1" applyFont="1" applyBorder="1" applyAlignment="1">
      <alignment horizontal="center" vertical="center" wrapText="1"/>
    </xf>
    <xf numFmtId="167" fontId="11" fillId="0" borderId="26" xfId="0" applyNumberFormat="1" applyFont="1" applyBorder="1" applyAlignment="1">
      <alignment horizontal="center" vertical="center" wrapText="1" shrinkToFit="1"/>
    </xf>
    <xf numFmtId="49" fontId="11" fillId="0" borderId="2" xfId="0" applyNumberFormat="1" applyFont="1" applyBorder="1" applyAlignment="1">
      <alignment horizontal="center" vertical="center" wrapText="1" shrinkToFit="1"/>
    </xf>
    <xf numFmtId="0" fontId="30" fillId="0" borderId="9" xfId="0" applyFont="1" applyBorder="1" applyAlignment="1">
      <alignment horizontal="center" vertical="center" wrapText="1"/>
    </xf>
    <xf numFmtId="3" fontId="15" fillId="0" borderId="41" xfId="0" applyNumberFormat="1" applyFont="1" applyBorder="1" applyAlignment="1">
      <alignment horizontal="right" vertical="center"/>
    </xf>
    <xf numFmtId="3" fontId="16" fillId="11" borderId="45" xfId="0" applyNumberFormat="1" applyFont="1" applyFill="1" applyBorder="1" applyAlignment="1">
      <alignment horizontal="right" vertical="center"/>
    </xf>
    <xf numFmtId="49" fontId="16" fillId="0" borderId="22" xfId="0" applyNumberFormat="1" applyFont="1" applyBorder="1" applyAlignment="1">
      <alignment horizontal="center" vertical="center"/>
    </xf>
    <xf numFmtId="49" fontId="16" fillId="0" borderId="22" xfId="0" applyNumberFormat="1" applyFont="1" applyBorder="1" applyAlignment="1">
      <alignment horizontal="center" vertical="center" shrinkToFit="1"/>
    </xf>
    <xf numFmtId="0" fontId="45" fillId="0" borderId="0" xfId="1" applyFont="1" applyAlignment="1">
      <alignment horizontal="center" vertical="center" wrapText="1"/>
    </xf>
    <xf numFmtId="3" fontId="16" fillId="0" borderId="22" xfId="1" applyNumberFormat="1" applyFont="1" applyBorder="1" applyAlignment="1">
      <alignment vertical="center"/>
    </xf>
    <xf numFmtId="3" fontId="16" fillId="0" borderId="28" xfId="1" applyNumberFormat="1" applyFont="1" applyBorder="1" applyAlignment="1">
      <alignment vertical="center"/>
    </xf>
    <xf numFmtId="3" fontId="15" fillId="0" borderId="64" xfId="1" applyNumberFormat="1" applyFont="1" applyBorder="1" applyAlignment="1">
      <alignment vertical="center"/>
    </xf>
    <xf numFmtId="3" fontId="15" fillId="0" borderId="64" xfId="0" applyNumberFormat="1" applyFont="1" applyBorder="1" applyAlignment="1">
      <alignment vertical="center"/>
    </xf>
    <xf numFmtId="3" fontId="15" fillId="0" borderId="29" xfId="0" applyNumberFormat="1" applyFont="1" applyBorder="1" applyAlignment="1">
      <alignment vertical="center"/>
    </xf>
    <xf numFmtId="3" fontId="16" fillId="3" borderId="29" xfId="0" applyNumberFormat="1" applyFont="1" applyFill="1" applyBorder="1" applyAlignment="1">
      <alignment horizontal="right" vertical="center"/>
    </xf>
    <xf numFmtId="3" fontId="15" fillId="0" borderId="22" xfId="0" applyNumberFormat="1" applyFont="1" applyBorder="1" applyAlignment="1">
      <alignment vertical="center"/>
    </xf>
    <xf numFmtId="3" fontId="15" fillId="0" borderId="28" xfId="0" applyNumberFormat="1" applyFont="1" applyBorder="1" applyAlignment="1">
      <alignment vertical="center"/>
    </xf>
    <xf numFmtId="49" fontId="15" fillId="0" borderId="0" xfId="0" applyNumberFormat="1" applyFont="1" applyAlignment="1">
      <alignment horizontal="center" vertical="center"/>
    </xf>
    <xf numFmtId="49" fontId="15" fillId="0" borderId="28" xfId="0" applyNumberFormat="1" applyFont="1" applyBorder="1" applyAlignment="1">
      <alignment horizontal="center" vertical="center"/>
    </xf>
    <xf numFmtId="0" fontId="45" fillId="0" borderId="27" xfId="0" applyFont="1" applyBorder="1" applyAlignment="1">
      <alignment horizontal="center" vertical="center" wrapText="1"/>
    </xf>
    <xf numFmtId="3" fontId="15" fillId="0" borderId="65" xfId="1" applyNumberFormat="1" applyFont="1" applyBorder="1" applyAlignment="1">
      <alignment vertical="center"/>
    </xf>
    <xf numFmtId="3" fontId="15" fillId="0" borderId="75" xfId="1" applyNumberFormat="1" applyFont="1" applyBorder="1" applyAlignment="1">
      <alignment horizontal="right" vertical="center" wrapText="1"/>
    </xf>
    <xf numFmtId="3" fontId="15" fillId="0" borderId="41" xfId="1" applyNumberFormat="1" applyFont="1" applyBorder="1" applyAlignment="1">
      <alignment horizontal="right" vertical="center" wrapText="1"/>
    </xf>
    <xf numFmtId="3" fontId="15" fillId="0" borderId="41" xfId="1" applyNumberFormat="1" applyFont="1" applyBorder="1" applyAlignment="1">
      <alignment vertical="center"/>
    </xf>
    <xf numFmtId="3" fontId="15" fillId="0" borderId="17" xfId="1" applyNumberFormat="1" applyFont="1" applyBorder="1" applyAlignment="1">
      <alignment vertical="center"/>
    </xf>
    <xf numFmtId="3" fontId="15" fillId="0" borderId="66" xfId="1" applyNumberFormat="1" applyFont="1" applyBorder="1" applyAlignment="1">
      <alignment vertical="center"/>
    </xf>
    <xf numFmtId="3" fontId="15" fillId="0" borderId="76" xfId="1" applyNumberFormat="1" applyFont="1" applyBorder="1" applyAlignment="1">
      <alignment vertical="center"/>
    </xf>
    <xf numFmtId="3" fontId="15" fillId="0" borderId="52" xfId="0" applyNumberFormat="1" applyFont="1" applyBorder="1" applyAlignment="1">
      <alignment horizontal="right" vertical="center" wrapText="1"/>
    </xf>
    <xf numFmtId="3" fontId="16" fillId="3" borderId="16" xfId="0" applyNumberFormat="1" applyFont="1" applyFill="1" applyBorder="1" applyAlignment="1">
      <alignment horizontal="right" vertical="center" wrapText="1"/>
    </xf>
    <xf numFmtId="3" fontId="10" fillId="11" borderId="37" xfId="0" applyNumberFormat="1" applyFont="1" applyFill="1" applyBorder="1" applyAlignment="1">
      <alignment horizontal="right" vertical="center" wrapText="1"/>
    </xf>
    <xf numFmtId="3" fontId="10" fillId="11" borderId="32" xfId="0" applyNumberFormat="1" applyFont="1" applyFill="1" applyBorder="1" applyAlignment="1">
      <alignment horizontal="right" vertical="center" wrapText="1"/>
    </xf>
    <xf numFmtId="49" fontId="10" fillId="4" borderId="23" xfId="0" applyNumberFormat="1" applyFont="1" applyFill="1" applyBorder="1" applyAlignment="1">
      <alignment horizontal="center" vertical="center"/>
    </xf>
    <xf numFmtId="0" fontId="45" fillId="0" borderId="26" xfId="0" applyFont="1" applyBorder="1" applyAlignment="1">
      <alignment horizontal="center" vertical="center" wrapText="1"/>
    </xf>
    <xf numFmtId="0" fontId="12" fillId="2" borderId="0" xfId="0" applyFont="1" applyFill="1"/>
    <xf numFmtId="3" fontId="15" fillId="0" borderId="17" xfId="0" applyNumberFormat="1" applyFont="1" applyBorder="1" applyAlignment="1">
      <alignment horizontal="right" vertical="center"/>
    </xf>
    <xf numFmtId="3" fontId="15" fillId="0" borderId="75" xfId="0" applyNumberFormat="1" applyFont="1" applyBorder="1" applyAlignment="1">
      <alignment horizontal="right" vertical="center"/>
    </xf>
    <xf numFmtId="0" fontId="10" fillId="17" borderId="26" xfId="0" applyFont="1" applyFill="1" applyBorder="1" applyAlignment="1">
      <alignment horizontal="center" vertical="center" wrapText="1"/>
    </xf>
    <xf numFmtId="0" fontId="10" fillId="17" borderId="26" xfId="0" applyFont="1" applyFill="1" applyBorder="1" applyAlignment="1">
      <alignment horizontal="center" vertical="center"/>
    </xf>
    <xf numFmtId="0" fontId="44" fillId="0" borderId="37" xfId="0" applyFont="1" applyBorder="1" applyAlignment="1">
      <alignment horizontal="center" vertical="center" wrapText="1"/>
    </xf>
    <xf numFmtId="3" fontId="17" fillId="0" borderId="41" xfId="0" applyNumberFormat="1" applyFont="1" applyBorder="1" applyAlignment="1">
      <alignment horizontal="right" vertical="center"/>
    </xf>
    <xf numFmtId="0" fontId="49" fillId="0" borderId="26" xfId="0" applyFont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3" fontId="17" fillId="0" borderId="25" xfId="0" applyNumberFormat="1" applyFont="1" applyBorder="1" applyAlignment="1">
      <alignment horizontal="right" vertical="center"/>
    </xf>
    <xf numFmtId="0" fontId="44" fillId="0" borderId="31" xfId="0" applyFont="1" applyBorder="1" applyAlignment="1">
      <alignment horizontal="center" vertical="center" wrapText="1"/>
    </xf>
    <xf numFmtId="3" fontId="17" fillId="0" borderId="41" xfId="1" applyNumberFormat="1" applyFont="1" applyBorder="1" applyAlignment="1">
      <alignment horizontal="right" vertical="center" wrapText="1"/>
    </xf>
    <xf numFmtId="3" fontId="17" fillId="0" borderId="26" xfId="0" applyNumberFormat="1" applyFont="1" applyBorder="1" applyAlignment="1">
      <alignment horizontal="center" vertical="center" wrapText="1"/>
    </xf>
    <xf numFmtId="0" fontId="50" fillId="2" borderId="0" xfId="0" applyFont="1" applyFill="1" applyAlignment="1">
      <alignment horizontal="left" vertical="center"/>
    </xf>
    <xf numFmtId="0" fontId="20" fillId="0" borderId="0" xfId="0" applyFont="1"/>
    <xf numFmtId="49" fontId="17" fillId="0" borderId="40" xfId="0" applyNumberFormat="1" applyFont="1" applyBorder="1" applyAlignment="1">
      <alignment horizontal="center" vertical="center" wrapText="1"/>
    </xf>
    <xf numFmtId="49" fontId="17" fillId="0" borderId="34" xfId="0" applyNumberFormat="1" applyFont="1" applyBorder="1" applyAlignment="1">
      <alignment horizontal="center" vertical="center" wrapText="1"/>
    </xf>
    <xf numFmtId="49" fontId="16" fillId="2" borderId="26" xfId="0" applyNumberFormat="1" applyFont="1" applyFill="1" applyBorder="1" applyAlignment="1">
      <alignment horizontal="center" vertical="center" wrapText="1"/>
    </xf>
    <xf numFmtId="2" fontId="45" fillId="2" borderId="42" xfId="0" applyNumberFormat="1" applyFont="1" applyFill="1" applyBorder="1" applyAlignment="1">
      <alignment horizontal="center" vertical="center" wrapText="1"/>
    </xf>
    <xf numFmtId="3" fontId="16" fillId="2" borderId="31" xfId="1" applyNumberFormat="1" applyFont="1" applyFill="1" applyBorder="1" applyAlignment="1">
      <alignment horizontal="right" vertical="center" wrapText="1"/>
    </xf>
    <xf numFmtId="3" fontId="15" fillId="2" borderId="47" xfId="1" applyNumberFormat="1" applyFont="1" applyFill="1" applyBorder="1" applyAlignment="1">
      <alignment horizontal="right" vertical="center" wrapText="1"/>
    </xf>
    <xf numFmtId="3" fontId="15" fillId="2" borderId="20" xfId="1" applyNumberFormat="1" applyFont="1" applyFill="1" applyBorder="1" applyAlignment="1">
      <alignment horizontal="right" vertical="center" wrapText="1"/>
    </xf>
    <xf numFmtId="3" fontId="15" fillId="2" borderId="41" xfId="1" applyNumberFormat="1" applyFont="1" applyFill="1" applyBorder="1" applyAlignment="1">
      <alignment horizontal="right" vertical="center" wrapText="1"/>
    </xf>
    <xf numFmtId="3" fontId="15" fillId="2" borderId="26" xfId="0" applyNumberFormat="1" applyFont="1" applyFill="1" applyBorder="1" applyAlignment="1">
      <alignment horizontal="right" vertical="center" wrapText="1"/>
    </xf>
    <xf numFmtId="3" fontId="16" fillId="2" borderId="26" xfId="0" applyNumberFormat="1" applyFont="1" applyFill="1" applyBorder="1" applyAlignment="1">
      <alignment horizontal="right" vertical="center" wrapText="1"/>
    </xf>
    <xf numFmtId="3" fontId="15" fillId="2" borderId="31" xfId="0" applyNumberFormat="1" applyFont="1" applyFill="1" applyBorder="1" applyAlignment="1">
      <alignment horizontal="right" vertical="center" wrapText="1"/>
    </xf>
    <xf numFmtId="3" fontId="15" fillId="2" borderId="32" xfId="0" applyNumberFormat="1" applyFont="1" applyFill="1" applyBorder="1" applyAlignment="1">
      <alignment horizontal="right" vertical="center" wrapText="1"/>
    </xf>
    <xf numFmtId="3" fontId="15" fillId="2" borderId="36" xfId="0" applyNumberFormat="1" applyFont="1" applyFill="1" applyBorder="1" applyAlignment="1">
      <alignment horizontal="right" vertical="center" wrapText="1"/>
    </xf>
    <xf numFmtId="49" fontId="15" fillId="2" borderId="37" xfId="0" applyNumberFormat="1" applyFont="1" applyFill="1" applyBorder="1" applyAlignment="1">
      <alignment horizontal="center" vertical="center" wrapText="1"/>
    </xf>
    <xf numFmtId="49" fontId="15" fillId="2" borderId="31" xfId="0" applyNumberFormat="1" applyFont="1" applyFill="1" applyBorder="1" applyAlignment="1">
      <alignment horizontal="center" vertical="center" wrapText="1"/>
    </xf>
    <xf numFmtId="3" fontId="11" fillId="3" borderId="5" xfId="0" applyNumberFormat="1" applyFont="1" applyFill="1" applyBorder="1" applyAlignment="1">
      <alignment horizontal="right" vertical="center" wrapText="1"/>
    </xf>
    <xf numFmtId="49" fontId="36" fillId="0" borderId="18" xfId="0" applyNumberFormat="1" applyFont="1" applyBorder="1" applyAlignment="1">
      <alignment horizontal="center" vertical="center" wrapText="1" shrinkToFit="1"/>
    </xf>
    <xf numFmtId="0" fontId="17" fillId="0" borderId="18" xfId="1" applyFont="1" applyBorder="1" applyAlignment="1">
      <alignment horizontal="center" vertical="center" wrapText="1"/>
    </xf>
    <xf numFmtId="3" fontId="36" fillId="0" borderId="18" xfId="1" applyNumberFormat="1" applyFont="1" applyBorder="1" applyAlignment="1">
      <alignment vertical="center" wrapText="1"/>
    </xf>
    <xf numFmtId="3" fontId="17" fillId="11" borderId="18" xfId="0" applyNumberFormat="1" applyFont="1" applyFill="1" applyBorder="1" applyAlignment="1">
      <alignment horizontal="right" vertical="center" wrapText="1"/>
    </xf>
    <xf numFmtId="3" fontId="36" fillId="3" borderId="18" xfId="0" applyNumberFormat="1" applyFont="1" applyFill="1" applyBorder="1" applyAlignment="1">
      <alignment horizontal="right" vertical="center" wrapText="1"/>
    </xf>
    <xf numFmtId="3" fontId="36" fillId="11" borderId="18" xfId="0" applyNumberFormat="1" applyFont="1" applyFill="1" applyBorder="1" applyAlignment="1">
      <alignment horizontal="right" vertical="center" wrapText="1"/>
    </xf>
    <xf numFmtId="3" fontId="17" fillId="0" borderId="38" xfId="0" applyNumberFormat="1" applyFont="1" applyBorder="1" applyAlignment="1">
      <alignment horizontal="right" vertical="center" wrapText="1"/>
    </xf>
    <xf numFmtId="3" fontId="17" fillId="0" borderId="76" xfId="1" applyNumberFormat="1" applyFont="1" applyBorder="1" applyAlignment="1">
      <alignment vertical="center"/>
    </xf>
    <xf numFmtId="3" fontId="18" fillId="0" borderId="25" xfId="0" applyNumberFormat="1" applyFont="1" applyBorder="1" applyAlignment="1">
      <alignment vertical="center" wrapText="1"/>
    </xf>
    <xf numFmtId="3" fontId="18" fillId="0" borderId="23" xfId="0" applyNumberFormat="1" applyFont="1" applyBorder="1" applyAlignment="1">
      <alignment horizontal="center" vertical="center" wrapText="1"/>
    </xf>
    <xf numFmtId="0" fontId="18" fillId="0" borderId="27" xfId="0" applyFont="1" applyBorder="1" applyAlignment="1">
      <alignment horizontal="center" vertical="center" wrapText="1"/>
    </xf>
    <xf numFmtId="3" fontId="36" fillId="0" borderId="33" xfId="1" applyNumberFormat="1" applyFont="1" applyBorder="1" applyAlignment="1">
      <alignment vertical="center" wrapText="1"/>
    </xf>
    <xf numFmtId="3" fontId="15" fillId="2" borderId="41" xfId="0" applyNumberFormat="1" applyFont="1" applyFill="1" applyBorder="1" applyAlignment="1">
      <alignment horizontal="right" vertical="center" wrapText="1"/>
    </xf>
    <xf numFmtId="2" fontId="10" fillId="2" borderId="37" xfId="0" applyNumberFormat="1" applyFont="1" applyFill="1" applyBorder="1" applyAlignment="1">
      <alignment horizontal="center" vertical="center" wrapText="1"/>
    </xf>
    <xf numFmtId="4" fontId="11" fillId="14" borderId="6" xfId="0" applyNumberFormat="1" applyFont="1" applyFill="1" applyBorder="1" applyAlignment="1">
      <alignment horizontal="center" vertical="center" wrapText="1"/>
    </xf>
    <xf numFmtId="4" fontId="11" fillId="14" borderId="55" xfId="0" applyNumberFormat="1" applyFont="1" applyFill="1" applyBorder="1" applyAlignment="1">
      <alignment horizontal="center" vertical="center" wrapText="1"/>
    </xf>
    <xf numFmtId="49" fontId="10" fillId="0" borderId="27" xfId="0" applyNumberFormat="1" applyFont="1" applyBorder="1" applyAlignment="1">
      <alignment horizontal="center" vertical="center" wrapText="1"/>
    </xf>
    <xf numFmtId="49" fontId="10" fillId="0" borderId="25" xfId="0" applyNumberFormat="1" applyFont="1" applyBorder="1" applyAlignment="1">
      <alignment horizontal="center" vertical="center" wrapText="1"/>
    </xf>
    <xf numFmtId="49" fontId="10" fillId="0" borderId="19" xfId="0" applyNumberFormat="1" applyFont="1" applyBorder="1" applyAlignment="1">
      <alignment horizontal="center" vertical="center" wrapText="1"/>
    </xf>
    <xf numFmtId="49" fontId="10" fillId="0" borderId="30" xfId="0" applyNumberFormat="1" applyFont="1" applyBorder="1" applyAlignment="1">
      <alignment horizontal="center" vertical="center"/>
    </xf>
    <xf numFmtId="49" fontId="10" fillId="0" borderId="4" xfId="0" applyNumberFormat="1" applyFont="1" applyBorder="1" applyAlignment="1">
      <alignment horizontal="center" vertical="center"/>
    </xf>
    <xf numFmtId="49" fontId="10" fillId="0" borderId="31" xfId="0" applyNumberFormat="1" applyFont="1" applyBorder="1" applyAlignment="1">
      <alignment horizontal="center" vertical="center"/>
    </xf>
    <xf numFmtId="49" fontId="10" fillId="0" borderId="15" xfId="0" applyNumberFormat="1" applyFont="1" applyBorder="1" applyAlignment="1">
      <alignment horizontal="center" vertical="center"/>
    </xf>
    <xf numFmtId="4" fontId="10" fillId="0" borderId="14" xfId="0" applyNumberFormat="1" applyFont="1" applyBorder="1" applyAlignment="1">
      <alignment horizontal="center" vertical="center" wrapText="1"/>
    </xf>
    <xf numFmtId="49" fontId="10" fillId="0" borderId="5" xfId="0" applyNumberFormat="1" applyFont="1" applyBorder="1" applyAlignment="1">
      <alignment horizontal="center" vertical="center" wrapText="1"/>
    </xf>
    <xf numFmtId="3" fontId="10" fillId="0" borderId="38" xfId="0" applyNumberFormat="1" applyFont="1" applyBorder="1" applyAlignment="1">
      <alignment horizontal="right" vertical="center"/>
    </xf>
    <xf numFmtId="3" fontId="10" fillId="0" borderId="62" xfId="0" applyNumberFormat="1" applyFont="1" applyBorder="1" applyAlignment="1">
      <alignment horizontal="right" vertical="center"/>
    </xf>
    <xf numFmtId="3" fontId="10" fillId="0" borderId="68" xfId="0" applyNumberFormat="1" applyFont="1" applyBorder="1" applyAlignment="1">
      <alignment horizontal="center" vertical="center"/>
    </xf>
    <xf numFmtId="3" fontId="10" fillId="0" borderId="73" xfId="0" applyNumberFormat="1" applyFont="1" applyBorder="1" applyAlignment="1">
      <alignment horizontal="center" vertical="center"/>
    </xf>
    <xf numFmtId="3" fontId="10" fillId="0" borderId="62" xfId="0" applyNumberFormat="1" applyFont="1" applyBorder="1" applyAlignment="1">
      <alignment horizontal="right" vertical="center" wrapText="1"/>
    </xf>
    <xf numFmtId="3" fontId="10" fillId="0" borderId="5" xfId="0" applyNumberFormat="1" applyFont="1" applyBorder="1" applyAlignment="1">
      <alignment horizontal="right" vertical="center" wrapText="1"/>
    </xf>
    <xf numFmtId="3" fontId="10" fillId="0" borderId="4" xfId="0" applyNumberFormat="1" applyFont="1" applyBorder="1" applyAlignment="1">
      <alignment horizontal="right" vertical="center" wrapText="1"/>
    </xf>
    <xf numFmtId="3" fontId="10" fillId="0" borderId="54" xfId="0" applyNumberFormat="1" applyFont="1" applyBorder="1" applyAlignment="1">
      <alignment horizontal="right" vertical="center"/>
    </xf>
    <xf numFmtId="3" fontId="29" fillId="0" borderId="23" xfId="0" applyNumberFormat="1" applyFont="1" applyBorder="1" applyAlignment="1">
      <alignment vertical="center"/>
    </xf>
    <xf numFmtId="3" fontId="10" fillId="0" borderId="12" xfId="0" applyNumberFormat="1" applyFont="1" applyBorder="1" applyAlignment="1">
      <alignment horizontal="right" vertical="center" wrapText="1"/>
    </xf>
    <xf numFmtId="3" fontId="11" fillId="0" borderId="55" xfId="0" applyNumberFormat="1" applyFont="1" applyBorder="1" applyAlignment="1">
      <alignment horizontal="right" vertical="center" wrapText="1"/>
    </xf>
    <xf numFmtId="3" fontId="10" fillId="0" borderId="19" xfId="0" applyNumberFormat="1" applyFont="1" applyBorder="1" applyAlignment="1">
      <alignment horizontal="right" vertical="center" wrapText="1"/>
    </xf>
    <xf numFmtId="3" fontId="10" fillId="0" borderId="73" xfId="0" applyNumberFormat="1" applyFont="1" applyBorder="1" applyAlignment="1">
      <alignment horizontal="right" vertical="center" wrapText="1"/>
    </xf>
    <xf numFmtId="3" fontId="10" fillId="0" borderId="46" xfId="0" applyNumberFormat="1" applyFont="1" applyBorder="1" applyAlignment="1">
      <alignment vertical="center" wrapText="1"/>
    </xf>
    <xf numFmtId="3" fontId="10" fillId="0" borderId="61" xfId="0" applyNumberFormat="1" applyFont="1" applyBorder="1" applyAlignment="1">
      <alignment horizontal="right" vertical="center" wrapText="1"/>
    </xf>
    <xf numFmtId="3" fontId="10" fillId="0" borderId="34" xfId="0" applyNumberFormat="1" applyFont="1" applyBorder="1" applyAlignment="1">
      <alignment horizontal="right" vertical="center" wrapText="1"/>
    </xf>
    <xf numFmtId="3" fontId="10" fillId="0" borderId="68" xfId="0" applyNumberFormat="1" applyFont="1" applyBorder="1" applyAlignment="1">
      <alignment horizontal="right" vertical="center"/>
    </xf>
    <xf numFmtId="3" fontId="10" fillId="0" borderId="73" xfId="0" applyNumberFormat="1" applyFont="1" applyBorder="1" applyAlignment="1">
      <alignment horizontal="right" vertical="center"/>
    </xf>
    <xf numFmtId="3" fontId="10" fillId="0" borderId="5" xfId="0" applyNumberFormat="1" applyFont="1" applyBorder="1" applyAlignment="1">
      <alignment horizontal="right" vertical="center"/>
    </xf>
    <xf numFmtId="49" fontId="11" fillId="0" borderId="12" xfId="0" applyNumberFormat="1" applyFont="1" applyBorder="1" applyAlignment="1">
      <alignment horizontal="center" vertical="center" wrapText="1"/>
    </xf>
    <xf numFmtId="3" fontId="10" fillId="11" borderId="18" xfId="0" applyNumberFormat="1" applyFont="1" applyFill="1" applyBorder="1" applyAlignment="1">
      <alignment horizontal="right" vertical="center"/>
    </xf>
    <xf numFmtId="3" fontId="11" fillId="0" borderId="13" xfId="0" applyNumberFormat="1" applyFont="1" applyBorder="1" applyAlignment="1">
      <alignment horizontal="right" vertical="center"/>
    </xf>
    <xf numFmtId="0" fontId="12" fillId="0" borderId="30" xfId="0" applyFont="1" applyBorder="1" applyAlignment="1">
      <alignment horizontal="center" vertical="center" wrapText="1"/>
    </xf>
    <xf numFmtId="3" fontId="10" fillId="0" borderId="52" xfId="0" applyNumberFormat="1" applyFont="1" applyBorder="1" applyAlignment="1">
      <alignment horizontal="center" vertical="center" wrapText="1"/>
    </xf>
    <xf numFmtId="0" fontId="12" fillId="0" borderId="31" xfId="1" applyFont="1" applyBorder="1" applyAlignment="1">
      <alignment horizontal="center" vertical="center" wrapText="1"/>
    </xf>
    <xf numFmtId="0" fontId="12" fillId="0" borderId="15" xfId="1" applyFont="1" applyBorder="1" applyAlignment="1">
      <alignment horizontal="center" vertical="center" wrapText="1"/>
    </xf>
    <xf numFmtId="0" fontId="12" fillId="0" borderId="4" xfId="1" applyFont="1" applyBorder="1" applyAlignment="1">
      <alignment horizontal="center" vertical="center" wrapText="1"/>
    </xf>
    <xf numFmtId="3" fontId="11" fillId="0" borderId="4" xfId="1" applyNumberFormat="1" applyFont="1" applyBorder="1" applyAlignment="1">
      <alignment vertical="center" wrapText="1"/>
    </xf>
    <xf numFmtId="0" fontId="12" fillId="0" borderId="30" xfId="1" applyFont="1" applyBorder="1" applyAlignment="1">
      <alignment horizontal="center" vertical="center" wrapText="1"/>
    </xf>
    <xf numFmtId="3" fontId="11" fillId="0" borderId="30" xfId="1" applyNumberFormat="1" applyFont="1" applyBorder="1" applyAlignment="1">
      <alignment vertical="center"/>
    </xf>
    <xf numFmtId="0" fontId="12" fillId="0" borderId="27" xfId="1" applyFont="1" applyBorder="1" applyAlignment="1">
      <alignment horizontal="center" vertical="center" wrapText="1"/>
    </xf>
    <xf numFmtId="3" fontId="10" fillId="0" borderId="45" xfId="0" applyNumberFormat="1" applyFont="1" applyBorder="1" applyAlignment="1">
      <alignment vertical="center"/>
    </xf>
    <xf numFmtId="3" fontId="11" fillId="0" borderId="25" xfId="1" applyNumberFormat="1" applyFont="1" applyBorder="1" applyAlignment="1">
      <alignment vertical="center"/>
    </xf>
    <xf numFmtId="0" fontId="12" fillId="0" borderId="37" xfId="1" applyFont="1" applyBorder="1" applyAlignment="1">
      <alignment horizontal="center" vertical="center" wrapText="1"/>
    </xf>
    <xf numFmtId="0" fontId="12" fillId="0" borderId="0" xfId="1" applyFont="1" applyAlignment="1">
      <alignment horizontal="center" vertical="center" wrapText="1"/>
    </xf>
    <xf numFmtId="0" fontId="12" fillId="0" borderId="40" xfId="1" applyFont="1" applyBorder="1" applyAlignment="1">
      <alignment horizontal="center" vertical="center" wrapText="1"/>
    </xf>
    <xf numFmtId="3" fontId="10" fillId="0" borderId="35" xfId="0" applyNumberFormat="1" applyFont="1" applyBorder="1" applyAlignment="1">
      <alignment vertical="center"/>
    </xf>
    <xf numFmtId="0" fontId="12" fillId="0" borderId="19" xfId="1" applyFont="1" applyBorder="1" applyAlignment="1">
      <alignment horizontal="center" vertical="center" wrapText="1"/>
    </xf>
    <xf numFmtId="0" fontId="12" fillId="0" borderId="13" xfId="1" applyFont="1" applyBorder="1" applyAlignment="1">
      <alignment horizontal="center" vertical="center" wrapText="1"/>
    </xf>
    <xf numFmtId="3" fontId="10" fillId="0" borderId="41" xfId="0" applyNumberFormat="1" applyFont="1" applyBorder="1" applyAlignment="1">
      <alignment vertical="center" wrapText="1"/>
    </xf>
    <xf numFmtId="3" fontId="10" fillId="0" borderId="17" xfId="0" applyNumberFormat="1" applyFont="1" applyBorder="1" applyAlignment="1">
      <alignment vertical="center" wrapText="1"/>
    </xf>
    <xf numFmtId="0" fontId="12" fillId="0" borderId="2" xfId="1" applyFont="1" applyBorder="1" applyAlignment="1">
      <alignment horizontal="center" vertical="center" wrapText="1"/>
    </xf>
    <xf numFmtId="0" fontId="12" fillId="0" borderId="26" xfId="1" applyFont="1" applyBorder="1" applyAlignment="1">
      <alignment horizontal="center" vertical="center" wrapText="1"/>
    </xf>
    <xf numFmtId="0" fontId="12" fillId="0" borderId="18" xfId="1" applyFont="1" applyBorder="1" applyAlignment="1">
      <alignment horizontal="center" vertical="center" wrapText="1"/>
    </xf>
    <xf numFmtId="0" fontId="12" fillId="0" borderId="20" xfId="1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3" fontId="10" fillId="0" borderId="15" xfId="0" applyNumberFormat="1" applyFont="1" applyBorder="1" applyAlignment="1">
      <alignment horizontal="right" vertical="center"/>
    </xf>
    <xf numFmtId="3" fontId="11" fillId="0" borderId="18" xfId="0" applyNumberFormat="1" applyFont="1" applyBorder="1" applyAlignment="1">
      <alignment horizontal="right" vertical="center"/>
    </xf>
    <xf numFmtId="0" fontId="12" fillId="0" borderId="24" xfId="0" applyFont="1" applyBorder="1" applyAlignment="1">
      <alignment horizontal="center" vertical="center" wrapText="1"/>
    </xf>
    <xf numFmtId="0" fontId="12" fillId="0" borderId="12" xfId="1" applyFont="1" applyBorder="1" applyAlignment="1">
      <alignment horizontal="center" vertical="center" wrapText="1"/>
    </xf>
    <xf numFmtId="3" fontId="10" fillId="0" borderId="57" xfId="0" applyNumberFormat="1" applyFont="1" applyBorder="1" applyAlignment="1">
      <alignment vertical="center" wrapText="1"/>
    </xf>
    <xf numFmtId="0" fontId="12" fillId="0" borderId="25" xfId="0" applyFont="1" applyBorder="1" applyAlignment="1">
      <alignment horizontal="center" vertical="center" wrapText="1"/>
    </xf>
    <xf numFmtId="0" fontId="12" fillId="0" borderId="31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2" fontId="12" fillId="0" borderId="42" xfId="0" applyNumberFormat="1" applyFont="1" applyBorder="1" applyAlignment="1">
      <alignment horizontal="center" vertical="center" wrapText="1"/>
    </xf>
    <xf numFmtId="2" fontId="12" fillId="0" borderId="51" xfId="0" applyNumberFormat="1" applyFont="1" applyBorder="1" applyAlignment="1">
      <alignment horizontal="center" vertical="center" wrapText="1"/>
    </xf>
    <xf numFmtId="2" fontId="12" fillId="0" borderId="26" xfId="0" applyNumberFormat="1" applyFont="1" applyBorder="1" applyAlignment="1">
      <alignment horizontal="center" vertical="center" wrapText="1"/>
    </xf>
    <xf numFmtId="3" fontId="11" fillId="0" borderId="25" xfId="0" applyNumberFormat="1" applyFont="1" applyBorder="1" applyAlignment="1">
      <alignment vertical="center" wrapText="1"/>
    </xf>
    <xf numFmtId="3" fontId="10" fillId="0" borderId="75" xfId="0" applyNumberFormat="1" applyFont="1" applyBorder="1" applyAlignment="1">
      <alignment vertical="center" wrapText="1"/>
    </xf>
    <xf numFmtId="49" fontId="11" fillId="0" borderId="23" xfId="0" applyNumberFormat="1" applyFont="1" applyBorder="1" applyAlignment="1">
      <alignment horizontal="center" vertical="center" shrinkToFit="1"/>
    </xf>
    <xf numFmtId="2" fontId="45" fillId="0" borderId="61" xfId="0" applyNumberFormat="1" applyFont="1" applyBorder="1" applyAlignment="1">
      <alignment horizontal="center" vertical="center" wrapText="1"/>
    </xf>
    <xf numFmtId="3" fontId="10" fillId="0" borderId="13" xfId="1" applyNumberFormat="1" applyBorder="1" applyAlignment="1">
      <alignment horizontal="center" vertical="center" wrapText="1"/>
    </xf>
    <xf numFmtId="3" fontId="10" fillId="0" borderId="4" xfId="0" applyNumberFormat="1" applyFont="1" applyBorder="1" applyAlignment="1">
      <alignment horizontal="right" vertical="center"/>
    </xf>
    <xf numFmtId="3" fontId="10" fillId="0" borderId="63" xfId="0" applyNumberFormat="1" applyFont="1" applyBorder="1" applyAlignment="1">
      <alignment horizontal="right" vertical="center"/>
    </xf>
    <xf numFmtId="0" fontId="10" fillId="0" borderId="68" xfId="0" applyFont="1" applyBorder="1" applyAlignment="1">
      <alignment horizontal="center" vertical="center" wrapText="1"/>
    </xf>
    <xf numFmtId="0" fontId="10" fillId="0" borderId="69" xfId="0" applyFont="1" applyBorder="1" applyAlignment="1">
      <alignment horizontal="center" vertical="center" wrapText="1"/>
    </xf>
    <xf numFmtId="170" fontId="31" fillId="2" borderId="0" xfId="0" applyNumberFormat="1" applyFont="1" applyFill="1"/>
    <xf numFmtId="170" fontId="11" fillId="11" borderId="18" xfId="0" applyNumberFormat="1" applyFont="1" applyFill="1" applyBorder="1" applyAlignment="1">
      <alignment horizontal="center" vertical="center" wrapText="1"/>
    </xf>
    <xf numFmtId="170" fontId="11" fillId="0" borderId="14" xfId="0" applyNumberFormat="1" applyFont="1" applyBorder="1" applyAlignment="1">
      <alignment horizontal="center" vertical="center" wrapText="1"/>
    </xf>
    <xf numFmtId="170" fontId="0" fillId="0" borderId="0" xfId="0" applyNumberFormat="1"/>
    <xf numFmtId="0" fontId="12" fillId="0" borderId="32" xfId="0" applyFont="1" applyBorder="1" applyAlignment="1">
      <alignment horizontal="center" vertical="center" wrapText="1"/>
    </xf>
    <xf numFmtId="3" fontId="18" fillId="2" borderId="23" xfId="0" applyNumberFormat="1" applyFont="1" applyFill="1" applyBorder="1" applyAlignment="1">
      <alignment horizontal="center" vertical="center" wrapText="1"/>
    </xf>
    <xf numFmtId="49" fontId="11" fillId="0" borderId="12" xfId="0" applyNumberFormat="1" applyFont="1" applyBorder="1" applyAlignment="1">
      <alignment horizontal="center" vertical="center"/>
    </xf>
    <xf numFmtId="49" fontId="10" fillId="0" borderId="16" xfId="0" applyNumberFormat="1" applyFont="1" applyBorder="1" applyAlignment="1">
      <alignment horizontal="center" vertical="center" wrapText="1" shrinkToFit="1"/>
    </xf>
    <xf numFmtId="3" fontId="10" fillId="0" borderId="69" xfId="1" applyNumberFormat="1" applyBorder="1" applyAlignment="1">
      <alignment horizontal="center" vertical="center" wrapText="1"/>
    </xf>
    <xf numFmtId="0" fontId="2" fillId="0" borderId="0" xfId="0" applyFont="1"/>
    <xf numFmtId="167" fontId="10" fillId="0" borderId="14" xfId="0" applyNumberFormat="1" applyFont="1" applyBorder="1" applyAlignment="1">
      <alignment horizontal="center" vertical="center" wrapText="1"/>
    </xf>
    <xf numFmtId="167" fontId="10" fillId="0" borderId="16" xfId="0" applyNumberFormat="1" applyFont="1" applyBorder="1" applyAlignment="1">
      <alignment horizontal="center" vertical="center" wrapText="1" shrinkToFit="1"/>
    </xf>
    <xf numFmtId="49" fontId="10" fillId="0" borderId="30" xfId="0" applyNumberFormat="1" applyFont="1" applyBorder="1" applyAlignment="1">
      <alignment horizontal="center" vertical="center" wrapText="1" shrinkToFit="1"/>
    </xf>
    <xf numFmtId="3" fontId="10" fillId="0" borderId="1" xfId="1" applyNumberFormat="1" applyBorder="1" applyAlignment="1">
      <alignment vertical="center" wrapText="1"/>
    </xf>
    <xf numFmtId="3" fontId="17" fillId="0" borderId="21" xfId="0" applyNumberFormat="1" applyFont="1" applyBorder="1" applyAlignment="1">
      <alignment horizontal="right" vertical="center"/>
    </xf>
    <xf numFmtId="3" fontId="17" fillId="0" borderId="75" xfId="0" applyNumberFormat="1" applyFont="1" applyBorder="1" applyAlignment="1">
      <alignment horizontal="right" vertical="center"/>
    </xf>
    <xf numFmtId="0" fontId="0" fillId="2" borderId="0" xfId="0" applyFill="1"/>
    <xf numFmtId="0" fontId="45" fillId="0" borderId="24" xfId="0" applyFont="1" applyBorder="1" applyAlignment="1">
      <alignment horizontal="center" vertical="center" wrapText="1"/>
    </xf>
    <xf numFmtId="3" fontId="15" fillId="19" borderId="23" xfId="0" applyNumberFormat="1" applyFont="1" applyFill="1" applyBorder="1" applyAlignment="1">
      <alignment horizontal="right" vertical="center" wrapText="1"/>
    </xf>
    <xf numFmtId="3" fontId="16" fillId="20" borderId="24" xfId="0" applyNumberFormat="1" applyFont="1" applyFill="1" applyBorder="1" applyAlignment="1">
      <alignment horizontal="right" vertical="center" wrapText="1"/>
    </xf>
    <xf numFmtId="3" fontId="51" fillId="0" borderId="23" xfId="0" applyNumberFormat="1" applyFont="1" applyBorder="1" applyAlignment="1">
      <alignment vertical="center"/>
    </xf>
    <xf numFmtId="0" fontId="45" fillId="0" borderId="2" xfId="0" applyFont="1" applyBorder="1" applyAlignment="1">
      <alignment horizontal="center" vertical="center" wrapText="1"/>
    </xf>
    <xf numFmtId="3" fontId="15" fillId="0" borderId="75" xfId="1" applyNumberFormat="1" applyFont="1" applyBorder="1" applyAlignment="1">
      <alignment vertical="center" wrapText="1"/>
    </xf>
    <xf numFmtId="3" fontId="15" fillId="0" borderId="63" xfId="0" applyNumberFormat="1" applyFont="1" applyBorder="1" applyAlignment="1">
      <alignment vertical="center" wrapText="1"/>
    </xf>
    <xf numFmtId="3" fontId="15" fillId="0" borderId="9" xfId="0" applyNumberFormat="1" applyFont="1" applyBorder="1" applyAlignment="1">
      <alignment vertical="center" wrapText="1"/>
    </xf>
    <xf numFmtId="3" fontId="15" fillId="0" borderId="62" xfId="0" applyNumberFormat="1" applyFont="1" applyBorder="1" applyAlignment="1">
      <alignment vertical="center" wrapText="1"/>
    </xf>
    <xf numFmtId="0" fontId="44" fillId="0" borderId="26" xfId="0" applyFont="1" applyBorder="1" applyAlignment="1">
      <alignment horizontal="center" vertical="center" wrapText="1"/>
    </xf>
    <xf numFmtId="49" fontId="16" fillId="0" borderId="31" xfId="0" applyNumberFormat="1" applyFont="1" applyBorder="1" applyAlignment="1">
      <alignment horizontal="center" vertical="center" wrapText="1" shrinkToFit="1"/>
    </xf>
    <xf numFmtId="49" fontId="16" fillId="0" borderId="30" xfId="0" applyNumberFormat="1" applyFont="1" applyBorder="1" applyAlignment="1">
      <alignment horizontal="center" vertical="center" wrapText="1"/>
    </xf>
    <xf numFmtId="0" fontId="52" fillId="0" borderId="0" xfId="0" applyFont="1"/>
    <xf numFmtId="0" fontId="44" fillId="0" borderId="19" xfId="1" applyFont="1" applyBorder="1" applyAlignment="1">
      <alignment horizontal="center" vertical="center" wrapText="1"/>
    </xf>
    <xf numFmtId="3" fontId="17" fillId="11" borderId="13" xfId="0" applyNumberFormat="1" applyFont="1" applyFill="1" applyBorder="1" applyAlignment="1">
      <alignment horizontal="right" vertical="center" wrapText="1"/>
    </xf>
    <xf numFmtId="49" fontId="34" fillId="0" borderId="26" xfId="0" applyNumberFormat="1" applyFont="1" applyBorder="1" applyAlignment="1">
      <alignment horizontal="center" vertical="center" wrapText="1"/>
    </xf>
    <xf numFmtId="49" fontId="34" fillId="0" borderId="26" xfId="0" applyNumberFormat="1" applyFont="1" applyBorder="1" applyAlignment="1">
      <alignment horizontal="center" vertical="center" wrapText="1" shrinkToFit="1"/>
    </xf>
    <xf numFmtId="3" fontId="34" fillId="11" borderId="26" xfId="0" applyNumberFormat="1" applyFont="1" applyFill="1" applyBorder="1" applyAlignment="1">
      <alignment horizontal="right" vertical="center" wrapText="1"/>
    </xf>
    <xf numFmtId="3" fontId="23" fillId="0" borderId="47" xfId="0" applyNumberFormat="1" applyFont="1" applyBorder="1" applyAlignment="1">
      <alignment horizontal="right" vertical="center" wrapText="1"/>
    </xf>
    <xf numFmtId="3" fontId="23" fillId="0" borderId="20" xfId="0" applyNumberFormat="1" applyFont="1" applyBorder="1" applyAlignment="1">
      <alignment horizontal="right" vertical="center" wrapText="1"/>
    </xf>
    <xf numFmtId="3" fontId="23" fillId="0" borderId="32" xfId="0" applyNumberFormat="1" applyFont="1" applyBorder="1" applyAlignment="1">
      <alignment horizontal="right" vertical="center" wrapText="1"/>
    </xf>
    <xf numFmtId="49" fontId="16" fillId="0" borderId="4" xfId="0" applyNumberFormat="1" applyFont="1" applyBorder="1" applyAlignment="1">
      <alignment horizontal="center" vertical="center" wrapText="1" shrinkToFit="1"/>
    </xf>
    <xf numFmtId="0" fontId="17" fillId="2" borderId="23" xfId="1" applyFont="1" applyFill="1" applyBorder="1" applyAlignment="1">
      <alignment horizontal="center" vertical="center" wrapText="1"/>
    </xf>
    <xf numFmtId="0" fontId="11" fillId="5" borderId="14" xfId="0" applyFont="1" applyFill="1" applyBorder="1" applyAlignment="1">
      <alignment horizontal="center" vertical="center" wrapText="1"/>
    </xf>
    <xf numFmtId="3" fontId="23" fillId="0" borderId="47" xfId="1" applyNumberFormat="1" applyFont="1" applyBorder="1" applyAlignment="1">
      <alignment horizontal="right" vertical="center" wrapText="1"/>
    </xf>
    <xf numFmtId="3" fontId="23" fillId="0" borderId="20" xfId="1" applyNumberFormat="1" applyFont="1" applyBorder="1" applyAlignment="1">
      <alignment horizontal="right" vertical="center" wrapText="1"/>
    </xf>
    <xf numFmtId="3" fontId="23" fillId="0" borderId="41" xfId="1" applyNumberFormat="1" applyFont="1" applyBorder="1" applyAlignment="1">
      <alignment horizontal="right" vertical="center" wrapText="1"/>
    </xf>
    <xf numFmtId="3" fontId="34" fillId="3" borderId="26" xfId="0" applyNumberFormat="1" applyFont="1" applyFill="1" applyBorder="1" applyAlignment="1">
      <alignment horizontal="right" vertical="center" wrapText="1"/>
    </xf>
    <xf numFmtId="3" fontId="23" fillId="0" borderId="26" xfId="0" applyNumberFormat="1" applyFont="1" applyBorder="1" applyAlignment="1">
      <alignment horizontal="right" vertical="center" wrapText="1"/>
    </xf>
    <xf numFmtId="2" fontId="44" fillId="0" borderId="42" xfId="0" applyNumberFormat="1" applyFont="1" applyBorder="1" applyAlignment="1">
      <alignment horizontal="center" vertical="center" wrapText="1"/>
    </xf>
    <xf numFmtId="2" fontId="45" fillId="2" borderId="26" xfId="0" applyNumberFormat="1" applyFont="1" applyFill="1" applyBorder="1" applyAlignment="1">
      <alignment horizontal="center" vertical="center" wrapText="1"/>
    </xf>
    <xf numFmtId="0" fontId="15" fillId="2" borderId="27" xfId="0" applyFont="1" applyFill="1" applyBorder="1" applyAlignment="1">
      <alignment horizontal="center" vertical="center" wrapText="1"/>
    </xf>
    <xf numFmtId="0" fontId="15" fillId="2" borderId="27" xfId="1" applyFont="1" applyFill="1" applyBorder="1" applyAlignment="1">
      <alignment horizontal="center" vertical="center" wrapText="1"/>
    </xf>
    <xf numFmtId="3" fontId="16" fillId="2" borderId="26" xfId="1" applyNumberFormat="1" applyFont="1" applyFill="1" applyBorder="1" applyAlignment="1">
      <alignment horizontal="right" vertical="center" wrapText="1"/>
    </xf>
    <xf numFmtId="2" fontId="13" fillId="0" borderId="37" xfId="0" applyNumberFormat="1" applyFont="1" applyBorder="1" applyAlignment="1">
      <alignment horizontal="center" vertical="center" wrapText="1"/>
    </xf>
    <xf numFmtId="49" fontId="10" fillId="0" borderId="40" xfId="0" applyNumberFormat="1" applyFont="1" applyBorder="1" applyAlignment="1">
      <alignment horizontal="center" vertical="center"/>
    </xf>
    <xf numFmtId="49" fontId="10" fillId="0" borderId="34" xfId="0" applyNumberFormat="1" applyFont="1" applyBorder="1" applyAlignment="1">
      <alignment horizontal="center" vertical="center"/>
    </xf>
    <xf numFmtId="3" fontId="16" fillId="0" borderId="14" xfId="0" applyNumberFormat="1" applyFont="1" applyBorder="1" applyAlignment="1">
      <alignment horizontal="right" vertical="center"/>
    </xf>
    <xf numFmtId="3" fontId="16" fillId="3" borderId="19" xfId="0" applyNumberFormat="1" applyFont="1" applyFill="1" applyBorder="1" applyAlignment="1">
      <alignment horizontal="right" vertical="center" wrapText="1"/>
    </xf>
    <xf numFmtId="3" fontId="10" fillId="0" borderId="44" xfId="0" applyNumberFormat="1" applyFont="1" applyBorder="1" applyAlignment="1">
      <alignment vertical="center"/>
    </xf>
    <xf numFmtId="49" fontId="10" fillId="0" borderId="1" xfId="0" applyNumberFormat="1" applyFont="1" applyBorder="1" applyAlignment="1">
      <alignment horizontal="center" vertical="center"/>
    </xf>
    <xf numFmtId="49" fontId="10" fillId="0" borderId="37" xfId="0" applyNumberFormat="1" applyFont="1" applyBorder="1" applyAlignment="1">
      <alignment horizontal="center" vertical="center"/>
    </xf>
    <xf numFmtId="3" fontId="10" fillId="0" borderId="72" xfId="0" applyNumberFormat="1" applyFont="1" applyBorder="1" applyAlignment="1">
      <alignment horizontal="right" vertical="center"/>
    </xf>
    <xf numFmtId="49" fontId="10" fillId="0" borderId="28" xfId="0" applyNumberFormat="1" applyFont="1" applyBorder="1" applyAlignment="1">
      <alignment horizontal="center" vertical="center"/>
    </xf>
    <xf numFmtId="3" fontId="10" fillId="0" borderId="70" xfId="0" applyNumberFormat="1" applyFont="1" applyBorder="1" applyAlignment="1">
      <alignment horizontal="right" vertical="center"/>
    </xf>
    <xf numFmtId="49" fontId="10" fillId="0" borderId="19" xfId="0" applyNumberFormat="1" applyFont="1" applyBorder="1" applyAlignment="1">
      <alignment horizontal="center" vertical="center"/>
    </xf>
    <xf numFmtId="0" fontId="13" fillId="0" borderId="33" xfId="0" applyFont="1" applyBorder="1" applyAlignment="1">
      <alignment horizontal="center" vertical="center"/>
    </xf>
    <xf numFmtId="49" fontId="10" fillId="0" borderId="25" xfId="0" applyNumberFormat="1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7" fillId="0" borderId="25" xfId="0" applyFont="1" applyBorder="1" applyAlignment="1">
      <alignment horizontal="center" vertical="center"/>
    </xf>
    <xf numFmtId="0" fontId="47" fillId="0" borderId="14" xfId="0" applyFont="1" applyBorder="1" applyAlignment="1">
      <alignment horizontal="center" vertical="center"/>
    </xf>
    <xf numFmtId="3" fontId="10" fillId="0" borderId="43" xfId="0" applyNumberFormat="1" applyFont="1" applyBorder="1" applyAlignment="1">
      <alignment horizontal="right" vertical="center"/>
    </xf>
    <xf numFmtId="0" fontId="27" fillId="0" borderId="30" xfId="0" applyFont="1" applyBorder="1" applyAlignment="1">
      <alignment horizontal="center" vertical="center"/>
    </xf>
    <xf numFmtId="0" fontId="22" fillId="16" borderId="18" xfId="0" applyFont="1" applyFill="1" applyBorder="1" applyAlignment="1">
      <alignment horizontal="center" vertical="center" wrapText="1"/>
    </xf>
    <xf numFmtId="3" fontId="22" fillId="16" borderId="18" xfId="0" applyNumberFormat="1" applyFont="1" applyFill="1" applyBorder="1" applyAlignment="1">
      <alignment horizontal="right" vertical="center"/>
    </xf>
    <xf numFmtId="0" fontId="11" fillId="0" borderId="4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right" vertical="center" wrapText="1"/>
    </xf>
    <xf numFmtId="0" fontId="11" fillId="0" borderId="31" xfId="0" applyFont="1" applyBorder="1" applyAlignment="1">
      <alignment horizontal="center" vertical="center" wrapText="1"/>
    </xf>
    <xf numFmtId="0" fontId="10" fillId="0" borderId="84" xfId="0" applyFont="1" applyBorder="1" applyAlignment="1">
      <alignment horizontal="right" vertical="center" wrapText="1"/>
    </xf>
    <xf numFmtId="0" fontId="10" fillId="0" borderId="82" xfId="0" applyFont="1" applyBorder="1" applyAlignment="1">
      <alignment horizontal="right" vertical="center" wrapText="1"/>
    </xf>
    <xf numFmtId="0" fontId="10" fillId="0" borderId="83" xfId="0" applyFont="1" applyBorder="1" applyAlignment="1">
      <alignment horizontal="right" vertical="center" wrapText="1"/>
    </xf>
    <xf numFmtId="0" fontId="10" fillId="0" borderId="26" xfId="0" applyFont="1" applyBorder="1" applyAlignment="1">
      <alignment horizontal="right" vertical="center" wrapText="1"/>
    </xf>
    <xf numFmtId="0" fontId="10" fillId="0" borderId="85" xfId="0" applyFont="1" applyBorder="1" applyAlignment="1">
      <alignment horizontal="right" vertical="center" wrapText="1"/>
    </xf>
    <xf numFmtId="1" fontId="10" fillId="0" borderId="27" xfId="0" applyNumberFormat="1" applyFont="1" applyBorder="1" applyAlignment="1">
      <alignment horizontal="right" vertical="center"/>
    </xf>
    <xf numFmtId="49" fontId="11" fillId="0" borderId="45" xfId="0" applyNumberFormat="1" applyFont="1" applyBorder="1" applyAlignment="1">
      <alignment horizontal="center" vertical="center"/>
    </xf>
    <xf numFmtId="3" fontId="10" fillId="0" borderId="52" xfId="0" applyNumberFormat="1" applyFont="1" applyBorder="1" applyAlignment="1">
      <alignment horizontal="right" vertical="center"/>
    </xf>
    <xf numFmtId="2" fontId="12" fillId="0" borderId="12" xfId="0" applyNumberFormat="1" applyFont="1" applyBorder="1" applyAlignment="1">
      <alignment horizontal="center" vertical="center" wrapText="1"/>
    </xf>
    <xf numFmtId="49" fontId="11" fillId="9" borderId="2" xfId="0" applyNumberFormat="1" applyFont="1" applyFill="1" applyBorder="1" applyAlignment="1">
      <alignment horizontal="center" vertical="center" wrapText="1"/>
    </xf>
    <xf numFmtId="3" fontId="11" fillId="0" borderId="2" xfId="0" applyNumberFormat="1" applyFont="1" applyBorder="1" applyAlignment="1">
      <alignment horizontal="right" vertical="center"/>
    </xf>
    <xf numFmtId="3" fontId="10" fillId="0" borderId="46" xfId="0" applyNumberFormat="1" applyFont="1" applyBorder="1" applyAlignment="1">
      <alignment horizontal="right" vertical="center"/>
    </xf>
    <xf numFmtId="3" fontId="10" fillId="0" borderId="2" xfId="0" applyNumberFormat="1" applyFont="1" applyBorder="1" applyAlignment="1">
      <alignment vertical="center"/>
    </xf>
    <xf numFmtId="3" fontId="10" fillId="0" borderId="62" xfId="0" applyNumberFormat="1" applyFont="1" applyBorder="1" applyAlignment="1">
      <alignment vertical="center"/>
    </xf>
    <xf numFmtId="3" fontId="10" fillId="0" borderId="53" xfId="0" applyNumberFormat="1" applyFont="1" applyBorder="1" applyAlignment="1">
      <alignment horizontal="right" vertical="center"/>
    </xf>
    <xf numFmtId="0" fontId="10" fillId="0" borderId="4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49" fontId="11" fillId="9" borderId="14" xfId="0" applyNumberFormat="1" applyFont="1" applyFill="1" applyBorder="1" applyAlignment="1">
      <alignment horizontal="center" vertical="center" wrapText="1"/>
    </xf>
    <xf numFmtId="3" fontId="10" fillId="3" borderId="25" xfId="0" applyNumberFormat="1" applyFont="1" applyFill="1" applyBorder="1" applyAlignment="1">
      <alignment horizontal="right" vertical="center"/>
    </xf>
    <xf numFmtId="3" fontId="11" fillId="11" borderId="14" xfId="0" applyNumberFormat="1" applyFont="1" applyFill="1" applyBorder="1" applyAlignment="1">
      <alignment horizontal="right" vertical="center"/>
    </xf>
    <xf numFmtId="0" fontId="11" fillId="11" borderId="2" xfId="0" applyFont="1" applyFill="1" applyBorder="1" applyAlignment="1">
      <alignment horizontal="right" vertical="center" wrapText="1"/>
    </xf>
    <xf numFmtId="0" fontId="11" fillId="11" borderId="26" xfId="0" applyFont="1" applyFill="1" applyBorder="1" applyAlignment="1">
      <alignment horizontal="right" vertical="center" wrapText="1"/>
    </xf>
    <xf numFmtId="0" fontId="12" fillId="0" borderId="12" xfId="0" applyFont="1" applyBorder="1" applyAlignment="1">
      <alignment horizontal="center" vertical="center" wrapText="1"/>
    </xf>
    <xf numFmtId="49" fontId="11" fillId="0" borderId="45" xfId="0" applyNumberFormat="1" applyFont="1" applyBorder="1" applyAlignment="1">
      <alignment horizontal="center" vertical="center" wrapText="1" shrinkToFit="1"/>
    </xf>
    <xf numFmtId="3" fontId="11" fillId="3" borderId="69" xfId="0" applyNumberFormat="1" applyFont="1" applyFill="1" applyBorder="1" applyAlignment="1">
      <alignment horizontal="right" vertical="center" wrapText="1"/>
    </xf>
    <xf numFmtId="0" fontId="10" fillId="0" borderId="62" xfId="0" applyFont="1" applyBorder="1" applyAlignment="1">
      <alignment horizontal="right" vertical="center" wrapText="1"/>
    </xf>
    <xf numFmtId="0" fontId="10" fillId="0" borderId="63" xfId="0" applyFont="1" applyBorder="1" applyAlignment="1">
      <alignment horizontal="right" vertical="center" wrapText="1"/>
    </xf>
    <xf numFmtId="0" fontId="10" fillId="0" borderId="46" xfId="0" applyFont="1" applyBorder="1" applyAlignment="1">
      <alignment horizontal="right" vertical="center" wrapText="1"/>
    </xf>
    <xf numFmtId="0" fontId="10" fillId="0" borderId="53" xfId="0" applyFont="1" applyBorder="1" applyAlignment="1">
      <alignment horizontal="right" vertical="center" wrapText="1"/>
    </xf>
    <xf numFmtId="0" fontId="15" fillId="2" borderId="23" xfId="1" applyFont="1" applyFill="1" applyBorder="1" applyAlignment="1">
      <alignment horizontal="center" vertical="center" wrapText="1"/>
    </xf>
    <xf numFmtId="49" fontId="16" fillId="0" borderId="15" xfId="0" applyNumberFormat="1" applyFont="1" applyBorder="1" applyAlignment="1">
      <alignment horizontal="center" vertical="center" wrapText="1"/>
    </xf>
    <xf numFmtId="3" fontId="11" fillId="0" borderId="25" xfId="0" applyNumberFormat="1" applyFont="1" applyBorder="1" applyAlignment="1">
      <alignment horizontal="right" vertical="center" wrapText="1"/>
    </xf>
    <xf numFmtId="3" fontId="15" fillId="0" borderId="57" xfId="1" applyNumberFormat="1" applyFont="1" applyBorder="1" applyAlignment="1">
      <alignment horizontal="right" vertical="center" wrapText="1"/>
    </xf>
    <xf numFmtId="0" fontId="45" fillId="0" borderId="32" xfId="0" applyFont="1" applyBorder="1" applyAlignment="1">
      <alignment horizontal="center" vertical="center" wrapText="1"/>
    </xf>
    <xf numFmtId="3" fontId="16" fillId="3" borderId="24" xfId="0" applyNumberFormat="1" applyFont="1" applyFill="1" applyBorder="1" applyAlignment="1">
      <alignment horizontal="right" vertical="center" wrapText="1"/>
    </xf>
    <xf numFmtId="0" fontId="46" fillId="0" borderId="23" xfId="0" applyFont="1" applyBorder="1" applyAlignment="1">
      <alignment horizontal="center" vertical="center"/>
    </xf>
    <xf numFmtId="3" fontId="15" fillId="0" borderId="42" xfId="0" applyNumberFormat="1" applyFont="1" applyBorder="1" applyAlignment="1">
      <alignment horizontal="right" vertical="center"/>
    </xf>
    <xf numFmtId="0" fontId="12" fillId="0" borderId="23" xfId="1" applyFont="1" applyBorder="1" applyAlignment="1">
      <alignment horizontal="center" vertical="center" wrapText="1"/>
    </xf>
    <xf numFmtId="0" fontId="12" fillId="0" borderId="26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32" fillId="0" borderId="0" xfId="0" applyFont="1"/>
    <xf numFmtId="3" fontId="11" fillId="0" borderId="12" xfId="0" applyNumberFormat="1" applyFont="1" applyBorder="1" applyAlignment="1">
      <alignment vertical="center" wrapText="1"/>
    </xf>
    <xf numFmtId="3" fontId="10" fillId="0" borderId="73" xfId="0" applyNumberFormat="1" applyFont="1" applyBorder="1" applyAlignment="1">
      <alignment vertical="center"/>
    </xf>
    <xf numFmtId="3" fontId="11" fillId="3" borderId="33" xfId="1" applyNumberFormat="1" applyFont="1" applyFill="1" applyBorder="1" applyAlignment="1">
      <alignment vertical="center"/>
    </xf>
    <xf numFmtId="3" fontId="10" fillId="0" borderId="69" xfId="1" applyNumberFormat="1" applyBorder="1" applyAlignment="1">
      <alignment vertical="center" wrapText="1"/>
    </xf>
    <xf numFmtId="3" fontId="16" fillId="0" borderId="15" xfId="0" applyNumberFormat="1" applyFont="1" applyBorder="1" applyAlignment="1">
      <alignment vertical="center" wrapText="1"/>
    </xf>
    <xf numFmtId="3" fontId="11" fillId="0" borderId="63" xfId="0" applyNumberFormat="1" applyFont="1" applyBorder="1" applyAlignment="1">
      <alignment vertical="center" wrapText="1"/>
    </xf>
    <xf numFmtId="49" fontId="11" fillId="9" borderId="13" xfId="0" applyNumberFormat="1" applyFont="1" applyFill="1" applyBorder="1" applyAlignment="1">
      <alignment horizontal="center" vertical="center" wrapText="1"/>
    </xf>
    <xf numFmtId="0" fontId="10" fillId="0" borderId="73" xfId="0" applyFont="1" applyBorder="1" applyAlignment="1">
      <alignment horizontal="center" vertical="center" wrapText="1"/>
    </xf>
    <xf numFmtId="0" fontId="45" fillId="0" borderId="4" xfId="0" applyFont="1" applyBorder="1" applyAlignment="1">
      <alignment horizontal="center" vertical="center" wrapText="1"/>
    </xf>
    <xf numFmtId="3" fontId="16" fillId="0" borderId="4" xfId="0" applyNumberFormat="1" applyFont="1" applyBorder="1" applyAlignment="1">
      <alignment vertical="center" wrapText="1"/>
    </xf>
    <xf numFmtId="3" fontId="15" fillId="0" borderId="46" xfId="0" applyNumberFormat="1" applyFont="1" applyBorder="1" applyAlignment="1">
      <alignment vertical="center" wrapText="1"/>
    </xf>
    <xf numFmtId="3" fontId="15" fillId="0" borderId="2" xfId="0" applyNumberFormat="1" applyFont="1" applyBorder="1" applyAlignment="1">
      <alignment horizontal="right" vertical="center"/>
    </xf>
    <xf numFmtId="3" fontId="15" fillId="0" borderId="53" xfId="0" applyNumberFormat="1" applyFont="1" applyBorder="1" applyAlignment="1">
      <alignment vertical="center" wrapText="1"/>
    </xf>
    <xf numFmtId="49" fontId="15" fillId="0" borderId="4" xfId="0" applyNumberFormat="1" applyFont="1" applyBorder="1" applyAlignment="1">
      <alignment horizontal="center" vertical="center" wrapText="1"/>
    </xf>
    <xf numFmtId="3" fontId="15" fillId="0" borderId="30" xfId="0" applyNumberFormat="1" applyFont="1" applyBorder="1" applyAlignment="1">
      <alignment horizontal="right" vertical="center" wrapText="1"/>
    </xf>
    <xf numFmtId="3" fontId="16" fillId="3" borderId="1" xfId="0" applyNumberFormat="1" applyFont="1" applyFill="1" applyBorder="1" applyAlignment="1">
      <alignment horizontal="right" vertical="center" wrapText="1"/>
    </xf>
    <xf numFmtId="3" fontId="15" fillId="0" borderId="1" xfId="0" applyNumberFormat="1" applyFont="1" applyBorder="1" applyAlignment="1">
      <alignment horizontal="right" vertical="center"/>
    </xf>
    <xf numFmtId="0" fontId="10" fillId="0" borderId="86" xfId="0" applyFont="1" applyBorder="1" applyAlignment="1">
      <alignment horizontal="center" vertical="center" wrapText="1"/>
    </xf>
    <xf numFmtId="0" fontId="11" fillId="5" borderId="14" xfId="1" applyFont="1" applyFill="1" applyBorder="1" applyAlignment="1">
      <alignment horizontal="center" vertical="center" wrapText="1"/>
    </xf>
    <xf numFmtId="3" fontId="11" fillId="0" borderId="62" xfId="0" applyNumberFormat="1" applyFont="1" applyBorder="1" applyAlignment="1">
      <alignment vertical="center" wrapText="1"/>
    </xf>
    <xf numFmtId="3" fontId="10" fillId="0" borderId="8" xfId="0" applyNumberFormat="1" applyFont="1" applyBorder="1" applyAlignment="1">
      <alignment horizontal="right" vertical="center" wrapText="1"/>
    </xf>
    <xf numFmtId="2" fontId="10" fillId="0" borderId="31" xfId="0" applyNumberFormat="1" applyFont="1" applyBorder="1" applyAlignment="1">
      <alignment horizontal="center" vertical="center" wrapText="1"/>
    </xf>
    <xf numFmtId="3" fontId="10" fillId="0" borderId="73" xfId="1" applyNumberFormat="1" applyBorder="1" applyAlignment="1">
      <alignment horizontal="center" vertical="center" wrapText="1"/>
    </xf>
    <xf numFmtId="165" fontId="0" fillId="0" borderId="0" xfId="0" applyNumberFormat="1"/>
    <xf numFmtId="3" fontId="11" fillId="0" borderId="48" xfId="1" applyNumberFormat="1" applyFont="1" applyBorder="1" applyAlignment="1">
      <alignment vertical="center" wrapText="1"/>
    </xf>
    <xf numFmtId="0" fontId="12" fillId="0" borderId="27" xfId="0" applyFont="1" applyBorder="1" applyAlignment="1">
      <alignment horizontal="center" vertical="center"/>
    </xf>
    <xf numFmtId="0" fontId="11" fillId="5" borderId="18" xfId="1" applyFont="1" applyFill="1" applyBorder="1" applyAlignment="1">
      <alignment horizontal="center" vertical="center" wrapText="1"/>
    </xf>
    <xf numFmtId="49" fontId="11" fillId="5" borderId="12" xfId="1" applyNumberFormat="1" applyFont="1" applyFill="1" applyBorder="1" applyAlignment="1">
      <alignment horizontal="center" vertical="center" wrapText="1"/>
    </xf>
    <xf numFmtId="0" fontId="26" fillId="0" borderId="0" xfId="0" applyFont="1"/>
    <xf numFmtId="49" fontId="11" fillId="5" borderId="12" xfId="0" applyNumberFormat="1" applyFont="1" applyFill="1" applyBorder="1" applyAlignment="1">
      <alignment horizontal="center" vertical="center" wrapText="1"/>
    </xf>
    <xf numFmtId="1" fontId="11" fillId="5" borderId="18" xfId="1" applyNumberFormat="1" applyFont="1" applyFill="1" applyBorder="1" applyAlignment="1">
      <alignment horizontal="center" vertical="center" wrapText="1"/>
    </xf>
    <xf numFmtId="0" fontId="11" fillId="5" borderId="12" xfId="0" applyFont="1" applyFill="1" applyBorder="1" applyAlignment="1">
      <alignment horizontal="center" vertical="center" wrapText="1"/>
    </xf>
    <xf numFmtId="3" fontId="42" fillId="0" borderId="9" xfId="0" applyNumberFormat="1" applyFont="1" applyBorder="1" applyAlignment="1">
      <alignment vertical="center"/>
    </xf>
    <xf numFmtId="3" fontId="42" fillId="0" borderId="24" xfId="0" applyNumberFormat="1" applyFont="1" applyBorder="1" applyAlignment="1">
      <alignment vertical="center"/>
    </xf>
    <xf numFmtId="3" fontId="20" fillId="0" borderId="2" xfId="0" applyNumberFormat="1" applyFont="1" applyBorder="1" applyAlignment="1">
      <alignment vertical="center"/>
    </xf>
    <xf numFmtId="3" fontId="20" fillId="0" borderId="23" xfId="0" applyNumberFormat="1" applyFont="1" applyBorder="1" applyAlignment="1">
      <alignment vertical="center"/>
    </xf>
    <xf numFmtId="3" fontId="39" fillId="5" borderId="6" xfId="0" applyNumberFormat="1" applyFont="1" applyFill="1" applyBorder="1" applyAlignment="1">
      <alignment vertical="center"/>
    </xf>
    <xf numFmtId="3" fontId="39" fillId="5" borderId="55" xfId="0" applyNumberFormat="1" applyFont="1" applyFill="1" applyBorder="1" applyAlignment="1">
      <alignment vertical="center"/>
    </xf>
    <xf numFmtId="0" fontId="22" fillId="6" borderId="6" xfId="0" applyFont="1" applyFill="1" applyBorder="1" applyAlignment="1">
      <alignment horizontal="center" vertical="center" wrapText="1"/>
    </xf>
    <xf numFmtId="0" fontId="22" fillId="6" borderId="55" xfId="0" applyFont="1" applyFill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0" fillId="0" borderId="40" xfId="0" applyBorder="1"/>
    <xf numFmtId="0" fontId="0" fillId="0" borderId="1" xfId="0" applyBorder="1"/>
    <xf numFmtId="0" fontId="0" fillId="0" borderId="5" xfId="0" applyBorder="1"/>
    <xf numFmtId="0" fontId="30" fillId="0" borderId="5" xfId="0" applyFont="1" applyBorder="1"/>
    <xf numFmtId="0" fontId="41" fillId="0" borderId="1" xfId="0" applyFont="1" applyBorder="1"/>
    <xf numFmtId="3" fontId="10" fillId="2" borderId="5" xfId="0" applyNumberFormat="1" applyFont="1" applyFill="1" applyBorder="1" applyAlignment="1">
      <alignment vertical="center" wrapText="1"/>
    </xf>
    <xf numFmtId="0" fontId="13" fillId="0" borderId="14" xfId="0" applyFont="1" applyBorder="1" applyAlignment="1">
      <alignment horizontal="center" vertical="center" wrapText="1"/>
    </xf>
    <xf numFmtId="49" fontId="10" fillId="2" borderId="12" xfId="0" applyNumberFormat="1" applyFont="1" applyFill="1" applyBorder="1" applyAlignment="1">
      <alignment horizontal="center" vertical="center" wrapText="1"/>
    </xf>
    <xf numFmtId="3" fontId="10" fillId="2" borderId="56" xfId="0" applyNumberFormat="1" applyFont="1" applyFill="1" applyBorder="1" applyAlignment="1">
      <alignment vertical="center" wrapText="1"/>
    </xf>
    <xf numFmtId="0" fontId="37" fillId="0" borderId="1" xfId="0" applyFont="1" applyBorder="1"/>
    <xf numFmtId="3" fontId="10" fillId="0" borderId="40" xfId="0" applyNumberFormat="1" applyFont="1" applyBorder="1" applyAlignment="1">
      <alignment horizontal="right" vertical="center" wrapText="1"/>
    </xf>
    <xf numFmtId="0" fontId="27" fillId="0" borderId="0" xfId="0" applyFont="1" applyAlignment="1">
      <alignment horizontal="center" wrapText="1"/>
    </xf>
    <xf numFmtId="0" fontId="27" fillId="0" borderId="26" xfId="0" applyFont="1" applyBorder="1" applyAlignment="1">
      <alignment horizontal="center" wrapText="1"/>
    </xf>
    <xf numFmtId="3" fontId="11" fillId="0" borderId="49" xfId="0" applyNumberFormat="1" applyFont="1" applyBorder="1" applyAlignment="1">
      <alignment vertical="center" wrapText="1"/>
    </xf>
    <xf numFmtId="3" fontId="11" fillId="0" borderId="20" xfId="0" applyNumberFormat="1" applyFont="1" applyBorder="1" applyAlignment="1">
      <alignment vertical="center" wrapText="1"/>
    </xf>
    <xf numFmtId="3" fontId="10" fillId="0" borderId="30" xfId="1" applyNumberFormat="1" applyBorder="1" applyAlignment="1">
      <alignment horizontal="center" vertical="center" wrapText="1"/>
    </xf>
    <xf numFmtId="3" fontId="10" fillId="0" borderId="68" xfId="1" applyNumberFormat="1" applyBorder="1" applyAlignment="1">
      <alignment horizontal="center" vertical="center" wrapText="1"/>
    </xf>
    <xf numFmtId="4" fontId="11" fillId="0" borderId="13" xfId="0" applyNumberFormat="1" applyFont="1" applyBorder="1" applyAlignment="1">
      <alignment horizontal="center" vertical="center"/>
    </xf>
    <xf numFmtId="4" fontId="12" fillId="0" borderId="19" xfId="1" applyNumberFormat="1" applyFont="1" applyBorder="1" applyAlignment="1">
      <alignment horizontal="center" vertical="center" wrapText="1"/>
    </xf>
    <xf numFmtId="3" fontId="11" fillId="11" borderId="45" xfId="0" applyNumberFormat="1" applyFont="1" applyFill="1" applyBorder="1" applyAlignment="1">
      <alignment horizontal="right" vertical="center"/>
    </xf>
    <xf numFmtId="4" fontId="10" fillId="0" borderId="13" xfId="0" applyNumberFormat="1" applyFont="1" applyBorder="1" applyAlignment="1">
      <alignment horizontal="center" vertical="center"/>
    </xf>
    <xf numFmtId="4" fontId="10" fillId="0" borderId="15" xfId="0" applyNumberFormat="1" applyFont="1" applyBorder="1" applyAlignment="1">
      <alignment horizontal="center" vertical="center"/>
    </xf>
    <xf numFmtId="3" fontId="15" fillId="11" borderId="22" xfId="0" applyNumberFormat="1" applyFont="1" applyFill="1" applyBorder="1" applyAlignment="1">
      <alignment horizontal="right" vertical="center"/>
    </xf>
    <xf numFmtId="0" fontId="45" fillId="0" borderId="16" xfId="0" applyFont="1" applyBorder="1" applyAlignment="1">
      <alignment horizontal="center" vertical="center" wrapText="1"/>
    </xf>
    <xf numFmtId="3" fontId="15" fillId="0" borderId="74" xfId="0" applyNumberFormat="1" applyFont="1" applyBorder="1" applyAlignment="1">
      <alignment horizontal="right" vertical="center"/>
    </xf>
    <xf numFmtId="0" fontId="46" fillId="0" borderId="14" xfId="0" applyFont="1" applyBorder="1" applyAlignment="1">
      <alignment horizontal="center" vertical="center"/>
    </xf>
    <xf numFmtId="49" fontId="11" fillId="0" borderId="4" xfId="0" applyNumberFormat="1" applyFont="1" applyBorder="1" applyAlignment="1">
      <alignment horizontal="center" vertical="center"/>
    </xf>
    <xf numFmtId="3" fontId="11" fillId="0" borderId="62" xfId="0" applyNumberFormat="1" applyFont="1" applyBorder="1" applyAlignment="1">
      <alignment horizontal="right" vertical="center" wrapText="1"/>
    </xf>
    <xf numFmtId="3" fontId="11" fillId="11" borderId="29" xfId="0" applyNumberFormat="1" applyFont="1" applyFill="1" applyBorder="1" applyAlignment="1">
      <alignment horizontal="right" vertical="center"/>
    </xf>
    <xf numFmtId="3" fontId="11" fillId="11" borderId="35" xfId="0" applyNumberFormat="1" applyFont="1" applyFill="1" applyBorder="1" applyAlignment="1">
      <alignment horizontal="right" vertical="center"/>
    </xf>
    <xf numFmtId="3" fontId="16" fillId="11" borderId="29" xfId="0" applyNumberFormat="1" applyFont="1" applyFill="1" applyBorder="1" applyAlignment="1">
      <alignment horizontal="right" vertical="center"/>
    </xf>
    <xf numFmtId="0" fontId="0" fillId="0" borderId="26" xfId="0" applyBorder="1" applyAlignment="1">
      <alignment horizontal="center"/>
    </xf>
    <xf numFmtId="3" fontId="10" fillId="7" borderId="63" xfId="0" applyNumberFormat="1" applyFont="1" applyFill="1" applyBorder="1" applyAlignment="1">
      <alignment horizontal="right" vertical="center" wrapText="1"/>
    </xf>
    <xf numFmtId="3" fontId="10" fillId="2" borderId="56" xfId="0" applyNumberFormat="1" applyFont="1" applyFill="1" applyBorder="1" applyAlignment="1">
      <alignment horizontal="right" vertical="center" wrapText="1"/>
    </xf>
    <xf numFmtId="0" fontId="27" fillId="17" borderId="26" xfId="0" applyFont="1" applyFill="1" applyBorder="1" applyAlignment="1">
      <alignment horizontal="center" vertical="center"/>
    </xf>
    <xf numFmtId="49" fontId="11" fillId="9" borderId="22" xfId="0" applyNumberFormat="1" applyFont="1" applyFill="1" applyBorder="1" applyAlignment="1">
      <alignment horizontal="center" vertical="center" wrapText="1"/>
    </xf>
    <xf numFmtId="3" fontId="11" fillId="0" borderId="45" xfId="0" applyNumberFormat="1" applyFont="1" applyBorder="1" applyAlignment="1">
      <alignment horizontal="center" vertical="center" wrapText="1"/>
    </xf>
    <xf numFmtId="2" fontId="10" fillId="2" borderId="31" xfId="0" applyNumberFormat="1" applyFont="1" applyFill="1" applyBorder="1" applyAlignment="1">
      <alignment horizontal="center" vertical="center" wrapText="1"/>
    </xf>
    <xf numFmtId="49" fontId="15" fillId="7" borderId="2" xfId="0" applyNumberFormat="1" applyFont="1" applyFill="1" applyBorder="1" applyAlignment="1">
      <alignment horizontal="center" vertical="center" wrapText="1"/>
    </xf>
    <xf numFmtId="0" fontId="15" fillId="7" borderId="36" xfId="0" applyFont="1" applyFill="1" applyBorder="1" applyAlignment="1">
      <alignment horizontal="center" vertical="center" wrapText="1"/>
    </xf>
    <xf numFmtId="3" fontId="36" fillId="11" borderId="35" xfId="0" applyNumberFormat="1" applyFont="1" applyFill="1" applyBorder="1" applyAlignment="1">
      <alignment horizontal="right" vertical="center"/>
    </xf>
    <xf numFmtId="3" fontId="10" fillId="0" borderId="54" xfId="0" applyNumberFormat="1" applyFont="1" applyBorder="1" applyAlignment="1">
      <alignment horizontal="center" vertical="center" wrapText="1"/>
    </xf>
    <xf numFmtId="3" fontId="22" fillId="5" borderId="14" xfId="0" applyNumberFormat="1" applyFont="1" applyFill="1" applyBorder="1" applyAlignment="1">
      <alignment horizontal="right" vertical="center"/>
    </xf>
    <xf numFmtId="3" fontId="20" fillId="0" borderId="26" xfId="0" applyNumberFormat="1" applyFont="1" applyBorder="1" applyAlignment="1">
      <alignment vertical="center"/>
    </xf>
    <xf numFmtId="3" fontId="42" fillId="0" borderId="32" xfId="0" applyNumberFormat="1" applyFont="1" applyBorder="1" applyAlignment="1">
      <alignment vertical="center"/>
    </xf>
    <xf numFmtId="3" fontId="20" fillId="0" borderId="13" xfId="0" applyNumberFormat="1" applyFont="1" applyBorder="1" applyAlignment="1">
      <alignment vertical="center"/>
    </xf>
    <xf numFmtId="0" fontId="0" fillId="0" borderId="0" xfId="0" applyAlignment="1">
      <alignment horizontal="right"/>
    </xf>
    <xf numFmtId="3" fontId="15" fillId="0" borderId="58" xfId="1" applyNumberFormat="1" applyFont="1" applyBorder="1" applyAlignment="1">
      <alignment vertical="center" wrapText="1"/>
    </xf>
    <xf numFmtId="165" fontId="28" fillId="2" borderId="0" xfId="0" applyNumberFormat="1" applyFont="1" applyFill="1"/>
    <xf numFmtId="165" fontId="12" fillId="3" borderId="16" xfId="0" applyNumberFormat="1" applyFont="1" applyFill="1" applyBorder="1" applyAlignment="1">
      <alignment horizontal="center" vertical="center" wrapText="1"/>
    </xf>
    <xf numFmtId="165" fontId="11" fillId="0" borderId="14" xfId="0" applyNumberFormat="1" applyFont="1" applyBorder="1" applyAlignment="1">
      <alignment horizontal="center" vertical="center" wrapText="1"/>
    </xf>
    <xf numFmtId="165" fontId="11" fillId="0" borderId="0" xfId="0" applyNumberFormat="1" applyFont="1" applyAlignment="1">
      <alignment vertical="center"/>
    </xf>
    <xf numFmtId="165" fontId="28" fillId="0" borderId="0" xfId="0" applyNumberFormat="1" applyFont="1"/>
    <xf numFmtId="49" fontId="11" fillId="0" borderId="24" xfId="0" applyNumberFormat="1" applyFont="1" applyBorder="1" applyAlignment="1">
      <alignment horizontal="center" vertical="center" wrapText="1" shrinkToFit="1"/>
    </xf>
    <xf numFmtId="3" fontId="11" fillId="0" borderId="26" xfId="0" applyNumberFormat="1" applyFont="1" applyBorder="1" applyAlignment="1">
      <alignment horizontal="right" vertical="center" wrapText="1"/>
    </xf>
    <xf numFmtId="49" fontId="10" fillId="0" borderId="27" xfId="0" applyNumberFormat="1" applyFont="1" applyBorder="1" applyAlignment="1">
      <alignment horizontal="center" vertical="center"/>
    </xf>
    <xf numFmtId="0" fontId="30" fillId="0" borderId="23" xfId="0" applyFont="1" applyBorder="1" applyAlignment="1">
      <alignment horizontal="center" vertical="center" wrapText="1"/>
    </xf>
    <xf numFmtId="0" fontId="12" fillId="0" borderId="22" xfId="0" applyFont="1" applyBorder="1" applyAlignment="1">
      <alignment horizontal="center" vertical="center"/>
    </xf>
    <xf numFmtId="3" fontId="11" fillId="0" borderId="22" xfId="0" applyNumberFormat="1" applyFont="1" applyBorder="1" applyAlignment="1">
      <alignment horizontal="right" vertical="center"/>
    </xf>
    <xf numFmtId="49" fontId="11" fillId="0" borderId="23" xfId="0" applyNumberFormat="1" applyFont="1" applyBorder="1" applyAlignment="1">
      <alignment horizontal="center" vertical="center"/>
    </xf>
    <xf numFmtId="167" fontId="11" fillId="0" borderId="2" xfId="0" applyNumberFormat="1" applyFont="1" applyBorder="1" applyAlignment="1">
      <alignment horizontal="center" vertical="center" wrapText="1"/>
    </xf>
    <xf numFmtId="167" fontId="11" fillId="0" borderId="2" xfId="0" applyNumberFormat="1" applyFont="1" applyBorder="1" applyAlignment="1">
      <alignment horizontal="center" vertical="center" wrapText="1" shrinkToFit="1"/>
    </xf>
    <xf numFmtId="167" fontId="11" fillId="0" borderId="23" xfId="0" applyNumberFormat="1" applyFont="1" applyBorder="1" applyAlignment="1">
      <alignment horizontal="center" vertical="center" wrapText="1"/>
    </xf>
    <xf numFmtId="167" fontId="11" fillId="0" borderId="23" xfId="0" applyNumberFormat="1" applyFont="1" applyBorder="1" applyAlignment="1">
      <alignment horizontal="center" vertical="center" wrapText="1" shrinkToFit="1"/>
    </xf>
    <xf numFmtId="2" fontId="12" fillId="0" borderId="25" xfId="0" applyNumberFormat="1" applyFont="1" applyBorder="1" applyAlignment="1">
      <alignment horizontal="center" vertical="center" wrapText="1"/>
    </xf>
    <xf numFmtId="49" fontId="11" fillId="0" borderId="18" xfId="0" applyNumberFormat="1" applyFont="1" applyBorder="1" applyAlignment="1">
      <alignment horizontal="center" vertical="center"/>
    </xf>
    <xf numFmtId="0" fontId="12" fillId="0" borderId="45" xfId="0" applyFont="1" applyBorder="1" applyAlignment="1">
      <alignment horizontal="center" vertical="center" wrapText="1"/>
    </xf>
    <xf numFmtId="3" fontId="11" fillId="3" borderId="24" xfId="0" applyNumberFormat="1" applyFont="1" applyFill="1" applyBorder="1" applyAlignment="1">
      <alignment horizontal="right" vertical="center"/>
    </xf>
    <xf numFmtId="3" fontId="11" fillId="3" borderId="29" xfId="0" applyNumberFormat="1" applyFont="1" applyFill="1" applyBorder="1" applyAlignment="1">
      <alignment horizontal="right" vertical="center" wrapText="1"/>
    </xf>
    <xf numFmtId="3" fontId="11" fillId="11" borderId="13" xfId="0" applyNumberFormat="1" applyFont="1" applyFill="1" applyBorder="1" applyAlignment="1">
      <alignment horizontal="right" vertical="center"/>
    </xf>
    <xf numFmtId="3" fontId="11" fillId="11" borderId="24" xfId="0" applyNumberFormat="1" applyFont="1" applyFill="1" applyBorder="1" applyAlignment="1">
      <alignment horizontal="right" vertical="center"/>
    </xf>
    <xf numFmtId="3" fontId="11" fillId="11" borderId="23" xfId="1" applyNumberFormat="1" applyFont="1" applyFill="1" applyBorder="1" applyAlignment="1">
      <alignment horizontal="right" vertical="center" wrapText="1"/>
    </xf>
    <xf numFmtId="3" fontId="10" fillId="11" borderId="27" xfId="0" applyNumberFormat="1" applyFont="1" applyFill="1" applyBorder="1" applyAlignment="1">
      <alignment horizontal="right" vertical="center" wrapText="1"/>
    </xf>
    <xf numFmtId="3" fontId="10" fillId="11" borderId="22" xfId="0" applyNumberFormat="1" applyFont="1" applyFill="1" applyBorder="1" applyAlignment="1">
      <alignment horizontal="right" vertical="center" wrapText="1"/>
    </xf>
    <xf numFmtId="3" fontId="10" fillId="0" borderId="62" xfId="1" applyNumberFormat="1" applyBorder="1" applyAlignment="1">
      <alignment vertical="center" wrapText="1"/>
    </xf>
    <xf numFmtId="3" fontId="10" fillId="0" borderId="63" xfId="1" applyNumberFormat="1" applyBorder="1" applyAlignment="1">
      <alignment vertical="center" wrapText="1"/>
    </xf>
    <xf numFmtId="3" fontId="10" fillId="0" borderId="46" xfId="1" applyNumberFormat="1" applyBorder="1" applyAlignment="1">
      <alignment vertical="center" wrapText="1"/>
    </xf>
    <xf numFmtId="3" fontId="10" fillId="0" borderId="68" xfId="1" applyNumberFormat="1" applyBorder="1" applyAlignment="1">
      <alignment vertical="center" wrapText="1"/>
    </xf>
    <xf numFmtId="3" fontId="10" fillId="0" borderId="52" xfId="1" applyNumberFormat="1" applyBorder="1" applyAlignment="1">
      <alignment vertical="center" wrapText="1"/>
    </xf>
    <xf numFmtId="3" fontId="10" fillId="0" borderId="55" xfId="1" applyNumberFormat="1" applyBorder="1" applyAlignment="1">
      <alignment vertical="center" wrapText="1"/>
    </xf>
    <xf numFmtId="3" fontId="10" fillId="0" borderId="56" xfId="1" applyNumberFormat="1" applyBorder="1" applyAlignment="1">
      <alignment vertical="center" wrapText="1"/>
    </xf>
    <xf numFmtId="3" fontId="10" fillId="0" borderId="57" xfId="1" applyNumberFormat="1" applyBorder="1" applyAlignment="1">
      <alignment vertical="center" wrapText="1"/>
    </xf>
    <xf numFmtId="3" fontId="10" fillId="0" borderId="58" xfId="1" applyNumberFormat="1" applyBorder="1" applyAlignment="1">
      <alignment horizontal="right" vertical="center" wrapText="1"/>
    </xf>
    <xf numFmtId="3" fontId="10" fillId="0" borderId="21" xfId="1" applyNumberFormat="1" applyBorder="1" applyAlignment="1">
      <alignment horizontal="right" vertical="center" wrapText="1"/>
    </xf>
    <xf numFmtId="3" fontId="10" fillId="0" borderId="75" xfId="1" applyNumberFormat="1" applyBorder="1" applyAlignment="1">
      <alignment horizontal="right" vertical="center" wrapText="1"/>
    </xf>
    <xf numFmtId="3" fontId="10" fillId="0" borderId="47" xfId="1" applyNumberFormat="1" applyBorder="1" applyAlignment="1">
      <alignment horizontal="right" vertical="center" wrapText="1"/>
    </xf>
    <xf numFmtId="3" fontId="10" fillId="0" borderId="20" xfId="1" applyNumberFormat="1" applyBorder="1" applyAlignment="1">
      <alignment horizontal="right" vertical="center" wrapText="1"/>
    </xf>
    <xf numFmtId="3" fontId="10" fillId="0" borderId="41" xfId="1" applyNumberFormat="1" applyBorder="1" applyAlignment="1">
      <alignment horizontal="right" vertical="center" wrapText="1"/>
    </xf>
    <xf numFmtId="3" fontId="10" fillId="0" borderId="55" xfId="1" applyNumberFormat="1" applyBorder="1" applyAlignment="1">
      <alignment horizontal="right" vertical="center" wrapText="1"/>
    </xf>
    <xf numFmtId="3" fontId="10" fillId="0" borderId="56" xfId="1" applyNumberFormat="1" applyBorder="1" applyAlignment="1">
      <alignment horizontal="right" vertical="center" wrapText="1"/>
    </xf>
    <xf numFmtId="3" fontId="10" fillId="0" borderId="57" xfId="1" applyNumberFormat="1" applyBorder="1" applyAlignment="1">
      <alignment horizontal="right" vertical="center" wrapText="1"/>
    </xf>
    <xf numFmtId="0" fontId="10" fillId="0" borderId="31" xfId="1" applyBorder="1" applyAlignment="1">
      <alignment horizontal="center" vertical="center" wrapText="1"/>
    </xf>
    <xf numFmtId="3" fontId="10" fillId="0" borderId="59" xfId="1" applyNumberFormat="1" applyBorder="1" applyAlignment="1">
      <alignment horizontal="right" vertical="center" wrapText="1"/>
    </xf>
    <xf numFmtId="3" fontId="10" fillId="0" borderId="48" xfId="1" applyNumberFormat="1" applyBorder="1" applyAlignment="1">
      <alignment horizontal="right" vertical="center" wrapText="1"/>
    </xf>
    <xf numFmtId="3" fontId="10" fillId="0" borderId="17" xfId="1" applyNumberFormat="1" applyBorder="1" applyAlignment="1">
      <alignment horizontal="right" vertical="center" wrapText="1"/>
    </xf>
    <xf numFmtId="3" fontId="10" fillId="0" borderId="52" xfId="1" applyNumberFormat="1" applyBorder="1" applyAlignment="1">
      <alignment horizontal="center" vertical="center" wrapText="1"/>
    </xf>
    <xf numFmtId="3" fontId="10" fillId="0" borderId="58" xfId="1" applyNumberFormat="1" applyBorder="1" applyAlignment="1">
      <alignment vertical="center" wrapText="1"/>
    </xf>
    <xf numFmtId="3" fontId="10" fillId="0" borderId="21" xfId="1" applyNumberFormat="1" applyBorder="1" applyAlignment="1">
      <alignment vertical="center" wrapText="1"/>
    </xf>
    <xf numFmtId="3" fontId="10" fillId="0" borderId="75" xfId="1" applyNumberFormat="1" applyBorder="1" applyAlignment="1">
      <alignment vertical="center" wrapText="1"/>
    </xf>
    <xf numFmtId="3" fontId="10" fillId="0" borderId="47" xfId="1" applyNumberFormat="1" applyBorder="1" applyAlignment="1">
      <alignment vertical="center" wrapText="1"/>
    </xf>
    <xf numFmtId="3" fontId="10" fillId="0" borderId="41" xfId="1" applyNumberFormat="1" applyBorder="1" applyAlignment="1">
      <alignment vertical="center" wrapText="1"/>
    </xf>
    <xf numFmtId="3" fontId="10" fillId="0" borderId="59" xfId="1" applyNumberFormat="1" applyBorder="1" applyAlignment="1">
      <alignment vertical="center" wrapText="1"/>
    </xf>
    <xf numFmtId="3" fontId="10" fillId="0" borderId="17" xfId="1" applyNumberFormat="1" applyBorder="1" applyAlignment="1">
      <alignment vertical="center" wrapText="1"/>
    </xf>
    <xf numFmtId="3" fontId="10" fillId="0" borderId="63" xfId="1" applyNumberFormat="1" applyBorder="1" applyAlignment="1">
      <alignment horizontal="right" vertical="center" wrapText="1"/>
    </xf>
    <xf numFmtId="0" fontId="10" fillId="0" borderId="15" xfId="1" applyBorder="1" applyAlignment="1">
      <alignment horizontal="center" vertical="center" wrapText="1"/>
    </xf>
    <xf numFmtId="3" fontId="10" fillId="0" borderId="68" xfId="1" applyNumberFormat="1" applyBorder="1" applyAlignment="1">
      <alignment horizontal="right" vertical="center" wrapText="1"/>
    </xf>
    <xf numFmtId="3" fontId="10" fillId="0" borderId="69" xfId="1" applyNumberFormat="1" applyBorder="1" applyAlignment="1">
      <alignment horizontal="right" vertical="center" wrapText="1"/>
    </xf>
    <xf numFmtId="3" fontId="10" fillId="0" borderId="52" xfId="1" applyNumberFormat="1" applyBorder="1" applyAlignment="1">
      <alignment horizontal="right" vertical="center" wrapText="1"/>
    </xf>
    <xf numFmtId="0" fontId="10" fillId="0" borderId="12" xfId="1" applyBorder="1" applyAlignment="1">
      <alignment horizontal="center" vertical="center" wrapText="1"/>
    </xf>
    <xf numFmtId="3" fontId="10" fillId="0" borderId="31" xfId="1" applyNumberFormat="1" applyBorder="1" applyAlignment="1">
      <alignment horizontal="right" vertical="center" wrapText="1"/>
    </xf>
    <xf numFmtId="3" fontId="10" fillId="0" borderId="62" xfId="1" applyNumberFormat="1" applyBorder="1" applyAlignment="1">
      <alignment horizontal="right" vertical="center" wrapText="1"/>
    </xf>
    <xf numFmtId="3" fontId="10" fillId="0" borderId="46" xfId="1" applyNumberFormat="1" applyBorder="1" applyAlignment="1">
      <alignment horizontal="right" vertical="center" wrapText="1"/>
    </xf>
    <xf numFmtId="3" fontId="15" fillId="7" borderId="21" xfId="1" applyNumberFormat="1" applyFont="1" applyFill="1" applyBorder="1" applyAlignment="1">
      <alignment vertical="center" wrapText="1"/>
    </xf>
    <xf numFmtId="3" fontId="15" fillId="13" borderId="26" xfId="0" applyNumberFormat="1" applyFont="1" applyFill="1" applyBorder="1" applyAlignment="1">
      <alignment horizontal="right" vertical="center"/>
    </xf>
    <xf numFmtId="3" fontId="16" fillId="13" borderId="26" xfId="0" applyNumberFormat="1" applyFont="1" applyFill="1" applyBorder="1" applyAlignment="1">
      <alignment horizontal="right" vertical="center" wrapText="1"/>
    </xf>
    <xf numFmtId="3" fontId="10" fillId="0" borderId="3" xfId="0" applyNumberFormat="1" applyFont="1" applyBorder="1" applyAlignment="1">
      <alignment horizontal="right" vertical="center" wrapText="1"/>
    </xf>
    <xf numFmtId="3" fontId="10" fillId="0" borderId="67" xfId="0" applyNumberFormat="1" applyFont="1" applyBorder="1" applyAlignment="1">
      <alignment horizontal="right" vertical="center" wrapText="1"/>
    </xf>
    <xf numFmtId="3" fontId="10" fillId="0" borderId="60" xfId="0" applyNumberFormat="1" applyFont="1" applyBorder="1" applyAlignment="1">
      <alignment horizontal="right" vertical="center" wrapText="1"/>
    </xf>
    <xf numFmtId="3" fontId="10" fillId="0" borderId="11" xfId="0" applyNumberFormat="1" applyFont="1" applyBorder="1" applyAlignment="1">
      <alignment horizontal="right" vertical="center" wrapText="1"/>
    </xf>
    <xf numFmtId="3" fontId="10" fillId="0" borderId="68" xfId="1" applyNumberFormat="1" applyBorder="1" applyAlignment="1">
      <alignment vertical="center"/>
    </xf>
    <xf numFmtId="3" fontId="10" fillId="0" borderId="69" xfId="1" applyNumberFormat="1" applyBorder="1" applyAlignment="1">
      <alignment vertical="center"/>
    </xf>
    <xf numFmtId="3" fontId="10" fillId="0" borderId="52" xfId="1" applyNumberFormat="1" applyBorder="1" applyAlignment="1">
      <alignment vertical="center"/>
    </xf>
    <xf numFmtId="0" fontId="10" fillId="0" borderId="14" xfId="1" applyBorder="1" applyAlignment="1">
      <alignment horizontal="center" vertical="center"/>
    </xf>
    <xf numFmtId="49" fontId="11" fillId="0" borderId="18" xfId="0" applyNumberFormat="1" applyFont="1" applyBorder="1" applyAlignment="1">
      <alignment horizontal="center" vertical="center" shrinkToFit="1"/>
    </xf>
    <xf numFmtId="4" fontId="10" fillId="0" borderId="13" xfId="1" applyNumberFormat="1" applyBorder="1" applyAlignment="1">
      <alignment horizontal="center" vertical="center" wrapText="1"/>
    </xf>
    <xf numFmtId="3" fontId="10" fillId="0" borderId="59" xfId="1" applyNumberFormat="1" applyBorder="1" applyAlignment="1">
      <alignment vertical="center"/>
    </xf>
    <xf numFmtId="3" fontId="10" fillId="0" borderId="48" xfId="1" applyNumberFormat="1" applyBorder="1" applyAlignment="1">
      <alignment vertical="center"/>
    </xf>
    <xf numFmtId="3" fontId="10" fillId="0" borderId="17" xfId="1" applyNumberFormat="1" applyBorder="1" applyAlignment="1">
      <alignment vertical="center"/>
    </xf>
    <xf numFmtId="4" fontId="10" fillId="0" borderId="13" xfId="1" applyNumberFormat="1" applyBorder="1" applyAlignment="1">
      <alignment horizontal="center" vertical="center"/>
    </xf>
    <xf numFmtId="3" fontId="10" fillId="0" borderId="47" xfId="1" applyNumberFormat="1" applyBorder="1" applyAlignment="1">
      <alignment vertical="center"/>
    </xf>
    <xf numFmtId="3" fontId="10" fillId="0" borderId="20" xfId="1" applyNumberFormat="1" applyBorder="1" applyAlignment="1">
      <alignment vertical="center"/>
    </xf>
    <xf numFmtId="3" fontId="10" fillId="0" borderId="41" xfId="1" applyNumberFormat="1" applyBorder="1" applyAlignment="1">
      <alignment vertical="center"/>
    </xf>
    <xf numFmtId="3" fontId="10" fillId="0" borderId="64" xfId="1" applyNumberFormat="1" applyBorder="1" applyAlignment="1">
      <alignment vertical="center"/>
    </xf>
    <xf numFmtId="3" fontId="10" fillId="0" borderId="65" xfId="1" applyNumberFormat="1" applyBorder="1" applyAlignment="1">
      <alignment vertical="center"/>
    </xf>
    <xf numFmtId="3" fontId="10" fillId="0" borderId="66" xfId="1" applyNumberFormat="1" applyBorder="1" applyAlignment="1">
      <alignment vertical="center"/>
    </xf>
    <xf numFmtId="3" fontId="10" fillId="0" borderId="49" xfId="1" applyNumberFormat="1" applyBorder="1" applyAlignment="1">
      <alignment vertical="center"/>
    </xf>
    <xf numFmtId="3" fontId="10" fillId="0" borderId="43" xfId="1" applyNumberFormat="1" applyBorder="1" applyAlignment="1">
      <alignment vertical="center"/>
    </xf>
    <xf numFmtId="3" fontId="10" fillId="0" borderId="76" xfId="1" applyNumberFormat="1" applyBorder="1" applyAlignment="1">
      <alignment vertical="center"/>
    </xf>
    <xf numFmtId="3" fontId="10" fillId="0" borderId="58" xfId="1" applyNumberFormat="1" applyBorder="1" applyAlignment="1">
      <alignment vertical="center"/>
    </xf>
    <xf numFmtId="3" fontId="10" fillId="0" borderId="21" xfId="1" applyNumberFormat="1" applyBorder="1" applyAlignment="1">
      <alignment vertical="center"/>
    </xf>
    <xf numFmtId="3" fontId="10" fillId="0" borderId="75" xfId="1" applyNumberFormat="1" applyBorder="1" applyAlignment="1">
      <alignment vertical="center"/>
    </xf>
    <xf numFmtId="0" fontId="10" fillId="0" borderId="23" xfId="1" applyBorder="1" applyAlignment="1">
      <alignment horizontal="center" vertical="center"/>
    </xf>
    <xf numFmtId="3" fontId="10" fillId="0" borderId="15" xfId="1" applyNumberFormat="1" applyBorder="1" applyAlignment="1">
      <alignment horizontal="center" vertical="center" wrapText="1"/>
    </xf>
    <xf numFmtId="3" fontId="10" fillId="0" borderId="59" xfId="1" applyNumberFormat="1" applyBorder="1" applyAlignment="1">
      <alignment horizontal="center" vertical="center" wrapText="1"/>
    </xf>
    <xf numFmtId="3" fontId="10" fillId="0" borderId="48" xfId="1" applyNumberFormat="1" applyBorder="1" applyAlignment="1">
      <alignment horizontal="center" vertical="center" wrapText="1"/>
    </xf>
    <xf numFmtId="3" fontId="10" fillId="0" borderId="17" xfId="1" applyNumberFormat="1" applyBorder="1" applyAlignment="1">
      <alignment horizontal="center" vertical="center" wrapText="1"/>
    </xf>
    <xf numFmtId="0" fontId="10" fillId="0" borderId="4" xfId="1" applyBorder="1" applyAlignment="1">
      <alignment horizontal="center" vertical="center" wrapText="1"/>
    </xf>
    <xf numFmtId="3" fontId="10" fillId="0" borderId="54" xfId="1" applyNumberFormat="1" applyBorder="1" applyAlignment="1">
      <alignment vertical="center" wrapText="1"/>
    </xf>
    <xf numFmtId="3" fontId="10" fillId="0" borderId="6" xfId="1" applyNumberFormat="1" applyBorder="1" applyAlignment="1">
      <alignment vertical="center" wrapText="1"/>
    </xf>
    <xf numFmtId="3" fontId="10" fillId="0" borderId="32" xfId="1" applyNumberFormat="1" applyBorder="1" applyAlignment="1">
      <alignment vertical="center" wrapText="1"/>
    </xf>
    <xf numFmtId="3" fontId="10" fillId="0" borderId="45" xfId="1" applyNumberFormat="1" applyBorder="1" applyAlignment="1">
      <alignment vertical="center" wrapText="1"/>
    </xf>
    <xf numFmtId="3" fontId="10" fillId="0" borderId="16" xfId="1" applyNumberFormat="1" applyBorder="1" applyAlignment="1">
      <alignment vertical="center" wrapText="1"/>
    </xf>
    <xf numFmtId="3" fontId="10" fillId="0" borderId="24" xfId="1" applyNumberFormat="1" applyBorder="1" applyAlignment="1">
      <alignment vertical="center" wrapText="1"/>
    </xf>
    <xf numFmtId="49" fontId="10" fillId="0" borderId="4" xfId="1" applyNumberFormat="1" applyBorder="1" applyAlignment="1">
      <alignment horizontal="center" vertical="center" wrapText="1"/>
    </xf>
    <xf numFmtId="49" fontId="10" fillId="0" borderId="30" xfId="1" applyNumberFormat="1" applyBorder="1" applyAlignment="1">
      <alignment horizontal="center" vertical="center" wrapText="1"/>
    </xf>
    <xf numFmtId="3" fontId="10" fillId="0" borderId="5" xfId="1" applyNumberFormat="1" applyBorder="1" applyAlignment="1">
      <alignment vertical="center" wrapText="1"/>
    </xf>
    <xf numFmtId="3" fontId="10" fillId="0" borderId="50" xfId="1" applyNumberFormat="1" applyBorder="1" applyAlignment="1">
      <alignment vertical="center" wrapText="1"/>
    </xf>
    <xf numFmtId="3" fontId="10" fillId="0" borderId="8" xfId="1" applyNumberFormat="1" applyBorder="1" applyAlignment="1">
      <alignment vertical="center" wrapText="1"/>
    </xf>
    <xf numFmtId="3" fontId="11" fillId="11" borderId="2" xfId="1" applyNumberFormat="1" applyFont="1" applyFill="1" applyBorder="1" applyAlignment="1">
      <alignment horizontal="right" vertical="center" wrapText="1"/>
    </xf>
    <xf numFmtId="3" fontId="10" fillId="0" borderId="50" xfId="0" applyNumberFormat="1" applyFont="1" applyBorder="1" applyAlignment="1">
      <alignment horizontal="right" vertical="center" wrapText="1"/>
    </xf>
    <xf numFmtId="0" fontId="12" fillId="0" borderId="13" xfId="0" applyFont="1" applyBorder="1" applyAlignment="1">
      <alignment horizontal="center" vertical="center" wrapText="1"/>
    </xf>
    <xf numFmtId="3" fontId="11" fillId="11" borderId="13" xfId="1" applyNumberFormat="1" applyFont="1" applyFill="1" applyBorder="1" applyAlignment="1">
      <alignment horizontal="right" vertical="center" wrapText="1"/>
    </xf>
    <xf numFmtId="0" fontId="30" fillId="0" borderId="45" xfId="0" applyFont="1" applyBorder="1" applyAlignment="1">
      <alignment horizontal="center" vertical="center" wrapText="1"/>
    </xf>
    <xf numFmtId="0" fontId="30" fillId="0" borderId="2" xfId="0" applyFont="1" applyBorder="1" applyAlignment="1">
      <alignment horizontal="center"/>
    </xf>
    <xf numFmtId="0" fontId="30" fillId="0" borderId="26" xfId="0" applyFont="1" applyBorder="1" applyAlignment="1">
      <alignment horizontal="center"/>
    </xf>
    <xf numFmtId="3" fontId="10" fillId="0" borderId="53" xfId="1" applyNumberFormat="1" applyBorder="1" applyAlignment="1">
      <alignment horizontal="right" vertical="center" wrapText="1"/>
    </xf>
    <xf numFmtId="0" fontId="15" fillId="0" borderId="78" xfId="0" applyFont="1" applyBorder="1" applyAlignment="1">
      <alignment horizontal="right" vertical="center" wrapText="1"/>
    </xf>
    <xf numFmtId="1" fontId="15" fillId="0" borderId="79" xfId="0" applyNumberFormat="1" applyFont="1" applyBorder="1" applyAlignment="1">
      <alignment horizontal="right" vertical="center" wrapText="1"/>
    </xf>
    <xf numFmtId="0" fontId="15" fillId="0" borderId="80" xfId="0" applyFont="1" applyBorder="1" applyAlignment="1">
      <alignment horizontal="right" vertical="center" wrapText="1"/>
    </xf>
    <xf numFmtId="1" fontId="16" fillId="11" borderId="2" xfId="0" applyNumberFormat="1" applyFont="1" applyFill="1" applyBorder="1" applyAlignment="1">
      <alignment horizontal="right" vertical="center" wrapText="1"/>
    </xf>
    <xf numFmtId="0" fontId="15" fillId="0" borderId="2" xfId="0" applyFont="1" applyBorder="1" applyAlignment="1">
      <alignment horizontal="right" vertical="center" wrapText="1"/>
    </xf>
    <xf numFmtId="0" fontId="15" fillId="0" borderId="79" xfId="0" applyFont="1" applyBorder="1" applyAlignment="1">
      <alignment horizontal="right" vertical="center" wrapText="1"/>
    </xf>
    <xf numFmtId="0" fontId="15" fillId="0" borderId="81" xfId="0" applyFont="1" applyBorder="1" applyAlignment="1">
      <alignment horizontal="right" vertical="center" wrapText="1"/>
    </xf>
    <xf numFmtId="0" fontId="10" fillId="0" borderId="3" xfId="1" applyBorder="1" applyAlignment="1">
      <alignment horizontal="center" vertical="center" wrapText="1"/>
    </xf>
    <xf numFmtId="0" fontId="30" fillId="0" borderId="33" xfId="0" applyFont="1" applyBorder="1" applyAlignment="1">
      <alignment horizontal="center"/>
    </xf>
    <xf numFmtId="49" fontId="11" fillId="2" borderId="26" xfId="0" applyNumberFormat="1" applyFont="1" applyFill="1" applyBorder="1" applyAlignment="1">
      <alignment horizontal="center" vertical="center" wrapText="1"/>
    </xf>
    <xf numFmtId="49" fontId="11" fillId="2" borderId="26" xfId="0" applyNumberFormat="1" applyFont="1" applyFill="1" applyBorder="1" applyAlignment="1">
      <alignment horizontal="center" vertical="center" wrapText="1" shrinkToFit="1"/>
    </xf>
    <xf numFmtId="0" fontId="12" fillId="2" borderId="31" xfId="0" applyFont="1" applyFill="1" applyBorder="1" applyAlignment="1">
      <alignment horizontal="center" vertical="center" wrapText="1"/>
    </xf>
    <xf numFmtId="0" fontId="10" fillId="2" borderId="26" xfId="1" applyFill="1" applyBorder="1" applyAlignment="1">
      <alignment horizontal="center" vertical="center" wrapText="1"/>
    </xf>
    <xf numFmtId="3" fontId="10" fillId="2" borderId="58" xfId="1" applyNumberFormat="1" applyFill="1" applyBorder="1" applyAlignment="1">
      <alignment vertical="center" wrapText="1"/>
    </xf>
    <xf numFmtId="3" fontId="10" fillId="2" borderId="21" xfId="1" applyNumberFormat="1" applyFill="1" applyBorder="1" applyAlignment="1">
      <alignment vertical="center" wrapText="1"/>
    </xf>
    <xf numFmtId="3" fontId="10" fillId="2" borderId="75" xfId="1" applyNumberFormat="1" applyFill="1" applyBorder="1" applyAlignment="1">
      <alignment vertical="center" wrapText="1"/>
    </xf>
    <xf numFmtId="3" fontId="10" fillId="2" borderId="41" xfId="0" applyNumberFormat="1" applyFont="1" applyFill="1" applyBorder="1" applyAlignment="1">
      <alignment vertical="center" wrapText="1"/>
    </xf>
    <xf numFmtId="3" fontId="11" fillId="2" borderId="23" xfId="0" applyNumberFormat="1" applyFont="1" applyFill="1" applyBorder="1" applyAlignment="1">
      <alignment horizontal="right" vertical="center" wrapText="1"/>
    </xf>
    <xf numFmtId="3" fontId="11" fillId="2" borderId="26" xfId="0" applyNumberFormat="1" applyFont="1" applyFill="1" applyBorder="1" applyAlignment="1">
      <alignment horizontal="right" vertical="center" wrapText="1"/>
    </xf>
    <xf numFmtId="3" fontId="10" fillId="2" borderId="47" xfId="0" applyNumberFormat="1" applyFont="1" applyFill="1" applyBorder="1" applyAlignment="1">
      <alignment horizontal="right" vertical="center" wrapText="1"/>
    </xf>
    <xf numFmtId="3" fontId="10" fillId="2" borderId="44" xfId="0" applyNumberFormat="1" applyFont="1" applyFill="1" applyBorder="1" applyAlignment="1">
      <alignment horizontal="right" vertical="center" wrapText="1"/>
    </xf>
    <xf numFmtId="3" fontId="10" fillId="2" borderId="36" xfId="0" applyNumberFormat="1" applyFont="1" applyFill="1" applyBorder="1" applyAlignment="1">
      <alignment horizontal="right" vertical="center" wrapText="1"/>
    </xf>
    <xf numFmtId="3" fontId="10" fillId="2" borderId="32" xfId="0" applyNumberFormat="1" applyFont="1" applyFill="1" applyBorder="1" applyAlignment="1">
      <alignment horizontal="right" vertical="center" wrapText="1"/>
    </xf>
    <xf numFmtId="49" fontId="10" fillId="2" borderId="31" xfId="0" applyNumberFormat="1" applyFont="1" applyFill="1" applyBorder="1" applyAlignment="1">
      <alignment horizontal="center" vertical="center"/>
    </xf>
    <xf numFmtId="49" fontId="10" fillId="2" borderId="25" xfId="0" applyNumberFormat="1" applyFont="1" applyFill="1" applyBorder="1" applyAlignment="1">
      <alignment horizontal="center" vertical="center"/>
    </xf>
    <xf numFmtId="0" fontId="10" fillId="2" borderId="27" xfId="1" applyFill="1" applyBorder="1" applyAlignment="1">
      <alignment horizontal="center" vertical="center" wrapText="1"/>
    </xf>
    <xf numFmtId="49" fontId="11" fillId="4" borderId="26" xfId="0" applyNumberFormat="1" applyFont="1" applyFill="1" applyBorder="1" applyAlignment="1">
      <alignment horizontal="center" vertical="center" wrapText="1"/>
    </xf>
    <xf numFmtId="0" fontId="10" fillId="4" borderId="26" xfId="1" applyFill="1" applyBorder="1" applyAlignment="1">
      <alignment horizontal="center" vertical="center" wrapText="1"/>
    </xf>
    <xf numFmtId="3" fontId="10" fillId="4" borderId="26" xfId="0" applyNumberFormat="1" applyFont="1" applyFill="1" applyBorder="1" applyAlignment="1">
      <alignment horizontal="right" vertical="center" wrapText="1"/>
    </xf>
    <xf numFmtId="3" fontId="11" fillId="4" borderId="26" xfId="0" applyNumberFormat="1" applyFont="1" applyFill="1" applyBorder="1" applyAlignment="1">
      <alignment horizontal="right" vertical="center" wrapText="1"/>
    </xf>
    <xf numFmtId="3" fontId="10" fillId="4" borderId="47" xfId="0" applyNumberFormat="1" applyFont="1" applyFill="1" applyBorder="1" applyAlignment="1">
      <alignment horizontal="right" vertical="center" wrapText="1"/>
    </xf>
    <xf numFmtId="3" fontId="10" fillId="4" borderId="36" xfId="0" applyNumberFormat="1" applyFont="1" applyFill="1" applyBorder="1" applyAlignment="1">
      <alignment horizontal="right" vertical="center" wrapText="1"/>
    </xf>
    <xf numFmtId="49" fontId="10" fillId="4" borderId="31" xfId="0" applyNumberFormat="1" applyFont="1" applyFill="1" applyBorder="1" applyAlignment="1">
      <alignment horizontal="center" vertical="center"/>
    </xf>
    <xf numFmtId="49" fontId="14" fillId="0" borderId="23" xfId="0" applyNumberFormat="1" applyFont="1" applyBorder="1" applyAlignment="1">
      <alignment horizontal="center" vertical="center" wrapText="1"/>
    </xf>
    <xf numFmtId="49" fontId="14" fillId="0" borderId="25" xfId="0" applyNumberFormat="1" applyFont="1" applyBorder="1" applyAlignment="1">
      <alignment horizontal="center" vertical="center" wrapText="1" shrinkToFit="1"/>
    </xf>
    <xf numFmtId="0" fontId="54" fillId="0" borderId="23" xfId="1" applyFont="1" applyBorder="1" applyAlignment="1">
      <alignment horizontal="center" vertical="center" wrapText="1"/>
    </xf>
    <xf numFmtId="0" fontId="13" fillId="0" borderId="23" xfId="1" applyFont="1" applyBorder="1" applyAlignment="1">
      <alignment horizontal="center" vertical="center" wrapText="1"/>
    </xf>
    <xf numFmtId="3" fontId="14" fillId="0" borderId="20" xfId="1" applyNumberFormat="1" applyFont="1" applyBorder="1" applyAlignment="1">
      <alignment vertical="center" wrapText="1"/>
    </xf>
    <xf numFmtId="3" fontId="14" fillId="0" borderId="25" xfId="1" applyNumberFormat="1" applyFont="1" applyBorder="1" applyAlignment="1">
      <alignment vertical="center" wrapText="1"/>
    </xf>
    <xf numFmtId="3" fontId="13" fillId="0" borderId="58" xfId="1" applyNumberFormat="1" applyFont="1" applyBorder="1" applyAlignment="1">
      <alignment vertical="center" wrapText="1"/>
    </xf>
    <xf numFmtId="3" fontId="13" fillId="0" borderId="21" xfId="1" applyNumberFormat="1" applyFont="1" applyBorder="1" applyAlignment="1">
      <alignment vertical="center" wrapText="1"/>
    </xf>
    <xf numFmtId="3" fontId="13" fillId="0" borderId="75" xfId="1" applyNumberFormat="1" applyFont="1" applyBorder="1" applyAlignment="1">
      <alignment vertical="center" wrapText="1"/>
    </xf>
    <xf numFmtId="3" fontId="13" fillId="11" borderId="23" xfId="0" applyNumberFormat="1" applyFont="1" applyFill="1" applyBorder="1" applyAlignment="1">
      <alignment horizontal="right" vertical="center" wrapText="1"/>
    </xf>
    <xf numFmtId="3" fontId="14" fillId="3" borderId="21" xfId="0" applyNumberFormat="1" applyFont="1" applyFill="1" applyBorder="1" applyAlignment="1">
      <alignment horizontal="right" vertical="center" wrapText="1"/>
    </xf>
    <xf numFmtId="3" fontId="14" fillId="11" borderId="23" xfId="0" applyNumberFormat="1" applyFont="1" applyFill="1" applyBorder="1" applyAlignment="1">
      <alignment horizontal="right" vertical="center" wrapText="1"/>
    </xf>
    <xf numFmtId="3" fontId="13" fillId="0" borderId="58" xfId="0" applyNumberFormat="1" applyFont="1" applyBorder="1" applyAlignment="1">
      <alignment vertical="center" wrapText="1"/>
    </xf>
    <xf numFmtId="3" fontId="13" fillId="0" borderId="58" xfId="0" applyNumberFormat="1" applyFont="1" applyBorder="1" applyAlignment="1">
      <alignment horizontal="right" vertical="center" wrapText="1"/>
    </xf>
    <xf numFmtId="3" fontId="13" fillId="0" borderId="44" xfId="0" applyNumberFormat="1" applyFont="1" applyBorder="1" applyAlignment="1">
      <alignment horizontal="right" vertical="center" wrapText="1"/>
    </xf>
    <xf numFmtId="49" fontId="13" fillId="0" borderId="24" xfId="0" applyNumberFormat="1" applyFont="1" applyBorder="1" applyAlignment="1">
      <alignment horizontal="center" vertical="center" wrapText="1"/>
    </xf>
    <xf numFmtId="0" fontId="13" fillId="0" borderId="27" xfId="1" applyFont="1" applyBorder="1" applyAlignment="1">
      <alignment horizontal="center" vertical="center" wrapText="1"/>
    </xf>
    <xf numFmtId="49" fontId="11" fillId="2" borderId="31" xfId="0" applyNumberFormat="1" applyFont="1" applyFill="1" applyBorder="1" applyAlignment="1">
      <alignment horizontal="center" vertical="center" wrapText="1" shrinkToFit="1"/>
    </xf>
    <xf numFmtId="0" fontId="12" fillId="2" borderId="26" xfId="1" applyFont="1" applyFill="1" applyBorder="1" applyAlignment="1">
      <alignment horizontal="center" vertical="center" wrapText="1"/>
    </xf>
    <xf numFmtId="3" fontId="10" fillId="2" borderId="26" xfId="0" applyNumberFormat="1" applyFont="1" applyFill="1" applyBorder="1" applyAlignment="1">
      <alignment horizontal="right" vertical="center" wrapText="1"/>
    </xf>
    <xf numFmtId="3" fontId="11" fillId="2" borderId="20" xfId="0" applyNumberFormat="1" applyFont="1" applyFill="1" applyBorder="1" applyAlignment="1">
      <alignment horizontal="right" vertical="center" wrapText="1"/>
    </xf>
    <xf numFmtId="3" fontId="10" fillId="2" borderId="20" xfId="0" applyNumberFormat="1" applyFont="1" applyFill="1" applyBorder="1" applyAlignment="1">
      <alignment horizontal="right" vertical="center" wrapText="1"/>
    </xf>
    <xf numFmtId="0" fontId="10" fillId="2" borderId="37" xfId="1" applyFill="1" applyBorder="1" applyAlignment="1">
      <alignment horizontal="center" vertical="center" wrapText="1"/>
    </xf>
    <xf numFmtId="49" fontId="10" fillId="0" borderId="24" xfId="0" applyNumberFormat="1" applyFont="1" applyBorder="1" applyAlignment="1">
      <alignment horizontal="center" vertical="center" wrapText="1"/>
    </xf>
    <xf numFmtId="3" fontId="13" fillId="0" borderId="24" xfId="1" applyNumberFormat="1" applyFont="1" applyBorder="1" applyAlignment="1">
      <alignment vertical="center" wrapText="1"/>
    </xf>
    <xf numFmtId="3" fontId="13" fillId="0" borderId="24" xfId="0" applyNumberFormat="1" applyFont="1" applyBorder="1" applyAlignment="1">
      <alignment vertical="center" wrapText="1"/>
    </xf>
    <xf numFmtId="3" fontId="14" fillId="3" borderId="27" xfId="0" applyNumberFormat="1" applyFont="1" applyFill="1" applyBorder="1" applyAlignment="1">
      <alignment horizontal="right" vertical="center" wrapText="1"/>
    </xf>
    <xf numFmtId="3" fontId="13" fillId="0" borderId="2" xfId="0" applyNumberFormat="1" applyFont="1" applyBorder="1" applyAlignment="1">
      <alignment vertical="center" wrapText="1"/>
    </xf>
    <xf numFmtId="49" fontId="14" fillId="0" borderId="26" xfId="0" applyNumberFormat="1" applyFont="1" applyBorder="1" applyAlignment="1">
      <alignment horizontal="center" vertical="center" wrapText="1"/>
    </xf>
    <xf numFmtId="49" fontId="14" fillId="0" borderId="31" xfId="0" applyNumberFormat="1" applyFont="1" applyBorder="1" applyAlignment="1">
      <alignment horizontal="center" vertical="center" wrapText="1" shrinkToFit="1"/>
    </xf>
    <xf numFmtId="0" fontId="54" fillId="0" borderId="26" xfId="1" applyFont="1" applyBorder="1" applyAlignment="1">
      <alignment horizontal="center" vertical="center" wrapText="1"/>
    </xf>
    <xf numFmtId="0" fontId="13" fillId="0" borderId="26" xfId="1" applyFont="1" applyBorder="1" applyAlignment="1">
      <alignment horizontal="center" vertical="center" wrapText="1"/>
    </xf>
    <xf numFmtId="3" fontId="14" fillId="0" borderId="31" xfId="1" applyNumberFormat="1" applyFont="1" applyBorder="1" applyAlignment="1">
      <alignment vertical="center" wrapText="1"/>
    </xf>
    <xf numFmtId="3" fontId="13" fillId="0" borderId="47" xfId="1" applyNumberFormat="1" applyFont="1" applyBorder="1" applyAlignment="1">
      <alignment vertical="center" wrapText="1"/>
    </xf>
    <xf numFmtId="3" fontId="13" fillId="0" borderId="20" xfId="1" applyNumberFormat="1" applyFont="1" applyBorder="1" applyAlignment="1">
      <alignment vertical="center" wrapText="1"/>
    </xf>
    <xf numFmtId="3" fontId="13" fillId="0" borderId="32" xfId="1" applyNumberFormat="1" applyFont="1" applyBorder="1" applyAlignment="1">
      <alignment vertical="center" wrapText="1"/>
    </xf>
    <xf numFmtId="3" fontId="13" fillId="0" borderId="47" xfId="0" applyNumberFormat="1" applyFont="1" applyBorder="1" applyAlignment="1">
      <alignment vertical="center" wrapText="1"/>
    </xf>
    <xf numFmtId="3" fontId="13" fillId="11" borderId="26" xfId="0" applyNumberFormat="1" applyFont="1" applyFill="1" applyBorder="1" applyAlignment="1">
      <alignment horizontal="right" vertical="center" wrapText="1"/>
    </xf>
    <xf numFmtId="3" fontId="14" fillId="3" borderId="37" xfId="0" applyNumberFormat="1" applyFont="1" applyFill="1" applyBorder="1" applyAlignment="1">
      <alignment horizontal="right" vertical="center" wrapText="1"/>
    </xf>
    <xf numFmtId="3" fontId="14" fillId="11" borderId="26" xfId="0" applyNumberFormat="1" applyFont="1" applyFill="1" applyBorder="1" applyAlignment="1">
      <alignment horizontal="right" vertical="center" wrapText="1"/>
    </xf>
    <xf numFmtId="3" fontId="13" fillId="0" borderId="26" xfId="0" applyNumberFormat="1" applyFont="1" applyBorder="1" applyAlignment="1">
      <alignment vertical="center" wrapText="1"/>
    </xf>
    <xf numFmtId="3" fontId="13" fillId="0" borderId="37" xfId="1" applyNumberFormat="1" applyFont="1" applyBorder="1" applyAlignment="1">
      <alignment vertical="center" wrapText="1"/>
    </xf>
    <xf numFmtId="3" fontId="13" fillId="0" borderId="47" xfId="0" applyNumberFormat="1" applyFont="1" applyBorder="1" applyAlignment="1">
      <alignment horizontal="right" vertical="center" wrapText="1"/>
    </xf>
    <xf numFmtId="3" fontId="13" fillId="0" borderId="36" xfId="0" applyNumberFormat="1" applyFont="1" applyBorder="1" applyAlignment="1">
      <alignment horizontal="right" vertical="center" wrapText="1"/>
    </xf>
    <xf numFmtId="3" fontId="13" fillId="0" borderId="32" xfId="0" applyNumberFormat="1" applyFont="1" applyBorder="1" applyAlignment="1">
      <alignment horizontal="right" vertical="center" wrapText="1"/>
    </xf>
    <xf numFmtId="49" fontId="11" fillId="2" borderId="13" xfId="0" applyNumberFormat="1" applyFont="1" applyFill="1" applyBorder="1" applyAlignment="1">
      <alignment horizontal="center" vertical="center" wrapText="1"/>
    </xf>
    <xf numFmtId="49" fontId="11" fillId="2" borderId="15" xfId="0" applyNumberFormat="1" applyFont="1" applyFill="1" applyBorder="1" applyAlignment="1">
      <alignment horizontal="center" vertical="center" wrapText="1" shrinkToFit="1"/>
    </xf>
    <xf numFmtId="0" fontId="12" fillId="2" borderId="13" xfId="1" applyFont="1" applyFill="1" applyBorder="1" applyAlignment="1">
      <alignment horizontal="center" vertical="center" wrapText="1"/>
    </xf>
    <xf numFmtId="0" fontId="10" fillId="2" borderId="13" xfId="1" applyFill="1" applyBorder="1" applyAlignment="1">
      <alignment horizontal="center" vertical="center" wrapText="1"/>
    </xf>
    <xf numFmtId="3" fontId="10" fillId="2" borderId="59" xfId="1" applyNumberFormat="1" applyFill="1" applyBorder="1" applyAlignment="1">
      <alignment vertical="center" wrapText="1"/>
    </xf>
    <xf numFmtId="3" fontId="10" fillId="2" borderId="48" xfId="1" applyNumberFormat="1" applyFill="1" applyBorder="1" applyAlignment="1">
      <alignment vertical="center" wrapText="1"/>
    </xf>
    <xf numFmtId="3" fontId="10" fillId="2" borderId="45" xfId="1" applyNumberFormat="1" applyFill="1" applyBorder="1" applyAlignment="1">
      <alignment vertical="center" wrapText="1"/>
    </xf>
    <xf numFmtId="3" fontId="10" fillId="2" borderId="59" xfId="0" applyNumberFormat="1" applyFont="1" applyFill="1" applyBorder="1" applyAlignment="1">
      <alignment vertical="center" wrapText="1"/>
    </xf>
    <xf numFmtId="3" fontId="10" fillId="2" borderId="45" xfId="0" applyNumberFormat="1" applyFont="1" applyFill="1" applyBorder="1" applyAlignment="1">
      <alignment vertical="center" wrapText="1"/>
    </xf>
    <xf numFmtId="3" fontId="10" fillId="2" borderId="13" xfId="0" applyNumberFormat="1" applyFont="1" applyFill="1" applyBorder="1" applyAlignment="1">
      <alignment horizontal="right" vertical="center" wrapText="1"/>
    </xf>
    <xf numFmtId="3" fontId="11" fillId="2" borderId="19" xfId="0" applyNumberFormat="1" applyFont="1" applyFill="1" applyBorder="1" applyAlignment="1">
      <alignment horizontal="right" vertical="center" wrapText="1"/>
    </xf>
    <xf numFmtId="3" fontId="10" fillId="2" borderId="19" xfId="1" applyNumberFormat="1" applyFill="1" applyBorder="1" applyAlignment="1">
      <alignment vertical="center" wrapText="1"/>
    </xf>
    <xf numFmtId="3" fontId="10" fillId="2" borderId="59" xfId="0" applyNumberFormat="1" applyFont="1" applyFill="1" applyBorder="1" applyAlignment="1">
      <alignment horizontal="right" vertical="center" wrapText="1"/>
    </xf>
    <xf numFmtId="3" fontId="10" fillId="2" borderId="54" xfId="0" applyNumberFormat="1" applyFont="1" applyFill="1" applyBorder="1" applyAlignment="1">
      <alignment horizontal="right" vertical="center" wrapText="1"/>
    </xf>
    <xf numFmtId="3" fontId="10" fillId="2" borderId="45" xfId="0" applyNumberFormat="1" applyFont="1" applyFill="1" applyBorder="1" applyAlignment="1">
      <alignment horizontal="right" vertical="center" wrapText="1"/>
    </xf>
    <xf numFmtId="0" fontId="10" fillId="2" borderId="19" xfId="1" applyFill="1" applyBorder="1" applyAlignment="1">
      <alignment horizontal="center" vertical="center" wrapText="1"/>
    </xf>
    <xf numFmtId="49" fontId="19" fillId="0" borderId="26" xfId="0" applyNumberFormat="1" applyFont="1" applyBorder="1" applyAlignment="1">
      <alignment horizontal="center" vertical="center"/>
    </xf>
    <xf numFmtId="49" fontId="19" fillId="0" borderId="24" xfId="0" applyNumberFormat="1" applyFont="1" applyBorder="1" applyAlignment="1">
      <alignment horizontal="center" vertical="center"/>
    </xf>
    <xf numFmtId="0" fontId="55" fillId="0" borderId="4" xfId="1" applyFont="1" applyBorder="1" applyAlignment="1">
      <alignment horizontal="center" vertical="center" wrapText="1"/>
    </xf>
    <xf numFmtId="3" fontId="19" fillId="0" borderId="25" xfId="1" applyNumberFormat="1" applyFont="1" applyBorder="1" applyAlignment="1">
      <alignment vertical="center"/>
    </xf>
    <xf numFmtId="3" fontId="18" fillId="0" borderId="62" xfId="1" applyNumberFormat="1" applyFont="1" applyBorder="1" applyAlignment="1">
      <alignment vertical="center"/>
    </xf>
    <xf numFmtId="3" fontId="18" fillId="0" borderId="63" xfId="1" applyNumberFormat="1" applyFont="1" applyBorder="1" applyAlignment="1">
      <alignment vertical="center"/>
    </xf>
    <xf numFmtId="3" fontId="18" fillId="0" borderId="46" xfId="1" applyNumberFormat="1" applyFont="1" applyBorder="1" applyAlignment="1">
      <alignment vertical="center"/>
    </xf>
    <xf numFmtId="3" fontId="18" fillId="0" borderId="53" xfId="0" applyNumberFormat="1" applyFont="1" applyBorder="1" applyAlignment="1">
      <alignment vertical="center" wrapText="1"/>
    </xf>
    <xf numFmtId="3" fontId="18" fillId="11" borderId="23" xfId="0" applyNumberFormat="1" applyFont="1" applyFill="1" applyBorder="1" applyAlignment="1">
      <alignment horizontal="right" vertical="center" wrapText="1"/>
    </xf>
    <xf numFmtId="3" fontId="19" fillId="3" borderId="23" xfId="0" applyNumberFormat="1" applyFont="1" applyFill="1" applyBorder="1" applyAlignment="1">
      <alignment horizontal="right" vertical="center" wrapText="1"/>
    </xf>
    <xf numFmtId="3" fontId="19" fillId="11" borderId="23" xfId="0" applyNumberFormat="1" applyFont="1" applyFill="1" applyBorder="1" applyAlignment="1">
      <alignment horizontal="right" vertical="center" wrapText="1"/>
    </xf>
    <xf numFmtId="3" fontId="18" fillId="0" borderId="58" xfId="0" applyNumberFormat="1" applyFont="1" applyBorder="1" applyAlignment="1">
      <alignment horizontal="right" vertical="center"/>
    </xf>
    <xf numFmtId="3" fontId="18" fillId="0" borderId="44" xfId="0" applyNumberFormat="1" applyFont="1" applyBorder="1" applyAlignment="1">
      <alignment horizontal="right" vertical="center"/>
    </xf>
    <xf numFmtId="49" fontId="18" fillId="0" borderId="25" xfId="0" applyNumberFormat="1" applyFont="1" applyBorder="1" applyAlignment="1">
      <alignment horizontal="center" vertical="center"/>
    </xf>
    <xf numFmtId="0" fontId="18" fillId="0" borderId="23" xfId="1" applyFont="1" applyBorder="1" applyAlignment="1">
      <alignment horizontal="center" vertical="center"/>
    </xf>
    <xf numFmtId="49" fontId="11" fillId="2" borderId="18" xfId="0" applyNumberFormat="1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 wrapText="1"/>
    </xf>
    <xf numFmtId="3" fontId="11" fillId="2" borderId="18" xfId="1" applyNumberFormat="1" applyFont="1" applyFill="1" applyBorder="1" applyAlignment="1">
      <alignment vertical="center"/>
    </xf>
    <xf numFmtId="3" fontId="11" fillId="2" borderId="12" xfId="1" applyNumberFormat="1" applyFont="1" applyFill="1" applyBorder="1" applyAlignment="1">
      <alignment vertical="center"/>
    </xf>
    <xf numFmtId="3" fontId="10" fillId="2" borderId="55" xfId="1" applyNumberFormat="1" applyFill="1" applyBorder="1" applyAlignment="1">
      <alignment vertical="center"/>
    </xf>
    <xf numFmtId="3" fontId="10" fillId="2" borderId="56" xfId="1" applyNumberFormat="1" applyFill="1" applyBorder="1" applyAlignment="1">
      <alignment vertical="center"/>
    </xf>
    <xf numFmtId="3" fontId="10" fillId="2" borderId="57" xfId="1" applyNumberFormat="1" applyFill="1" applyBorder="1" applyAlignment="1">
      <alignment vertical="center"/>
    </xf>
    <xf numFmtId="3" fontId="10" fillId="2" borderId="38" xfId="0" applyNumberFormat="1" applyFont="1" applyFill="1" applyBorder="1" applyAlignment="1">
      <alignment vertical="center" wrapText="1"/>
    </xf>
    <xf numFmtId="3" fontId="10" fillId="2" borderId="18" xfId="0" applyNumberFormat="1" applyFont="1" applyFill="1" applyBorder="1" applyAlignment="1">
      <alignment horizontal="right" vertical="center" wrapText="1"/>
    </xf>
    <xf numFmtId="3" fontId="11" fillId="2" borderId="18" xfId="0" applyNumberFormat="1" applyFont="1" applyFill="1" applyBorder="1" applyAlignment="1">
      <alignment horizontal="right" vertical="center" wrapText="1"/>
    </xf>
    <xf numFmtId="3" fontId="10" fillId="2" borderId="18" xfId="0" applyNumberFormat="1" applyFont="1" applyFill="1" applyBorder="1" applyAlignment="1">
      <alignment horizontal="right" vertical="center"/>
    </xf>
    <xf numFmtId="3" fontId="10" fillId="2" borderId="12" xfId="0" applyNumberFormat="1" applyFont="1" applyFill="1" applyBorder="1" applyAlignment="1">
      <alignment horizontal="right" vertical="center"/>
    </xf>
    <xf numFmtId="3" fontId="10" fillId="2" borderId="55" xfId="0" applyNumberFormat="1" applyFont="1" applyFill="1" applyBorder="1" applyAlignment="1">
      <alignment vertical="center"/>
    </xf>
    <xf numFmtId="3" fontId="10" fillId="2" borderId="56" xfId="0" applyNumberFormat="1" applyFont="1" applyFill="1" applyBorder="1" applyAlignment="1">
      <alignment vertical="center"/>
    </xf>
    <xf numFmtId="3" fontId="10" fillId="2" borderId="5" xfId="0" applyNumberFormat="1" applyFont="1" applyFill="1" applyBorder="1" applyAlignment="1">
      <alignment vertical="center"/>
    </xf>
    <xf numFmtId="3" fontId="10" fillId="2" borderId="55" xfId="0" applyNumberFormat="1" applyFont="1" applyFill="1" applyBorder="1" applyAlignment="1">
      <alignment horizontal="right" vertical="center"/>
    </xf>
    <xf numFmtId="3" fontId="10" fillId="2" borderId="38" xfId="0" applyNumberFormat="1" applyFont="1" applyFill="1" applyBorder="1" applyAlignment="1">
      <alignment horizontal="right" vertical="center"/>
    </xf>
    <xf numFmtId="3" fontId="10" fillId="2" borderId="6" xfId="0" applyNumberFormat="1" applyFont="1" applyFill="1" applyBorder="1" applyAlignment="1">
      <alignment horizontal="right" vertical="center"/>
    </xf>
    <xf numFmtId="49" fontId="10" fillId="2" borderId="12" xfId="0" applyNumberFormat="1" applyFont="1" applyFill="1" applyBorder="1" applyAlignment="1">
      <alignment horizontal="center" vertical="center"/>
    </xf>
    <xf numFmtId="0" fontId="10" fillId="2" borderId="18" xfId="1" applyFill="1" applyBorder="1" applyAlignment="1">
      <alignment horizontal="center" vertical="center"/>
    </xf>
    <xf numFmtId="49" fontId="11" fillId="2" borderId="23" xfId="0" applyNumberFormat="1" applyFont="1" applyFill="1" applyBorder="1" applyAlignment="1">
      <alignment horizontal="center" vertical="center" wrapText="1"/>
    </xf>
    <xf numFmtId="49" fontId="11" fillId="2" borderId="23" xfId="0" applyNumberFormat="1" applyFont="1" applyFill="1" applyBorder="1" applyAlignment="1">
      <alignment horizontal="center" vertical="center" wrapText="1" shrinkToFit="1"/>
    </xf>
    <xf numFmtId="0" fontId="12" fillId="2" borderId="27" xfId="0" applyFont="1" applyFill="1" applyBorder="1" applyAlignment="1">
      <alignment horizontal="center" vertical="center" wrapText="1"/>
    </xf>
    <xf numFmtId="3" fontId="11" fillId="2" borderId="23" xfId="0" applyNumberFormat="1" applyFont="1" applyFill="1" applyBorder="1" applyAlignment="1">
      <alignment horizontal="right" vertical="center"/>
    </xf>
    <xf numFmtId="3" fontId="10" fillId="2" borderId="25" xfId="0" applyNumberFormat="1" applyFont="1" applyFill="1" applyBorder="1" applyAlignment="1">
      <alignment horizontal="right" vertical="center"/>
    </xf>
    <xf numFmtId="3" fontId="10" fillId="2" borderId="58" xfId="0" applyNumberFormat="1" applyFont="1" applyFill="1" applyBorder="1" applyAlignment="1">
      <alignment horizontal="right" vertical="center"/>
    </xf>
    <xf numFmtId="3" fontId="10" fillId="2" borderId="21" xfId="0" applyNumberFormat="1" applyFont="1" applyFill="1" applyBorder="1" applyAlignment="1">
      <alignment horizontal="right" vertical="center"/>
    </xf>
    <xf numFmtId="3" fontId="10" fillId="2" borderId="75" xfId="0" applyNumberFormat="1" applyFont="1" applyFill="1" applyBorder="1" applyAlignment="1">
      <alignment horizontal="right" vertical="center"/>
    </xf>
    <xf numFmtId="3" fontId="10" fillId="2" borderId="44" xfId="0" applyNumberFormat="1" applyFont="1" applyFill="1" applyBorder="1" applyAlignment="1">
      <alignment vertical="center" wrapText="1"/>
    </xf>
    <xf numFmtId="3" fontId="10" fillId="2" borderId="24" xfId="0" applyNumberFormat="1" applyFont="1" applyFill="1" applyBorder="1" applyAlignment="1">
      <alignment vertical="center" wrapText="1"/>
    </xf>
    <xf numFmtId="3" fontId="10" fillId="2" borderId="58" xfId="0" applyNumberFormat="1" applyFont="1" applyFill="1" applyBorder="1" applyAlignment="1">
      <alignment vertical="center"/>
    </xf>
    <xf numFmtId="3" fontId="10" fillId="2" borderId="21" xfId="0" applyNumberFormat="1" applyFont="1" applyFill="1" applyBorder="1" applyAlignment="1">
      <alignment vertical="center"/>
    </xf>
    <xf numFmtId="3" fontId="10" fillId="2" borderId="27" xfId="0" applyNumberFormat="1" applyFont="1" applyFill="1" applyBorder="1" applyAlignment="1">
      <alignment vertical="center"/>
    </xf>
    <xf numFmtId="3" fontId="10" fillId="2" borderId="44" xfId="0" applyNumberFormat="1" applyFont="1" applyFill="1" applyBorder="1" applyAlignment="1">
      <alignment horizontal="right" vertical="center"/>
    </xf>
    <xf numFmtId="3" fontId="10" fillId="2" borderId="24" xfId="0" applyNumberFormat="1" applyFont="1" applyFill="1" applyBorder="1" applyAlignment="1">
      <alignment horizontal="right" vertical="center"/>
    </xf>
    <xf numFmtId="49" fontId="36" fillId="0" borderId="22" xfId="0" applyNumberFormat="1" applyFont="1" applyBorder="1" applyAlignment="1">
      <alignment horizontal="center" vertical="center" wrapText="1"/>
    </xf>
    <xf numFmtId="0" fontId="44" fillId="0" borderId="0" xfId="0" applyFont="1" applyAlignment="1">
      <alignment horizontal="center" vertical="center" wrapText="1"/>
    </xf>
    <xf numFmtId="3" fontId="17" fillId="0" borderId="27" xfId="0" applyNumberFormat="1" applyFont="1" applyBorder="1" applyAlignment="1">
      <alignment horizontal="right" vertical="center"/>
    </xf>
    <xf numFmtId="49" fontId="36" fillId="9" borderId="26" xfId="0" applyNumberFormat="1" applyFont="1" applyFill="1" applyBorder="1" applyAlignment="1">
      <alignment horizontal="center" vertical="center" wrapText="1"/>
    </xf>
    <xf numFmtId="0" fontId="44" fillId="0" borderId="40" xfId="0" applyFont="1" applyBorder="1" applyAlignment="1">
      <alignment horizontal="center" vertical="center" wrapText="1"/>
    </xf>
    <xf numFmtId="3" fontId="36" fillId="3" borderId="35" xfId="0" applyNumberFormat="1" applyFont="1" applyFill="1" applyBorder="1" applyAlignment="1">
      <alignment horizontal="right" vertical="center" wrapText="1"/>
    </xf>
    <xf numFmtId="49" fontId="14" fillId="0" borderId="13" xfId="0" applyNumberFormat="1" applyFont="1" applyBorder="1" applyAlignment="1">
      <alignment horizontal="center" vertical="center" wrapText="1"/>
    </xf>
    <xf numFmtId="0" fontId="54" fillId="0" borderId="19" xfId="0" applyFont="1" applyBorder="1" applyAlignment="1">
      <alignment horizontal="center" vertical="center" wrapText="1"/>
    </xf>
    <xf numFmtId="3" fontId="14" fillId="0" borderId="13" xfId="0" applyNumberFormat="1" applyFont="1" applyBorder="1" applyAlignment="1">
      <alignment horizontal="right" vertical="center"/>
    </xf>
    <xf numFmtId="3" fontId="13" fillId="0" borderId="15" xfId="0" applyNumberFormat="1" applyFont="1" applyBorder="1" applyAlignment="1">
      <alignment horizontal="right" vertical="center"/>
    </xf>
    <xf numFmtId="3" fontId="13" fillId="0" borderId="59" xfId="0" applyNumberFormat="1" applyFont="1" applyBorder="1" applyAlignment="1">
      <alignment horizontal="right" vertical="center"/>
    </xf>
    <xf numFmtId="3" fontId="13" fillId="0" borderId="48" xfId="0" applyNumberFormat="1" applyFont="1" applyBorder="1" applyAlignment="1">
      <alignment horizontal="right" vertical="center"/>
    </xf>
    <xf numFmtId="3" fontId="13" fillId="0" borderId="17" xfId="0" applyNumberFormat="1" applyFont="1" applyBorder="1" applyAlignment="1">
      <alignment horizontal="right" vertical="center"/>
    </xf>
    <xf numFmtId="3" fontId="13" fillId="0" borderId="54" xfId="0" applyNumberFormat="1" applyFont="1" applyBorder="1" applyAlignment="1">
      <alignment horizontal="right" vertical="center" wrapText="1"/>
    </xf>
    <xf numFmtId="3" fontId="13" fillId="0" borderId="45" xfId="0" applyNumberFormat="1" applyFont="1" applyBorder="1" applyAlignment="1">
      <alignment vertical="center" wrapText="1"/>
    </xf>
    <xf numFmtId="3" fontId="13" fillId="11" borderId="13" xfId="0" applyNumberFormat="1" applyFont="1" applyFill="1" applyBorder="1" applyAlignment="1">
      <alignment horizontal="right" vertical="center" wrapText="1"/>
    </xf>
    <xf numFmtId="3" fontId="14" fillId="3" borderId="45" xfId="0" applyNumberFormat="1" applyFont="1" applyFill="1" applyBorder="1" applyAlignment="1">
      <alignment horizontal="right" vertical="center" wrapText="1"/>
    </xf>
    <xf numFmtId="3" fontId="14" fillId="11" borderId="13" xfId="0" applyNumberFormat="1" applyFont="1" applyFill="1" applyBorder="1" applyAlignment="1">
      <alignment horizontal="right" vertical="center" wrapText="1"/>
    </xf>
    <xf numFmtId="3" fontId="13" fillId="0" borderId="13" xfId="0" applyNumberFormat="1" applyFont="1" applyBorder="1" applyAlignment="1">
      <alignment vertical="center"/>
    </xf>
    <xf numFmtId="3" fontId="13" fillId="0" borderId="15" xfId="0" applyNumberFormat="1" applyFont="1" applyBorder="1" applyAlignment="1">
      <alignment vertical="center"/>
    </xf>
    <xf numFmtId="3" fontId="13" fillId="0" borderId="59" xfId="0" applyNumberFormat="1" applyFont="1" applyBorder="1" applyAlignment="1">
      <alignment vertical="center"/>
    </xf>
    <xf numFmtId="3" fontId="13" fillId="0" borderId="48" xfId="0" applyNumberFormat="1" applyFont="1" applyBorder="1" applyAlignment="1">
      <alignment vertical="center"/>
    </xf>
    <xf numFmtId="3" fontId="13" fillId="0" borderId="19" xfId="0" applyNumberFormat="1" applyFont="1" applyBorder="1" applyAlignment="1">
      <alignment vertical="center"/>
    </xf>
    <xf numFmtId="3" fontId="13" fillId="0" borderId="54" xfId="0" applyNumberFormat="1" applyFont="1" applyBorder="1" applyAlignment="1">
      <alignment horizontal="right" vertical="center"/>
    </xf>
    <xf numFmtId="0" fontId="13" fillId="0" borderId="13" xfId="0" applyFont="1" applyBorder="1" applyAlignment="1">
      <alignment horizontal="center" vertical="center"/>
    </xf>
    <xf numFmtId="49" fontId="13" fillId="0" borderId="15" xfId="0" applyNumberFormat="1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13" xfId="1" applyFont="1" applyBorder="1" applyAlignment="1">
      <alignment horizontal="center" vertical="center" wrapText="1"/>
    </xf>
    <xf numFmtId="3" fontId="10" fillId="2" borderId="21" xfId="0" applyNumberFormat="1" applyFont="1" applyFill="1" applyBorder="1" applyAlignment="1">
      <alignment horizontal="right" vertical="center" wrapText="1"/>
    </xf>
    <xf numFmtId="3" fontId="11" fillId="2" borderId="24" xfId="0" applyNumberFormat="1" applyFont="1" applyFill="1" applyBorder="1" applyAlignment="1">
      <alignment horizontal="right" vertical="center" wrapText="1"/>
    </xf>
    <xf numFmtId="0" fontId="10" fillId="2" borderId="25" xfId="0" applyFont="1" applyFill="1" applyBorder="1" applyAlignment="1">
      <alignment horizontal="center" vertical="center"/>
    </xf>
    <xf numFmtId="49" fontId="11" fillId="17" borderId="26" xfId="0" applyNumberFormat="1" applyFont="1" applyFill="1" applyBorder="1" applyAlignment="1">
      <alignment horizontal="center" vertical="center" wrapText="1"/>
    </xf>
    <xf numFmtId="0" fontId="12" fillId="17" borderId="37" xfId="0" applyFont="1" applyFill="1" applyBorder="1" applyAlignment="1">
      <alignment horizontal="center" vertical="center" wrapText="1"/>
    </xf>
    <xf numFmtId="3" fontId="11" fillId="17" borderId="26" xfId="0" applyNumberFormat="1" applyFont="1" applyFill="1" applyBorder="1" applyAlignment="1">
      <alignment horizontal="right" vertical="center"/>
    </xf>
    <xf numFmtId="3" fontId="10" fillId="17" borderId="31" xfId="0" applyNumberFormat="1" applyFont="1" applyFill="1" applyBorder="1" applyAlignment="1">
      <alignment horizontal="right" vertical="center"/>
    </xf>
    <xf numFmtId="3" fontId="10" fillId="17" borderId="47" xfId="0" applyNumberFormat="1" applyFont="1" applyFill="1" applyBorder="1" applyAlignment="1">
      <alignment horizontal="right" vertical="center"/>
    </xf>
    <xf numFmtId="3" fontId="10" fillId="17" borderId="20" xfId="0" applyNumberFormat="1" applyFont="1" applyFill="1" applyBorder="1" applyAlignment="1">
      <alignment horizontal="right" vertical="center"/>
    </xf>
    <xf numFmtId="3" fontId="10" fillId="17" borderId="41" xfId="0" applyNumberFormat="1" applyFont="1" applyFill="1" applyBorder="1" applyAlignment="1">
      <alignment horizontal="right" vertical="center"/>
    </xf>
    <xf numFmtId="3" fontId="10" fillId="17" borderId="36" xfId="0" applyNumberFormat="1" applyFont="1" applyFill="1" applyBorder="1" applyAlignment="1">
      <alignment horizontal="right" vertical="center" wrapText="1"/>
    </xf>
    <xf numFmtId="3" fontId="10" fillId="17" borderId="20" xfId="0" applyNumberFormat="1" applyFont="1" applyFill="1" applyBorder="1" applyAlignment="1">
      <alignment horizontal="right" vertical="center" wrapText="1"/>
    </xf>
    <xf numFmtId="3" fontId="10" fillId="17" borderId="32" xfId="0" applyNumberFormat="1" applyFont="1" applyFill="1" applyBorder="1" applyAlignment="1">
      <alignment vertical="center" wrapText="1"/>
    </xf>
    <xf numFmtId="3" fontId="10" fillId="17" borderId="26" xfId="0" applyNumberFormat="1" applyFont="1" applyFill="1" applyBorder="1" applyAlignment="1">
      <alignment horizontal="right" vertical="center" wrapText="1"/>
    </xf>
    <xf numFmtId="3" fontId="11" fillId="17" borderId="32" xfId="0" applyNumberFormat="1" applyFont="1" applyFill="1" applyBorder="1" applyAlignment="1">
      <alignment horizontal="right" vertical="center" wrapText="1"/>
    </xf>
    <xf numFmtId="3" fontId="11" fillId="17" borderId="26" xfId="0" applyNumberFormat="1" applyFont="1" applyFill="1" applyBorder="1" applyAlignment="1">
      <alignment horizontal="right" vertical="center" wrapText="1"/>
    </xf>
    <xf numFmtId="3" fontId="10" fillId="17" borderId="26" xfId="0" applyNumberFormat="1" applyFont="1" applyFill="1" applyBorder="1" applyAlignment="1">
      <alignment vertical="center"/>
    </xf>
    <xf numFmtId="3" fontId="10" fillId="17" borderId="31" xfId="0" applyNumberFormat="1" applyFont="1" applyFill="1" applyBorder="1" applyAlignment="1">
      <alignment vertical="center"/>
    </xf>
    <xf numFmtId="3" fontId="10" fillId="17" borderId="47" xfId="0" applyNumberFormat="1" applyFont="1" applyFill="1" applyBorder="1" applyAlignment="1">
      <alignment vertical="center"/>
    </xf>
    <xf numFmtId="3" fontId="10" fillId="17" borderId="20" xfId="0" applyNumberFormat="1" applyFont="1" applyFill="1" applyBorder="1" applyAlignment="1">
      <alignment vertical="center"/>
    </xf>
    <xf numFmtId="3" fontId="10" fillId="17" borderId="37" xfId="0" applyNumberFormat="1" applyFont="1" applyFill="1" applyBorder="1" applyAlignment="1">
      <alignment vertical="center"/>
    </xf>
    <xf numFmtId="3" fontId="10" fillId="17" borderId="36" xfId="0" applyNumberFormat="1" applyFont="1" applyFill="1" applyBorder="1" applyAlignment="1">
      <alignment horizontal="right" vertical="center"/>
    </xf>
    <xf numFmtId="3" fontId="10" fillId="17" borderId="32" xfId="0" applyNumberFormat="1" applyFont="1" applyFill="1" applyBorder="1" applyAlignment="1">
      <alignment horizontal="right" vertical="center"/>
    </xf>
    <xf numFmtId="49" fontId="10" fillId="17" borderId="31" xfId="0" applyNumberFormat="1" applyFont="1" applyFill="1" applyBorder="1" applyAlignment="1">
      <alignment horizontal="center" vertical="center"/>
    </xf>
    <xf numFmtId="0" fontId="10" fillId="17" borderId="31" xfId="0" applyFont="1" applyFill="1" applyBorder="1" applyAlignment="1">
      <alignment horizontal="center" vertical="center"/>
    </xf>
    <xf numFmtId="0" fontId="10" fillId="17" borderId="26" xfId="1" applyFill="1" applyBorder="1" applyAlignment="1">
      <alignment horizontal="center" vertical="center" wrapText="1"/>
    </xf>
    <xf numFmtId="49" fontId="19" fillId="9" borderId="14" xfId="0" applyNumberFormat="1" applyFont="1" applyFill="1" applyBorder="1" applyAlignment="1">
      <alignment horizontal="center" vertical="center" wrapText="1"/>
    </xf>
    <xf numFmtId="49" fontId="19" fillId="0" borderId="14" xfId="0" applyNumberFormat="1" applyFont="1" applyBorder="1" applyAlignment="1">
      <alignment horizontal="center" vertical="center" wrapText="1"/>
    </xf>
    <xf numFmtId="0" fontId="55" fillId="0" borderId="1" xfId="0" applyFont="1" applyBorder="1" applyAlignment="1">
      <alignment horizontal="center" vertical="center" wrapText="1"/>
    </xf>
    <xf numFmtId="3" fontId="19" fillId="0" borderId="14" xfId="0" applyNumberFormat="1" applyFont="1" applyBorder="1" applyAlignment="1">
      <alignment horizontal="right" vertical="center"/>
    </xf>
    <xf numFmtId="3" fontId="18" fillId="0" borderId="30" xfId="0" applyNumberFormat="1" applyFont="1" applyBorder="1" applyAlignment="1">
      <alignment horizontal="right" vertical="center"/>
    </xf>
    <xf numFmtId="3" fontId="18" fillId="0" borderId="68" xfId="0" applyNumberFormat="1" applyFont="1" applyBorder="1" applyAlignment="1">
      <alignment horizontal="right" vertical="center"/>
    </xf>
    <xf numFmtId="3" fontId="18" fillId="0" borderId="69" xfId="0" applyNumberFormat="1" applyFont="1" applyBorder="1" applyAlignment="1">
      <alignment horizontal="right" vertical="center"/>
    </xf>
    <xf numFmtId="3" fontId="18" fillId="0" borderId="52" xfId="0" applyNumberFormat="1" applyFont="1" applyBorder="1" applyAlignment="1">
      <alignment horizontal="right" vertical="center"/>
    </xf>
    <xf numFmtId="3" fontId="18" fillId="0" borderId="73" xfId="0" applyNumberFormat="1" applyFont="1" applyBorder="1" applyAlignment="1">
      <alignment horizontal="right" vertical="center" wrapText="1"/>
    </xf>
    <xf numFmtId="3" fontId="18" fillId="11" borderId="14" xfId="0" applyNumberFormat="1" applyFont="1" applyFill="1" applyBorder="1" applyAlignment="1">
      <alignment horizontal="right" vertical="center" wrapText="1"/>
    </xf>
    <xf numFmtId="3" fontId="19" fillId="3" borderId="16" xfId="0" applyNumberFormat="1" applyFont="1" applyFill="1" applyBorder="1" applyAlignment="1">
      <alignment horizontal="right" vertical="center" wrapText="1"/>
    </xf>
    <xf numFmtId="3" fontId="19" fillId="11" borderId="14" xfId="0" applyNumberFormat="1" applyFont="1" applyFill="1" applyBorder="1" applyAlignment="1">
      <alignment horizontal="right" vertical="center" wrapText="1"/>
    </xf>
    <xf numFmtId="3" fontId="18" fillId="0" borderId="14" xfId="0" applyNumberFormat="1" applyFont="1" applyBorder="1" applyAlignment="1">
      <alignment vertical="center"/>
    </xf>
    <xf numFmtId="3" fontId="18" fillId="0" borderId="30" xfId="0" applyNumberFormat="1" applyFont="1" applyBorder="1" applyAlignment="1">
      <alignment vertical="center"/>
    </xf>
    <xf numFmtId="3" fontId="18" fillId="0" borderId="68" xfId="0" applyNumberFormat="1" applyFont="1" applyBorder="1" applyAlignment="1">
      <alignment vertical="center"/>
    </xf>
    <xf numFmtId="3" fontId="18" fillId="0" borderId="69" xfId="0" applyNumberFormat="1" applyFont="1" applyBorder="1" applyAlignment="1">
      <alignment vertical="center"/>
    </xf>
    <xf numFmtId="3" fontId="18" fillId="0" borderId="1" xfId="0" applyNumberFormat="1" applyFont="1" applyBorder="1" applyAlignment="1">
      <alignment vertical="center"/>
    </xf>
    <xf numFmtId="3" fontId="18" fillId="0" borderId="73" xfId="0" applyNumberFormat="1" applyFont="1" applyBorder="1" applyAlignment="1">
      <alignment horizontal="right" vertical="center"/>
    </xf>
    <xf numFmtId="3" fontId="18" fillId="0" borderId="16" xfId="0" applyNumberFormat="1" applyFont="1" applyBorder="1" applyAlignment="1">
      <alignment horizontal="right" vertical="center"/>
    </xf>
    <xf numFmtId="49" fontId="18" fillId="0" borderId="30" xfId="0" applyNumberFormat="1" applyFont="1" applyBorder="1" applyAlignment="1">
      <alignment horizontal="center" vertical="center"/>
    </xf>
    <xf numFmtId="0" fontId="18" fillId="0" borderId="14" xfId="1" applyFont="1" applyBorder="1" applyAlignment="1">
      <alignment horizontal="center" vertical="center" wrapText="1"/>
    </xf>
    <xf numFmtId="49" fontId="11" fillId="2" borderId="31" xfId="0" applyNumberFormat="1" applyFont="1" applyFill="1" applyBorder="1" applyAlignment="1">
      <alignment horizontal="center" vertical="center" wrapText="1"/>
    </xf>
    <xf numFmtId="49" fontId="11" fillId="17" borderId="20" xfId="0" applyNumberFormat="1" applyFont="1" applyFill="1" applyBorder="1" applyAlignment="1">
      <alignment horizontal="center" vertical="center" wrapText="1"/>
    </xf>
    <xf numFmtId="0" fontId="12" fillId="17" borderId="32" xfId="0" applyFont="1" applyFill="1" applyBorder="1" applyAlignment="1">
      <alignment horizontal="center" vertical="center" wrapText="1"/>
    </xf>
    <xf numFmtId="0" fontId="12" fillId="2" borderId="24" xfId="0" applyFont="1" applyFill="1" applyBorder="1" applyAlignment="1">
      <alignment horizontal="center" vertical="center" wrapText="1"/>
    </xf>
    <xf numFmtId="3" fontId="10" fillId="2" borderId="36" xfId="0" applyNumberFormat="1" applyFont="1" applyFill="1" applyBorder="1" applyAlignment="1">
      <alignment horizontal="right" vertical="center"/>
    </xf>
    <xf numFmtId="3" fontId="10" fillId="2" borderId="41" xfId="0" applyNumberFormat="1" applyFont="1" applyFill="1" applyBorder="1" applyAlignment="1">
      <alignment horizontal="right" vertical="center"/>
    </xf>
    <xf numFmtId="3" fontId="11" fillId="2" borderId="32" xfId="0" applyNumberFormat="1" applyFont="1" applyFill="1" applyBorder="1" applyAlignment="1">
      <alignment horizontal="right" vertical="center" wrapText="1"/>
    </xf>
    <xf numFmtId="3" fontId="10" fillId="2" borderId="32" xfId="0" applyNumberFormat="1" applyFont="1" applyFill="1" applyBorder="1" applyAlignment="1">
      <alignment vertical="center"/>
    </xf>
    <xf numFmtId="3" fontId="10" fillId="2" borderId="47" xfId="0" applyNumberFormat="1" applyFont="1" applyFill="1" applyBorder="1" applyAlignment="1">
      <alignment vertical="center"/>
    </xf>
    <xf numFmtId="3" fontId="10" fillId="2" borderId="47" xfId="0" applyNumberFormat="1" applyFont="1" applyFill="1" applyBorder="1" applyAlignment="1">
      <alignment horizontal="right" vertical="center"/>
    </xf>
    <xf numFmtId="3" fontId="10" fillId="2" borderId="37" xfId="0" applyNumberFormat="1" applyFont="1" applyFill="1" applyBorder="1" applyAlignment="1">
      <alignment horizontal="right" vertical="center"/>
    </xf>
    <xf numFmtId="0" fontId="10" fillId="2" borderId="31" xfId="0" applyFont="1" applyFill="1" applyBorder="1" applyAlignment="1">
      <alignment horizontal="center" vertical="center"/>
    </xf>
    <xf numFmtId="49" fontId="19" fillId="0" borderId="26" xfId="0" applyNumberFormat="1" applyFont="1" applyBorder="1" applyAlignment="1">
      <alignment horizontal="center" vertical="center" wrapText="1"/>
    </xf>
    <xf numFmtId="0" fontId="55" fillId="0" borderId="26" xfId="0" applyFont="1" applyBorder="1" applyAlignment="1">
      <alignment horizontal="center" vertical="center"/>
    </xf>
    <xf numFmtId="3" fontId="19" fillId="0" borderId="26" xfId="0" applyNumberFormat="1" applyFont="1" applyBorder="1" applyAlignment="1">
      <alignment horizontal="right" vertical="center"/>
    </xf>
    <xf numFmtId="3" fontId="18" fillId="0" borderId="26" xfId="0" applyNumberFormat="1" applyFont="1" applyBorder="1" applyAlignment="1">
      <alignment horizontal="right" vertical="center"/>
    </xf>
    <xf numFmtId="3" fontId="18" fillId="0" borderId="41" xfId="0" applyNumberFormat="1" applyFont="1" applyBorder="1" applyAlignment="1">
      <alignment horizontal="right" vertical="center"/>
    </xf>
    <xf numFmtId="3" fontId="18" fillId="11" borderId="26" xfId="0" applyNumberFormat="1" applyFont="1" applyFill="1" applyBorder="1" applyAlignment="1">
      <alignment horizontal="right" vertical="center" wrapText="1"/>
    </xf>
    <xf numFmtId="3" fontId="19" fillId="3" borderId="32" xfId="0" applyNumberFormat="1" applyFont="1" applyFill="1" applyBorder="1" applyAlignment="1">
      <alignment horizontal="right" vertical="center" wrapText="1"/>
    </xf>
    <xf numFmtId="3" fontId="18" fillId="0" borderId="32" xfId="0" applyNumberFormat="1" applyFont="1" applyBorder="1" applyAlignment="1">
      <alignment vertical="center"/>
    </xf>
    <xf numFmtId="3" fontId="18" fillId="0" borderId="47" xfId="0" applyNumberFormat="1" applyFont="1" applyBorder="1" applyAlignment="1">
      <alignment horizontal="right" vertical="center"/>
    </xf>
    <xf numFmtId="3" fontId="18" fillId="0" borderId="37" xfId="0" applyNumberFormat="1" applyFont="1" applyBorder="1" applyAlignment="1">
      <alignment horizontal="right" vertical="center"/>
    </xf>
    <xf numFmtId="49" fontId="18" fillId="0" borderId="31" xfId="0" applyNumberFormat="1" applyFont="1" applyBorder="1" applyAlignment="1">
      <alignment horizontal="center" vertical="center"/>
    </xf>
    <xf numFmtId="0" fontId="18" fillId="0" borderId="31" xfId="0" applyFont="1" applyBorder="1" applyAlignment="1">
      <alignment horizontal="center" vertical="center"/>
    </xf>
    <xf numFmtId="0" fontId="12" fillId="17" borderId="26" xfId="0" applyFont="1" applyFill="1" applyBorder="1" applyAlignment="1">
      <alignment horizontal="center" vertical="center"/>
    </xf>
    <xf numFmtId="3" fontId="10" fillId="17" borderId="26" xfId="0" applyNumberFormat="1" applyFont="1" applyFill="1" applyBorder="1" applyAlignment="1">
      <alignment horizontal="right" vertical="center"/>
    </xf>
    <xf numFmtId="3" fontId="10" fillId="17" borderId="32" xfId="0" applyNumberFormat="1" applyFont="1" applyFill="1" applyBorder="1" applyAlignment="1">
      <alignment vertical="center"/>
    </xf>
    <xf numFmtId="3" fontId="10" fillId="17" borderId="37" xfId="0" applyNumberFormat="1" applyFont="1" applyFill="1" applyBorder="1" applyAlignment="1">
      <alignment horizontal="right" vertical="center"/>
    </xf>
    <xf numFmtId="49" fontId="10" fillId="17" borderId="26" xfId="0" applyNumberFormat="1" applyFont="1" applyFill="1" applyBorder="1" applyAlignment="1">
      <alignment horizontal="center" vertical="center"/>
    </xf>
    <xf numFmtId="0" fontId="54" fillId="0" borderId="13" xfId="0" applyFont="1" applyBorder="1" applyAlignment="1">
      <alignment horizontal="center" vertical="center" wrapText="1"/>
    </xf>
    <xf numFmtId="3" fontId="13" fillId="0" borderId="13" xfId="0" applyNumberFormat="1" applyFont="1" applyBorder="1" applyAlignment="1">
      <alignment horizontal="right" vertical="center"/>
    </xf>
    <xf numFmtId="3" fontId="13" fillId="0" borderId="45" xfId="0" applyNumberFormat="1" applyFont="1" applyBorder="1" applyAlignment="1">
      <alignment horizontal="right" vertical="center"/>
    </xf>
    <xf numFmtId="3" fontId="14" fillId="3" borderId="13" xfId="0" applyNumberFormat="1" applyFont="1" applyFill="1" applyBorder="1" applyAlignment="1">
      <alignment horizontal="right" vertical="center" wrapText="1"/>
    </xf>
    <xf numFmtId="3" fontId="13" fillId="0" borderId="45" xfId="0" applyNumberFormat="1" applyFont="1" applyBorder="1" applyAlignment="1">
      <alignment vertical="center"/>
    </xf>
    <xf numFmtId="3" fontId="13" fillId="0" borderId="19" xfId="0" applyNumberFormat="1" applyFont="1" applyBorder="1" applyAlignment="1">
      <alignment horizontal="right" vertical="center"/>
    </xf>
    <xf numFmtId="0" fontId="41" fillId="0" borderId="13" xfId="0" applyFont="1" applyBorder="1" applyAlignment="1">
      <alignment horizontal="center" wrapText="1"/>
    </xf>
    <xf numFmtId="49" fontId="11" fillId="4" borderId="23" xfId="0" applyNumberFormat="1" applyFont="1" applyFill="1" applyBorder="1" applyAlignment="1">
      <alignment horizontal="center" vertical="center" wrapText="1"/>
    </xf>
    <xf numFmtId="0" fontId="12" fillId="4" borderId="23" xfId="0" applyFont="1" applyFill="1" applyBorder="1" applyAlignment="1">
      <alignment horizontal="center" vertical="center" wrapText="1"/>
    </xf>
    <xf numFmtId="3" fontId="11" fillId="4" borderId="23" xfId="0" applyNumberFormat="1" applyFont="1" applyFill="1" applyBorder="1" applyAlignment="1">
      <alignment horizontal="right" vertical="center"/>
    </xf>
    <xf numFmtId="3" fontId="10" fillId="4" borderId="23" xfId="0" applyNumberFormat="1" applyFont="1" applyFill="1" applyBorder="1" applyAlignment="1">
      <alignment horizontal="right" vertical="center"/>
    </xf>
    <xf numFmtId="3" fontId="10" fillId="4" borderId="58" xfId="0" applyNumberFormat="1" applyFont="1" applyFill="1" applyBorder="1" applyAlignment="1">
      <alignment horizontal="right" vertical="center"/>
    </xf>
    <xf numFmtId="3" fontId="10" fillId="4" borderId="44" xfId="0" applyNumberFormat="1" applyFont="1" applyFill="1" applyBorder="1" applyAlignment="1">
      <alignment horizontal="right" vertical="center"/>
    </xf>
    <xf numFmtId="3" fontId="10" fillId="4" borderId="24" xfId="0" applyNumberFormat="1" applyFont="1" applyFill="1" applyBorder="1" applyAlignment="1">
      <alignment horizontal="right" vertical="center"/>
    </xf>
    <xf numFmtId="3" fontId="10" fillId="4" borderId="23" xfId="0" applyNumberFormat="1" applyFont="1" applyFill="1" applyBorder="1" applyAlignment="1">
      <alignment horizontal="right" vertical="center" wrapText="1"/>
    </xf>
    <xf numFmtId="3" fontId="11" fillId="4" borderId="23" xfId="0" applyNumberFormat="1" applyFont="1" applyFill="1" applyBorder="1" applyAlignment="1">
      <alignment horizontal="right" vertical="center" wrapText="1"/>
    </xf>
    <xf numFmtId="3" fontId="10" fillId="4" borderId="23" xfId="0" applyNumberFormat="1" applyFont="1" applyFill="1" applyBorder="1" applyAlignment="1">
      <alignment vertical="center"/>
    </xf>
    <xf numFmtId="3" fontId="10" fillId="4" borderId="58" xfId="0" applyNumberFormat="1" applyFont="1" applyFill="1" applyBorder="1" applyAlignment="1">
      <alignment vertical="center"/>
    </xf>
    <xf numFmtId="3" fontId="10" fillId="4" borderId="21" xfId="0" applyNumberFormat="1" applyFont="1" applyFill="1" applyBorder="1" applyAlignment="1">
      <alignment horizontal="right" vertical="center"/>
    </xf>
    <xf numFmtId="3" fontId="10" fillId="4" borderId="27" xfId="0" applyNumberFormat="1" applyFont="1" applyFill="1" applyBorder="1" applyAlignment="1">
      <alignment horizontal="right" vertical="center"/>
    </xf>
    <xf numFmtId="0" fontId="0" fillId="4" borderId="23" xfId="0" applyFill="1" applyBorder="1" applyAlignment="1">
      <alignment horizontal="center" wrapText="1"/>
    </xf>
    <xf numFmtId="49" fontId="10" fillId="4" borderId="25" xfId="0" applyNumberFormat="1" applyFont="1" applyFill="1" applyBorder="1" applyAlignment="1">
      <alignment horizontal="center" vertical="center"/>
    </xf>
    <xf numFmtId="0" fontId="10" fillId="4" borderId="25" xfId="0" applyFont="1" applyFill="1" applyBorder="1" applyAlignment="1">
      <alignment horizontal="center" vertical="center"/>
    </xf>
    <xf numFmtId="0" fontId="10" fillId="4" borderId="23" xfId="1" applyFill="1" applyBorder="1" applyAlignment="1">
      <alignment horizontal="center" vertical="center" wrapText="1"/>
    </xf>
    <xf numFmtId="0" fontId="12" fillId="4" borderId="27" xfId="0" applyFont="1" applyFill="1" applyBorder="1" applyAlignment="1">
      <alignment horizontal="center" vertical="center" wrapText="1"/>
    </xf>
    <xf numFmtId="3" fontId="11" fillId="4" borderId="26" xfId="0" applyNumberFormat="1" applyFont="1" applyFill="1" applyBorder="1" applyAlignment="1">
      <alignment horizontal="right" vertical="center"/>
    </xf>
    <xf numFmtId="3" fontId="10" fillId="4" borderId="26" xfId="0" applyNumberFormat="1" applyFont="1" applyFill="1" applyBorder="1" applyAlignment="1">
      <alignment horizontal="right" vertical="center"/>
    </xf>
    <xf numFmtId="3" fontId="10" fillId="4" borderId="47" xfId="0" applyNumberFormat="1" applyFont="1" applyFill="1" applyBorder="1" applyAlignment="1">
      <alignment horizontal="right" vertical="center"/>
    </xf>
    <xf numFmtId="3" fontId="10" fillId="4" borderId="36" xfId="0" applyNumberFormat="1" applyFont="1" applyFill="1" applyBorder="1" applyAlignment="1">
      <alignment horizontal="right" vertical="center"/>
    </xf>
    <xf numFmtId="3" fontId="10" fillId="4" borderId="32" xfId="0" applyNumberFormat="1" applyFont="1" applyFill="1" applyBorder="1" applyAlignment="1">
      <alignment horizontal="right" vertical="center"/>
    </xf>
    <xf numFmtId="3" fontId="10" fillId="4" borderId="32" xfId="0" applyNumberFormat="1" applyFont="1" applyFill="1" applyBorder="1" applyAlignment="1">
      <alignment vertical="center"/>
    </xf>
    <xf numFmtId="3" fontId="10" fillId="4" borderId="47" xfId="0" applyNumberFormat="1" applyFont="1" applyFill="1" applyBorder="1" applyAlignment="1">
      <alignment vertical="center"/>
    </xf>
    <xf numFmtId="3" fontId="10" fillId="4" borderId="20" xfId="0" applyNumberFormat="1" applyFont="1" applyFill="1" applyBorder="1" applyAlignment="1">
      <alignment horizontal="right" vertical="center"/>
    </xf>
    <xf numFmtId="3" fontId="10" fillId="4" borderId="37" xfId="0" applyNumberFormat="1" applyFont="1" applyFill="1" applyBorder="1" applyAlignment="1">
      <alignment horizontal="right" vertical="center"/>
    </xf>
    <xf numFmtId="0" fontId="10" fillId="4" borderId="31" xfId="0" applyFont="1" applyFill="1" applyBorder="1" applyAlignment="1">
      <alignment horizontal="center" vertical="center"/>
    </xf>
    <xf numFmtId="0" fontId="0" fillId="4" borderId="26" xfId="0" applyFill="1" applyBorder="1" applyAlignment="1">
      <alignment horizontal="center" wrapText="1"/>
    </xf>
    <xf numFmtId="0" fontId="12" fillId="0" borderId="18" xfId="0" applyFont="1" applyBorder="1" applyAlignment="1">
      <alignment horizontal="center" vertical="center" wrapText="1"/>
    </xf>
    <xf numFmtId="3" fontId="11" fillId="0" borderId="87" xfId="1" applyNumberFormat="1" applyFont="1" applyBorder="1" applyAlignment="1">
      <alignment vertical="center" wrapText="1"/>
    </xf>
    <xf numFmtId="3" fontId="11" fillId="0" borderId="88" xfId="1" applyNumberFormat="1" applyFont="1" applyBorder="1" applyAlignment="1">
      <alignment horizontal="right" vertical="center" wrapText="1"/>
    </xf>
    <xf numFmtId="3" fontId="10" fillId="0" borderId="39" xfId="0" applyNumberFormat="1" applyFont="1" applyBorder="1" applyAlignment="1">
      <alignment horizontal="right" vertical="center" wrapText="1"/>
    </xf>
    <xf numFmtId="0" fontId="17" fillId="7" borderId="18" xfId="1" applyFont="1" applyFill="1" applyBorder="1" applyAlignment="1">
      <alignment horizontal="center" vertical="center" wrapText="1"/>
    </xf>
    <xf numFmtId="3" fontId="17" fillId="7" borderId="38" xfId="0" applyNumberFormat="1" applyFont="1" applyFill="1" applyBorder="1" applyAlignment="1">
      <alignment horizontal="right" vertical="center" wrapText="1"/>
    </xf>
    <xf numFmtId="3" fontId="17" fillId="7" borderId="56" xfId="0" applyNumberFormat="1" applyFont="1" applyFill="1" applyBorder="1" applyAlignment="1">
      <alignment horizontal="right" vertical="center" wrapText="1"/>
    </xf>
    <xf numFmtId="3" fontId="17" fillId="7" borderId="18" xfId="0" applyNumberFormat="1" applyFont="1" applyFill="1" applyBorder="1" applyAlignment="1">
      <alignment horizontal="right" vertical="center" wrapText="1"/>
    </xf>
    <xf numFmtId="3" fontId="17" fillId="7" borderId="55" xfId="0" applyNumberFormat="1" applyFont="1" applyFill="1" applyBorder="1" applyAlignment="1">
      <alignment horizontal="right" vertical="center" wrapText="1"/>
    </xf>
    <xf numFmtId="3" fontId="17" fillId="7" borderId="6" xfId="0" applyNumberFormat="1" applyFont="1" applyFill="1" applyBorder="1" applyAlignment="1">
      <alignment horizontal="right" vertical="center" wrapText="1"/>
    </xf>
    <xf numFmtId="3" fontId="36" fillId="7" borderId="55" xfId="0" applyNumberFormat="1" applyFont="1" applyFill="1" applyBorder="1" applyAlignment="1">
      <alignment horizontal="right" vertical="center" wrapText="1"/>
    </xf>
    <xf numFmtId="49" fontId="17" fillId="7" borderId="18" xfId="0" applyNumberFormat="1" applyFont="1" applyFill="1" applyBorder="1" applyAlignment="1">
      <alignment horizontal="center" vertical="center" wrapText="1"/>
    </xf>
    <xf numFmtId="3" fontId="11" fillId="0" borderId="9" xfId="1" applyNumberFormat="1" applyFont="1" applyBorder="1" applyAlignment="1">
      <alignment horizontal="right" vertical="center" wrapText="1"/>
    </xf>
    <xf numFmtId="49" fontId="11" fillId="2" borderId="31" xfId="0" applyNumberFormat="1" applyFont="1" applyFill="1" applyBorder="1" applyAlignment="1">
      <alignment horizontal="center" vertical="center"/>
    </xf>
    <xf numFmtId="0" fontId="12" fillId="2" borderId="26" xfId="0" applyFont="1" applyFill="1" applyBorder="1" applyAlignment="1">
      <alignment horizontal="center" vertical="center" wrapText="1"/>
    </xf>
    <xf numFmtId="0" fontId="10" fillId="2" borderId="31" xfId="1" applyFill="1" applyBorder="1" applyAlignment="1">
      <alignment horizontal="center" vertical="center" wrapText="1"/>
    </xf>
    <xf numFmtId="3" fontId="11" fillId="2" borderId="32" xfId="1" applyNumberFormat="1" applyFont="1" applyFill="1" applyBorder="1" applyAlignment="1">
      <alignment horizontal="right" vertical="center" wrapText="1"/>
    </xf>
    <xf numFmtId="3" fontId="10" fillId="2" borderId="47" xfId="1" applyNumberFormat="1" applyFill="1" applyBorder="1" applyAlignment="1">
      <alignment horizontal="right" vertical="center" wrapText="1"/>
    </xf>
    <xf numFmtId="3" fontId="10" fillId="2" borderId="36" xfId="1" applyNumberFormat="1" applyFill="1" applyBorder="1" applyAlignment="1">
      <alignment horizontal="right" vertical="center" wrapText="1"/>
    </xf>
    <xf numFmtId="3" fontId="10" fillId="2" borderId="41" xfId="1" applyNumberFormat="1" applyFill="1" applyBorder="1" applyAlignment="1">
      <alignment horizontal="right" vertical="center" wrapText="1"/>
    </xf>
    <xf numFmtId="3" fontId="10" fillId="2" borderId="42" xfId="0" applyNumberFormat="1" applyFont="1" applyFill="1" applyBorder="1" applyAlignment="1">
      <alignment horizontal="right" vertical="center" wrapText="1"/>
    </xf>
    <xf numFmtId="3" fontId="11" fillId="2" borderId="47" xfId="0" applyNumberFormat="1" applyFont="1" applyFill="1" applyBorder="1" applyAlignment="1">
      <alignment horizontal="right" vertical="center" wrapText="1"/>
    </xf>
    <xf numFmtId="49" fontId="11" fillId="2" borderId="30" xfId="0" applyNumberFormat="1" applyFont="1" applyFill="1" applyBorder="1" applyAlignment="1">
      <alignment horizontal="center" vertical="center"/>
    </xf>
    <xf numFmtId="49" fontId="11" fillId="2" borderId="14" xfId="0" applyNumberFormat="1" applyFont="1" applyFill="1" applyBorder="1" applyAlignment="1">
      <alignment horizontal="center" vertical="center" wrapText="1" shrinkToFit="1"/>
    </xf>
    <xf numFmtId="0" fontId="12" fillId="2" borderId="14" xfId="0" applyFont="1" applyFill="1" applyBorder="1" applyAlignment="1">
      <alignment horizontal="center" vertical="center" wrapText="1"/>
    </xf>
    <xf numFmtId="0" fontId="10" fillId="2" borderId="14" xfId="1" applyFill="1" applyBorder="1" applyAlignment="1">
      <alignment horizontal="center" vertical="center" wrapText="1"/>
    </xf>
    <xf numFmtId="0" fontId="10" fillId="2" borderId="30" xfId="1" applyFill="1" applyBorder="1" applyAlignment="1">
      <alignment horizontal="center" vertical="center" wrapText="1"/>
    </xf>
    <xf numFmtId="3" fontId="11" fillId="2" borderId="16" xfId="1" applyNumberFormat="1" applyFont="1" applyFill="1" applyBorder="1" applyAlignment="1">
      <alignment horizontal="right" vertical="center" wrapText="1"/>
    </xf>
    <xf numFmtId="3" fontId="10" fillId="2" borderId="68" xfId="1" applyNumberFormat="1" applyFill="1" applyBorder="1" applyAlignment="1">
      <alignment horizontal="right" vertical="center" wrapText="1"/>
    </xf>
    <xf numFmtId="3" fontId="10" fillId="2" borderId="69" xfId="1" applyNumberFormat="1" applyFill="1" applyBorder="1" applyAlignment="1">
      <alignment horizontal="right" vertical="center" wrapText="1"/>
    </xf>
    <xf numFmtId="3" fontId="10" fillId="2" borderId="52" xfId="1" applyNumberFormat="1" applyFill="1" applyBorder="1" applyAlignment="1">
      <alignment horizontal="right" vertical="center" wrapText="1"/>
    </xf>
    <xf numFmtId="3" fontId="10" fillId="2" borderId="73" xfId="0" applyNumberFormat="1" applyFont="1" applyFill="1" applyBorder="1" applyAlignment="1">
      <alignment horizontal="right" vertical="center" wrapText="1"/>
    </xf>
    <xf numFmtId="3" fontId="10" fillId="2" borderId="69" xfId="0" applyNumberFormat="1" applyFont="1" applyFill="1" applyBorder="1" applyAlignment="1">
      <alignment horizontal="right" vertical="center" wrapText="1"/>
    </xf>
    <xf numFmtId="3" fontId="10" fillId="2" borderId="74" xfId="0" applyNumberFormat="1" applyFont="1" applyFill="1" applyBorder="1" applyAlignment="1">
      <alignment horizontal="right" vertical="center" wrapText="1"/>
    </xf>
    <xf numFmtId="3" fontId="10" fillId="2" borderId="14" xfId="0" applyNumberFormat="1" applyFont="1" applyFill="1" applyBorder="1" applyAlignment="1">
      <alignment horizontal="right" vertical="center" wrapText="1"/>
    </xf>
    <xf numFmtId="3" fontId="11" fillId="2" borderId="14" xfId="0" applyNumberFormat="1" applyFont="1" applyFill="1" applyBorder="1" applyAlignment="1">
      <alignment horizontal="right" vertical="center" wrapText="1"/>
    </xf>
    <xf numFmtId="3" fontId="10" fillId="2" borderId="68" xfId="0" applyNumberFormat="1" applyFont="1" applyFill="1" applyBorder="1" applyAlignment="1">
      <alignment horizontal="right" vertical="center" wrapText="1"/>
    </xf>
    <xf numFmtId="3" fontId="10" fillId="2" borderId="16" xfId="0" applyNumberFormat="1" applyFont="1" applyFill="1" applyBorder="1" applyAlignment="1">
      <alignment horizontal="right" vertical="center" wrapText="1"/>
    </xf>
    <xf numFmtId="3" fontId="11" fillId="2" borderId="68" xfId="0" applyNumberFormat="1" applyFont="1" applyFill="1" applyBorder="1" applyAlignment="1">
      <alignment horizontal="right" vertical="center" wrapText="1"/>
    </xf>
    <xf numFmtId="3" fontId="11" fillId="0" borderId="6" xfId="1" applyNumberFormat="1" applyFont="1" applyBorder="1" applyAlignment="1">
      <alignment horizontal="right" vertical="center" wrapText="1"/>
    </xf>
    <xf numFmtId="0" fontId="11" fillId="0" borderId="9" xfId="0" applyFont="1" applyBorder="1" applyAlignment="1">
      <alignment horizontal="right" vertical="center" wrapText="1"/>
    </xf>
    <xf numFmtId="0" fontId="10" fillId="0" borderId="50" xfId="0" applyFont="1" applyBorder="1" applyAlignment="1">
      <alignment horizontal="right" vertical="center" wrapText="1"/>
    </xf>
    <xf numFmtId="0" fontId="11" fillId="2" borderId="30" xfId="0" applyFont="1" applyFill="1" applyBorder="1" applyAlignment="1">
      <alignment horizontal="center" vertical="center" wrapText="1"/>
    </xf>
    <xf numFmtId="49" fontId="11" fillId="2" borderId="14" xfId="0" applyNumberFormat="1" applyFont="1" applyFill="1" applyBorder="1" applyAlignment="1">
      <alignment horizontal="center" vertical="center" wrapText="1"/>
    </xf>
    <xf numFmtId="0" fontId="11" fillId="2" borderId="16" xfId="0" applyFont="1" applyFill="1" applyBorder="1" applyAlignment="1">
      <alignment horizontal="right" vertical="center" wrapText="1"/>
    </xf>
    <xf numFmtId="0" fontId="10" fillId="2" borderId="68" xfId="0" applyFont="1" applyFill="1" applyBorder="1" applyAlignment="1">
      <alignment horizontal="right" vertical="center" wrapText="1"/>
    </xf>
    <xf numFmtId="0" fontId="10" fillId="2" borderId="69" xfId="0" applyFont="1" applyFill="1" applyBorder="1" applyAlignment="1">
      <alignment horizontal="right" vertical="center" wrapText="1"/>
    </xf>
    <xf numFmtId="0" fontId="10" fillId="2" borderId="52" xfId="0" applyFont="1" applyFill="1" applyBorder="1" applyAlignment="1">
      <alignment horizontal="right" vertical="center" wrapText="1"/>
    </xf>
    <xf numFmtId="0" fontId="10" fillId="2" borderId="73" xfId="0" applyFont="1" applyFill="1" applyBorder="1" applyAlignment="1">
      <alignment horizontal="right" vertical="center" wrapText="1"/>
    </xf>
    <xf numFmtId="0" fontId="10" fillId="2" borderId="74" xfId="0" applyFont="1" applyFill="1" applyBorder="1" applyAlignment="1">
      <alignment horizontal="right" vertical="center" wrapText="1"/>
    </xf>
    <xf numFmtId="0" fontId="11" fillId="2" borderId="14" xfId="0" applyFont="1" applyFill="1" applyBorder="1" applyAlignment="1">
      <alignment horizontal="right" vertical="center" wrapText="1"/>
    </xf>
    <xf numFmtId="0" fontId="10" fillId="2" borderId="14" xfId="0" applyFont="1" applyFill="1" applyBorder="1" applyAlignment="1">
      <alignment horizontal="right" vertical="center" wrapText="1"/>
    </xf>
    <xf numFmtId="3" fontId="16" fillId="0" borderId="2" xfId="0" applyNumberFormat="1" applyFont="1" applyBorder="1" applyAlignment="1">
      <alignment horizontal="right" vertical="center" wrapText="1"/>
    </xf>
    <xf numFmtId="0" fontId="16" fillId="0" borderId="9" xfId="0" applyFont="1" applyBorder="1" applyAlignment="1">
      <alignment horizontal="right" vertical="center" wrapText="1"/>
    </xf>
    <xf numFmtId="0" fontId="15" fillId="0" borderId="89" xfId="0" applyFont="1" applyBorder="1" applyAlignment="1">
      <alignment horizontal="right" vertical="center" wrapText="1"/>
    </xf>
    <xf numFmtId="0" fontId="11" fillId="0" borderId="32" xfId="0" applyFont="1" applyBorder="1" applyAlignment="1">
      <alignment horizontal="right" vertical="center" wrapText="1"/>
    </xf>
    <xf numFmtId="0" fontId="10" fillId="0" borderId="90" xfId="0" applyFont="1" applyBorder="1" applyAlignment="1">
      <alignment horizontal="right" vertical="center" wrapText="1"/>
    </xf>
    <xf numFmtId="0" fontId="11" fillId="0" borderId="15" xfId="0" applyFont="1" applyBorder="1" applyAlignment="1">
      <alignment horizontal="center" vertical="center" wrapText="1"/>
    </xf>
    <xf numFmtId="0" fontId="11" fillId="0" borderId="45" xfId="0" applyFont="1" applyBorder="1" applyAlignment="1">
      <alignment horizontal="right" vertical="center" wrapText="1"/>
    </xf>
    <xf numFmtId="0" fontId="10" fillId="0" borderId="91" xfId="0" applyFont="1" applyBorder="1" applyAlignment="1">
      <alignment horizontal="right" vertical="center" wrapText="1"/>
    </xf>
    <xf numFmtId="0" fontId="10" fillId="0" borderId="92" xfId="0" applyFont="1" applyBorder="1" applyAlignment="1">
      <alignment horizontal="right" vertical="center" wrapText="1"/>
    </xf>
    <xf numFmtId="0" fontId="10" fillId="0" borderId="93" xfId="0" applyFont="1" applyBorder="1" applyAlignment="1">
      <alignment horizontal="right" vertical="center" wrapText="1"/>
    </xf>
    <xf numFmtId="0" fontId="10" fillId="0" borderId="94" xfId="0" applyFont="1" applyBorder="1" applyAlignment="1">
      <alignment horizontal="right" vertical="center" wrapText="1"/>
    </xf>
    <xf numFmtId="0" fontId="10" fillId="0" borderId="95" xfId="0" applyFont="1" applyBorder="1" applyAlignment="1">
      <alignment horizontal="right" vertical="center" wrapText="1"/>
    </xf>
    <xf numFmtId="0" fontId="11" fillId="11" borderId="13" xfId="0" applyFont="1" applyFill="1" applyBorder="1" applyAlignment="1">
      <alignment horizontal="right" vertical="center" wrapText="1"/>
    </xf>
    <xf numFmtId="0" fontId="10" fillId="0" borderId="13" xfId="0" applyFont="1" applyBorder="1" applyAlignment="1">
      <alignment horizontal="right" vertical="center" wrapText="1"/>
    </xf>
    <xf numFmtId="0" fontId="11" fillId="4" borderId="51" xfId="0" applyFont="1" applyFill="1" applyBorder="1" applyAlignment="1">
      <alignment horizontal="center" vertical="center" wrapText="1"/>
    </xf>
    <xf numFmtId="0" fontId="10" fillId="4" borderId="25" xfId="1" applyFill="1" applyBorder="1" applyAlignment="1">
      <alignment horizontal="center" vertical="center" wrapText="1"/>
    </xf>
    <xf numFmtId="3" fontId="11" fillId="4" borderId="23" xfId="0" applyNumberFormat="1" applyFont="1" applyFill="1" applyBorder="1" applyAlignment="1">
      <alignment vertical="center" wrapText="1"/>
    </xf>
    <xf numFmtId="0" fontId="11" fillId="4" borderId="24" xfId="0" applyFont="1" applyFill="1" applyBorder="1" applyAlignment="1">
      <alignment horizontal="right" vertical="center" wrapText="1"/>
    </xf>
    <xf numFmtId="3" fontId="10" fillId="4" borderId="58" xfId="0" applyNumberFormat="1" applyFont="1" applyFill="1" applyBorder="1" applyAlignment="1">
      <alignment horizontal="right" vertical="center" wrapText="1"/>
    </xf>
    <xf numFmtId="3" fontId="10" fillId="4" borderId="21" xfId="0" applyNumberFormat="1" applyFont="1" applyFill="1" applyBorder="1" applyAlignment="1">
      <alignment horizontal="right" vertical="center" wrapText="1"/>
    </xf>
    <xf numFmtId="3" fontId="10" fillId="4" borderId="75" xfId="0" applyNumberFormat="1" applyFont="1" applyFill="1" applyBorder="1" applyAlignment="1">
      <alignment horizontal="right" vertical="center" wrapText="1"/>
    </xf>
    <xf numFmtId="3" fontId="10" fillId="4" borderId="44" xfId="0" applyNumberFormat="1" applyFont="1" applyFill="1" applyBorder="1" applyAlignment="1">
      <alignment horizontal="right" vertical="center" wrapText="1"/>
    </xf>
    <xf numFmtId="3" fontId="10" fillId="4" borderId="51" xfId="0" applyNumberFormat="1" applyFont="1" applyFill="1" applyBorder="1" applyAlignment="1">
      <alignment horizontal="right" vertical="center" wrapText="1"/>
    </xf>
    <xf numFmtId="0" fontId="11" fillId="4" borderId="42" xfId="0" applyFont="1" applyFill="1" applyBorder="1" applyAlignment="1">
      <alignment horizontal="center" vertical="center" wrapText="1"/>
    </xf>
    <xf numFmtId="0" fontId="10" fillId="4" borderId="31" xfId="1" applyFill="1" applyBorder="1" applyAlignment="1">
      <alignment horizontal="center" vertical="center" wrapText="1"/>
    </xf>
    <xf numFmtId="3" fontId="11" fillId="4" borderId="26" xfId="0" applyNumberFormat="1" applyFont="1" applyFill="1" applyBorder="1" applyAlignment="1">
      <alignment vertical="center" wrapText="1"/>
    </xf>
    <xf numFmtId="0" fontId="11" fillId="4" borderId="32" xfId="0" applyFont="1" applyFill="1" applyBorder="1" applyAlignment="1">
      <alignment horizontal="right" vertical="center" wrapText="1"/>
    </xf>
    <xf numFmtId="3" fontId="10" fillId="4" borderId="20" xfId="0" applyNumberFormat="1" applyFont="1" applyFill="1" applyBorder="1" applyAlignment="1">
      <alignment horizontal="right" vertical="center" wrapText="1"/>
    </xf>
    <xf numFmtId="3" fontId="10" fillId="4" borderId="41" xfId="0" applyNumberFormat="1" applyFont="1" applyFill="1" applyBorder="1" applyAlignment="1">
      <alignment horizontal="right" vertical="center" wrapText="1"/>
    </xf>
    <xf numFmtId="3" fontId="10" fillId="4" borderId="42" xfId="0" applyNumberFormat="1" applyFont="1" applyFill="1" applyBorder="1" applyAlignment="1">
      <alignment horizontal="right" vertical="center" wrapText="1"/>
    </xf>
    <xf numFmtId="3" fontId="11" fillId="2" borderId="55" xfId="1" applyNumberFormat="1" applyFont="1" applyFill="1" applyBorder="1" applyAlignment="1">
      <alignment vertical="center" wrapText="1"/>
    </xf>
    <xf numFmtId="3" fontId="11" fillId="2" borderId="56" xfId="1" applyNumberFormat="1" applyFont="1" applyFill="1" applyBorder="1" applyAlignment="1">
      <alignment vertical="center" wrapText="1"/>
    </xf>
    <xf numFmtId="3" fontId="11" fillId="2" borderId="6" xfId="1" applyNumberFormat="1" applyFont="1" applyFill="1" applyBorder="1" applyAlignment="1">
      <alignment vertical="center" wrapText="1"/>
    </xf>
    <xf numFmtId="3" fontId="10" fillId="2" borderId="68" xfId="0" applyNumberFormat="1" applyFont="1" applyFill="1" applyBorder="1" applyAlignment="1">
      <alignment vertical="center" wrapText="1"/>
    </xf>
    <xf numFmtId="3" fontId="10" fillId="2" borderId="73" xfId="0" applyNumberFormat="1" applyFont="1" applyFill="1" applyBorder="1" applyAlignment="1">
      <alignment vertical="center" wrapText="1"/>
    </xf>
    <xf numFmtId="3" fontId="10" fillId="2" borderId="74" xfId="0" applyNumberFormat="1" applyFont="1" applyFill="1" applyBorder="1" applyAlignment="1">
      <alignment vertical="center" wrapText="1"/>
    </xf>
    <xf numFmtId="3" fontId="10" fillId="2" borderId="55" xfId="0" applyNumberFormat="1" applyFont="1" applyFill="1" applyBorder="1" applyAlignment="1">
      <alignment horizontal="right" vertical="center" wrapText="1"/>
    </xf>
    <xf numFmtId="3" fontId="10" fillId="2" borderId="6" xfId="0" applyNumberFormat="1" applyFont="1" applyFill="1" applyBorder="1" applyAlignment="1">
      <alignment horizontal="right" vertical="center" wrapText="1"/>
    </xf>
    <xf numFmtId="49" fontId="10" fillId="2" borderId="15" xfId="0" applyNumberFormat="1" applyFont="1" applyFill="1" applyBorder="1" applyAlignment="1">
      <alignment horizontal="center" vertical="center" wrapText="1"/>
    </xf>
    <xf numFmtId="49" fontId="14" fillId="2" borderId="2" xfId="0" applyNumberFormat="1" applyFont="1" applyFill="1" applyBorder="1" applyAlignment="1">
      <alignment horizontal="center" vertical="center" wrapText="1"/>
    </xf>
    <xf numFmtId="49" fontId="14" fillId="2" borderId="4" xfId="0" applyNumberFormat="1" applyFont="1" applyFill="1" applyBorder="1" applyAlignment="1">
      <alignment horizontal="center" vertical="center" wrapText="1" shrinkToFit="1"/>
    </xf>
    <xf numFmtId="0" fontId="54" fillId="2" borderId="2" xfId="1" applyFont="1" applyFill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center" vertical="center" wrapText="1"/>
    </xf>
    <xf numFmtId="0" fontId="13" fillId="2" borderId="2" xfId="1" applyFont="1" applyFill="1" applyBorder="1" applyAlignment="1">
      <alignment horizontal="center" vertical="center" wrapText="1"/>
    </xf>
    <xf numFmtId="3" fontId="14" fillId="2" borderId="2" xfId="1" applyNumberFormat="1" applyFont="1" applyFill="1" applyBorder="1" applyAlignment="1">
      <alignment vertical="center" wrapText="1"/>
    </xf>
    <xf numFmtId="3" fontId="14" fillId="2" borderId="4" xfId="1" applyNumberFormat="1" applyFont="1" applyFill="1" applyBorder="1" applyAlignment="1">
      <alignment vertical="center" wrapText="1"/>
    </xf>
    <xf numFmtId="3" fontId="13" fillId="2" borderId="62" xfId="1" applyNumberFormat="1" applyFont="1" applyFill="1" applyBorder="1" applyAlignment="1">
      <alignment vertical="center" wrapText="1"/>
    </xf>
    <xf numFmtId="3" fontId="13" fillId="2" borderId="63" xfId="1" applyNumberFormat="1" applyFont="1" applyFill="1" applyBorder="1" applyAlignment="1">
      <alignment vertical="center" wrapText="1"/>
    </xf>
    <xf numFmtId="3" fontId="13" fillId="2" borderId="46" xfId="1" applyNumberFormat="1" applyFont="1" applyFill="1" applyBorder="1" applyAlignment="1">
      <alignment vertical="center" wrapText="1"/>
    </xf>
    <xf numFmtId="3" fontId="13" fillId="2" borderId="62" xfId="0" applyNumberFormat="1" applyFont="1" applyFill="1" applyBorder="1" applyAlignment="1">
      <alignment vertical="center" wrapText="1"/>
    </xf>
    <xf numFmtId="3" fontId="13" fillId="2" borderId="53" xfId="0" applyNumberFormat="1" applyFont="1" applyFill="1" applyBorder="1" applyAlignment="1">
      <alignment vertical="center" wrapText="1"/>
    </xf>
    <xf numFmtId="3" fontId="13" fillId="2" borderId="9" xfId="0" applyNumberFormat="1" applyFont="1" applyFill="1" applyBorder="1" applyAlignment="1">
      <alignment vertical="center" wrapText="1"/>
    </xf>
    <xf numFmtId="3" fontId="13" fillId="2" borderId="2" xfId="0" applyNumberFormat="1" applyFont="1" applyFill="1" applyBorder="1" applyAlignment="1">
      <alignment horizontal="right" vertical="center" wrapText="1"/>
    </xf>
    <xf numFmtId="3" fontId="14" fillId="2" borderId="9" xfId="0" applyNumberFormat="1" applyFont="1" applyFill="1" applyBorder="1" applyAlignment="1">
      <alignment horizontal="right" vertical="center" wrapText="1"/>
    </xf>
    <xf numFmtId="3" fontId="14" fillId="2" borderId="26" xfId="0" applyNumberFormat="1" applyFont="1" applyFill="1" applyBorder="1" applyAlignment="1">
      <alignment horizontal="right" vertical="center" wrapText="1"/>
    </xf>
    <xf numFmtId="3" fontId="13" fillId="2" borderId="2" xfId="0" applyNumberFormat="1" applyFont="1" applyFill="1" applyBorder="1" applyAlignment="1">
      <alignment vertical="center" wrapText="1"/>
    </xf>
    <xf numFmtId="3" fontId="13" fillId="2" borderId="4" xfId="0" applyNumberFormat="1" applyFont="1" applyFill="1" applyBorder="1" applyAlignment="1">
      <alignment vertical="center" wrapText="1"/>
    </xf>
    <xf numFmtId="3" fontId="13" fillId="2" borderId="63" xfId="0" applyNumberFormat="1" applyFont="1" applyFill="1" applyBorder="1" applyAlignment="1">
      <alignment vertical="center" wrapText="1"/>
    </xf>
    <xf numFmtId="3" fontId="13" fillId="2" borderId="9" xfId="1" applyNumberFormat="1" applyFont="1" applyFill="1" applyBorder="1" applyAlignment="1">
      <alignment vertical="center" wrapText="1"/>
    </xf>
    <xf numFmtId="3" fontId="13" fillId="2" borderId="62" xfId="0" applyNumberFormat="1" applyFont="1" applyFill="1" applyBorder="1" applyAlignment="1">
      <alignment horizontal="right" vertical="center" wrapText="1"/>
    </xf>
    <xf numFmtId="3" fontId="13" fillId="2" borderId="53" xfId="0" applyNumberFormat="1" applyFont="1" applyFill="1" applyBorder="1" applyAlignment="1">
      <alignment horizontal="right" vertical="center" wrapText="1"/>
    </xf>
    <xf numFmtId="3" fontId="13" fillId="2" borderId="9" xfId="0" applyNumberFormat="1" applyFont="1" applyFill="1" applyBorder="1" applyAlignment="1">
      <alignment horizontal="right" vertical="center" wrapText="1"/>
    </xf>
    <xf numFmtId="3" fontId="13" fillId="2" borderId="2" xfId="0" applyNumberFormat="1" applyFont="1" applyFill="1" applyBorder="1" applyAlignment="1">
      <alignment horizontal="center" vertical="center" wrapText="1"/>
    </xf>
    <xf numFmtId="49" fontId="13" fillId="2" borderId="4" xfId="0" applyNumberFormat="1" applyFont="1" applyFill="1" applyBorder="1" applyAlignment="1">
      <alignment horizontal="center" vertical="center" wrapText="1"/>
    </xf>
    <xf numFmtId="49" fontId="13" fillId="2" borderId="2" xfId="0" applyNumberFormat="1" applyFont="1" applyFill="1" applyBorder="1" applyAlignment="1">
      <alignment horizontal="center" vertical="center" wrapText="1"/>
    </xf>
    <xf numFmtId="3" fontId="13" fillId="0" borderId="41" xfId="1" applyNumberFormat="1" applyFont="1" applyBorder="1" applyAlignment="1">
      <alignment vertical="center" wrapText="1"/>
    </xf>
    <xf numFmtId="3" fontId="13" fillId="0" borderId="36" xfId="0" applyNumberFormat="1" applyFont="1" applyBorder="1" applyAlignment="1">
      <alignment vertical="center" wrapText="1"/>
    </xf>
    <xf numFmtId="3" fontId="14" fillId="3" borderId="32" xfId="0" applyNumberFormat="1" applyFont="1" applyFill="1" applyBorder="1" applyAlignment="1">
      <alignment horizontal="right" vertical="center" wrapText="1"/>
    </xf>
    <xf numFmtId="49" fontId="13" fillId="0" borderId="31" xfId="0" applyNumberFormat="1" applyFont="1" applyBorder="1" applyAlignment="1">
      <alignment horizontal="center" vertical="center" wrapText="1"/>
    </xf>
    <xf numFmtId="3" fontId="10" fillId="2" borderId="17" xfId="1" applyNumberFormat="1" applyFill="1" applyBorder="1" applyAlignment="1">
      <alignment vertical="center" wrapText="1"/>
    </xf>
    <xf numFmtId="3" fontId="11" fillId="2" borderId="45" xfId="0" applyNumberFormat="1" applyFont="1" applyFill="1" applyBorder="1" applyAlignment="1">
      <alignment horizontal="right" vertical="center" wrapText="1"/>
    </xf>
    <xf numFmtId="3" fontId="18" fillId="0" borderId="16" xfId="0" applyNumberFormat="1" applyFont="1" applyBorder="1" applyAlignment="1">
      <alignment vertical="center" wrapText="1"/>
    </xf>
    <xf numFmtId="0" fontId="0" fillId="2" borderId="26" xfId="0" applyFill="1" applyBorder="1" applyAlignment="1">
      <alignment horizontal="center" wrapText="1"/>
    </xf>
    <xf numFmtId="49" fontId="11" fillId="0" borderId="11" xfId="0" applyNumberFormat="1" applyFont="1" applyBorder="1" applyAlignment="1">
      <alignment horizontal="center" vertical="center" wrapText="1" shrinkToFit="1"/>
    </xf>
    <xf numFmtId="0" fontId="12" fillId="0" borderId="7" xfId="0" applyFont="1" applyBorder="1" applyAlignment="1">
      <alignment horizontal="center" vertical="center" wrapText="1"/>
    </xf>
    <xf numFmtId="3" fontId="11" fillId="0" borderId="3" xfId="1" applyNumberFormat="1" applyFont="1" applyBorder="1" applyAlignment="1">
      <alignment horizontal="right" vertical="center" wrapText="1"/>
    </xf>
    <xf numFmtId="3" fontId="11" fillId="0" borderId="10" xfId="1" applyNumberFormat="1" applyFont="1" applyBorder="1" applyAlignment="1">
      <alignment horizontal="right" vertical="center" wrapText="1"/>
    </xf>
    <xf numFmtId="3" fontId="10" fillId="0" borderId="67" xfId="1" applyNumberFormat="1" applyBorder="1" applyAlignment="1">
      <alignment horizontal="right" vertical="center" wrapText="1"/>
    </xf>
    <xf numFmtId="3" fontId="10" fillId="0" borderId="60" xfId="1" applyNumberFormat="1" applyBorder="1" applyAlignment="1">
      <alignment horizontal="right" vertical="center" wrapText="1"/>
    </xf>
    <xf numFmtId="3" fontId="10" fillId="0" borderId="77" xfId="1" applyNumberFormat="1" applyBorder="1" applyAlignment="1">
      <alignment horizontal="right" vertical="center" wrapText="1"/>
    </xf>
    <xf numFmtId="3" fontId="10" fillId="11" borderId="3" xfId="0" applyNumberFormat="1" applyFont="1" applyFill="1" applyBorder="1" applyAlignment="1">
      <alignment horizontal="right" vertical="center" wrapText="1"/>
    </xf>
    <xf numFmtId="3" fontId="11" fillId="3" borderId="11" xfId="0" applyNumberFormat="1" applyFont="1" applyFill="1" applyBorder="1" applyAlignment="1">
      <alignment horizontal="right" vertical="center" wrapText="1"/>
    </xf>
    <xf numFmtId="3" fontId="11" fillId="11" borderId="3" xfId="0" applyNumberFormat="1" applyFont="1" applyFill="1" applyBorder="1" applyAlignment="1">
      <alignment horizontal="right" vertical="center" wrapText="1"/>
    </xf>
    <xf numFmtId="3" fontId="10" fillId="0" borderId="7" xfId="0" applyNumberFormat="1" applyFont="1" applyBorder="1" applyAlignment="1">
      <alignment horizontal="right" vertical="center" wrapText="1"/>
    </xf>
    <xf numFmtId="3" fontId="10" fillId="0" borderId="71" xfId="0" applyNumberFormat="1" applyFont="1" applyBorder="1" applyAlignment="1">
      <alignment horizontal="right" vertical="center" wrapText="1"/>
    </xf>
    <xf numFmtId="49" fontId="11" fillId="4" borderId="2" xfId="0" applyNumberFormat="1" applyFont="1" applyFill="1" applyBorder="1" applyAlignment="1">
      <alignment horizontal="center" vertical="center" wrapText="1"/>
    </xf>
    <xf numFmtId="49" fontId="11" fillId="4" borderId="2" xfId="0" applyNumberFormat="1" applyFont="1" applyFill="1" applyBorder="1" applyAlignment="1">
      <alignment horizontal="center" vertical="center" wrapText="1" shrinkToFit="1"/>
    </xf>
    <xf numFmtId="0" fontId="12" fillId="4" borderId="2" xfId="0" applyFont="1" applyFill="1" applyBorder="1" applyAlignment="1">
      <alignment horizontal="center" vertical="center" wrapText="1"/>
    </xf>
    <xf numFmtId="0" fontId="10" fillId="4" borderId="2" xfId="1" applyFill="1" applyBorder="1" applyAlignment="1">
      <alignment horizontal="center" vertical="center" wrapText="1"/>
    </xf>
    <xf numFmtId="3" fontId="10" fillId="4" borderId="62" xfId="1" applyNumberFormat="1" applyFill="1" applyBorder="1" applyAlignment="1">
      <alignment horizontal="right" vertical="center" wrapText="1"/>
    </xf>
    <xf numFmtId="3" fontId="10" fillId="4" borderId="63" xfId="1" applyNumberFormat="1" applyFill="1" applyBorder="1" applyAlignment="1">
      <alignment horizontal="right" vertical="center" wrapText="1"/>
    </xf>
    <xf numFmtId="3" fontId="10" fillId="4" borderId="9" xfId="1" applyNumberFormat="1" applyFill="1" applyBorder="1" applyAlignment="1">
      <alignment horizontal="right" vertical="center" wrapText="1"/>
    </xf>
    <xf numFmtId="3" fontId="10" fillId="4" borderId="2" xfId="0" applyNumberFormat="1" applyFont="1" applyFill="1" applyBorder="1" applyAlignment="1">
      <alignment horizontal="right" vertical="center" wrapText="1"/>
    </xf>
    <xf numFmtId="3" fontId="10" fillId="4" borderId="62" xfId="0" applyNumberFormat="1" applyFont="1" applyFill="1" applyBorder="1" applyAlignment="1">
      <alignment horizontal="right" vertical="center" wrapText="1"/>
    </xf>
    <xf numFmtId="3" fontId="10" fillId="4" borderId="63" xfId="0" applyNumberFormat="1" applyFont="1" applyFill="1" applyBorder="1" applyAlignment="1">
      <alignment horizontal="right" vertical="center" wrapText="1"/>
    </xf>
    <xf numFmtId="3" fontId="10" fillId="4" borderId="9" xfId="0" applyNumberFormat="1" applyFont="1" applyFill="1" applyBorder="1" applyAlignment="1">
      <alignment horizontal="right" vertical="center" wrapText="1"/>
    </xf>
    <xf numFmtId="3" fontId="10" fillId="4" borderId="2" xfId="0" applyNumberFormat="1" applyFont="1" applyFill="1" applyBorder="1" applyAlignment="1">
      <alignment horizontal="center" vertical="center" wrapText="1"/>
    </xf>
    <xf numFmtId="0" fontId="10" fillId="4" borderId="8" xfId="0" applyFont="1" applyFill="1" applyBorder="1" applyAlignment="1">
      <alignment horizontal="center" vertical="center" wrapText="1"/>
    </xf>
    <xf numFmtId="49" fontId="11" fillId="4" borderId="23" xfId="0" applyNumberFormat="1" applyFont="1" applyFill="1" applyBorder="1" applyAlignment="1">
      <alignment horizontal="center" vertical="center" wrapText="1" shrinkToFit="1"/>
    </xf>
    <xf numFmtId="3" fontId="10" fillId="4" borderId="58" xfId="1" applyNumberFormat="1" applyFill="1" applyBorder="1" applyAlignment="1">
      <alignment horizontal="right" vertical="center" wrapText="1"/>
    </xf>
    <xf numFmtId="3" fontId="10" fillId="4" borderId="21" xfId="1" applyNumberFormat="1" applyFill="1" applyBorder="1" applyAlignment="1">
      <alignment horizontal="right" vertical="center" wrapText="1"/>
    </xf>
    <xf numFmtId="3" fontId="10" fillId="4" borderId="24" xfId="1" applyNumberFormat="1" applyFill="1" applyBorder="1" applyAlignment="1">
      <alignment horizontal="right" vertical="center" wrapText="1"/>
    </xf>
    <xf numFmtId="3" fontId="10" fillId="4" borderId="24" xfId="0" applyNumberFormat="1" applyFont="1" applyFill="1" applyBorder="1" applyAlignment="1">
      <alignment horizontal="right" vertical="center" wrapText="1"/>
    </xf>
    <xf numFmtId="0" fontId="12" fillId="2" borderId="25" xfId="0" applyFont="1" applyFill="1" applyBorder="1" applyAlignment="1">
      <alignment horizontal="center" vertical="center" wrapText="1"/>
    </xf>
    <xf numFmtId="0" fontId="10" fillId="2" borderId="2" xfId="1" applyFill="1" applyBorder="1" applyAlignment="1">
      <alignment horizontal="center" vertical="center" wrapText="1"/>
    </xf>
    <xf numFmtId="3" fontId="10" fillId="2" borderId="62" xfId="1" applyNumberFormat="1" applyFill="1" applyBorder="1" applyAlignment="1">
      <alignment vertical="center" wrapText="1"/>
    </xf>
    <xf numFmtId="3" fontId="10" fillId="2" borderId="63" xfId="1" applyNumberFormat="1" applyFill="1" applyBorder="1" applyAlignment="1">
      <alignment vertical="center" wrapText="1"/>
    </xf>
    <xf numFmtId="3" fontId="10" fillId="2" borderId="46" xfId="1" applyNumberFormat="1" applyFill="1" applyBorder="1" applyAlignment="1">
      <alignment vertical="center" wrapText="1"/>
    </xf>
    <xf numFmtId="3" fontId="10" fillId="2" borderId="62" xfId="0" applyNumberFormat="1" applyFont="1" applyFill="1" applyBorder="1" applyAlignment="1">
      <alignment vertical="center" wrapText="1"/>
    </xf>
    <xf numFmtId="49" fontId="11" fillId="2" borderId="13" xfId="0" applyNumberFormat="1" applyFont="1" applyFill="1" applyBorder="1" applyAlignment="1">
      <alignment horizontal="center" vertical="center" wrapText="1" shrinkToFit="1"/>
    </xf>
    <xf numFmtId="0" fontId="12" fillId="2" borderId="15" xfId="0" applyFont="1" applyFill="1" applyBorder="1" applyAlignment="1">
      <alignment horizontal="center" vertical="center" wrapText="1"/>
    </xf>
    <xf numFmtId="3" fontId="10" fillId="2" borderId="68" xfId="1" applyNumberFormat="1" applyFill="1" applyBorder="1" applyAlignment="1">
      <alignment vertical="center" wrapText="1"/>
    </xf>
    <xf numFmtId="3" fontId="10" fillId="2" borderId="69" xfId="1" applyNumberFormat="1" applyFill="1" applyBorder="1" applyAlignment="1">
      <alignment vertical="center" wrapText="1"/>
    </xf>
    <xf numFmtId="3" fontId="10" fillId="2" borderId="52" xfId="1" applyNumberFormat="1" applyFill="1" applyBorder="1" applyAlignment="1">
      <alignment vertical="center" wrapText="1"/>
    </xf>
    <xf numFmtId="0" fontId="12" fillId="2" borderId="30" xfId="0" applyFont="1" applyFill="1" applyBorder="1" applyAlignment="1">
      <alignment horizontal="center" vertical="center" wrapText="1"/>
    </xf>
    <xf numFmtId="49" fontId="11" fillId="2" borderId="18" xfId="0" applyNumberFormat="1" applyFont="1" applyFill="1" applyBorder="1" applyAlignment="1">
      <alignment horizontal="center" vertical="center" wrapText="1"/>
    </xf>
    <xf numFmtId="49" fontId="11" fillId="2" borderId="6" xfId="0" applyNumberFormat="1" applyFont="1" applyFill="1" applyBorder="1" applyAlignment="1">
      <alignment horizontal="center" vertical="center" wrapText="1" shrinkToFit="1"/>
    </xf>
    <xf numFmtId="3" fontId="11" fillId="2" borderId="18" xfId="1" applyNumberFormat="1" applyFont="1" applyFill="1" applyBorder="1" applyAlignment="1">
      <alignment vertical="center" wrapText="1"/>
    </xf>
    <xf numFmtId="3" fontId="11" fillId="2" borderId="12" xfId="1" applyNumberFormat="1" applyFont="1" applyFill="1" applyBorder="1" applyAlignment="1">
      <alignment vertical="center" wrapText="1"/>
    </xf>
    <xf numFmtId="3" fontId="10" fillId="2" borderId="55" xfId="1" applyNumberFormat="1" applyFill="1" applyBorder="1" applyAlignment="1">
      <alignment vertical="center" wrapText="1"/>
    </xf>
    <xf numFmtId="3" fontId="10" fillId="2" borderId="56" xfId="1" applyNumberFormat="1" applyFill="1" applyBorder="1" applyAlignment="1">
      <alignment vertical="center" wrapText="1"/>
    </xf>
    <xf numFmtId="3" fontId="10" fillId="2" borderId="57" xfId="0" applyNumberFormat="1" applyFont="1" applyFill="1" applyBorder="1" applyAlignment="1">
      <alignment vertical="center" wrapText="1"/>
    </xf>
    <xf numFmtId="3" fontId="10" fillId="2" borderId="55" xfId="0" applyNumberFormat="1" applyFont="1" applyFill="1" applyBorder="1" applyAlignment="1">
      <alignment vertical="center" wrapText="1"/>
    </xf>
    <xf numFmtId="3" fontId="10" fillId="2" borderId="57" xfId="1" applyNumberFormat="1" applyFill="1" applyBorder="1" applyAlignment="1">
      <alignment vertical="center" wrapText="1"/>
    </xf>
    <xf numFmtId="3" fontId="10" fillId="2" borderId="6" xfId="0" applyNumberFormat="1" applyFont="1" applyFill="1" applyBorder="1" applyAlignment="1">
      <alignment vertical="center" wrapText="1"/>
    </xf>
    <xf numFmtId="3" fontId="10" fillId="2" borderId="63" xfId="0" applyNumberFormat="1" applyFont="1" applyFill="1" applyBorder="1" applyAlignment="1">
      <alignment vertical="center" wrapText="1"/>
    </xf>
    <xf numFmtId="3" fontId="10" fillId="2" borderId="58" xfId="0" applyNumberFormat="1" applyFont="1" applyFill="1" applyBorder="1" applyAlignment="1">
      <alignment horizontal="right" vertical="center" wrapText="1"/>
    </xf>
    <xf numFmtId="3" fontId="10" fillId="2" borderId="53" xfId="0" applyNumberFormat="1" applyFont="1" applyFill="1" applyBorder="1" applyAlignment="1">
      <alignment horizontal="right" vertical="center" wrapText="1"/>
    </xf>
    <xf numFmtId="3" fontId="10" fillId="2" borderId="24" xfId="0" applyNumberFormat="1" applyFont="1" applyFill="1" applyBorder="1" applyAlignment="1">
      <alignment horizontal="right" vertical="center" wrapText="1"/>
    </xf>
    <xf numFmtId="3" fontId="10" fillId="2" borderId="38" xfId="0" applyNumberFormat="1" applyFont="1" applyFill="1" applyBorder="1" applyAlignment="1">
      <alignment horizontal="right" vertical="center" wrapText="1"/>
    </xf>
    <xf numFmtId="3" fontId="17" fillId="0" borderId="32" xfId="1" applyNumberFormat="1" applyFont="1" applyBorder="1" applyAlignment="1">
      <alignment horizontal="right" vertical="center" wrapText="1"/>
    </xf>
    <xf numFmtId="0" fontId="25" fillId="0" borderId="0" xfId="0" applyFont="1"/>
    <xf numFmtId="3" fontId="10" fillId="2" borderId="58" xfId="1" applyNumberFormat="1" applyFill="1" applyBorder="1" applyAlignment="1">
      <alignment horizontal="right" vertical="center" wrapText="1"/>
    </xf>
    <xf numFmtId="3" fontId="10" fillId="2" borderId="21" xfId="1" applyNumberFormat="1" applyFill="1" applyBorder="1" applyAlignment="1">
      <alignment horizontal="right" vertical="center" wrapText="1"/>
    </xf>
    <xf numFmtId="3" fontId="10" fillId="2" borderId="24" xfId="1" applyNumberFormat="1" applyFill="1" applyBorder="1" applyAlignment="1">
      <alignment horizontal="right" vertical="center" wrapText="1"/>
    </xf>
    <xf numFmtId="3" fontId="10" fillId="2" borderId="20" xfId="1" applyNumberFormat="1" applyFill="1" applyBorder="1" applyAlignment="1">
      <alignment horizontal="right" vertical="center" wrapText="1"/>
    </xf>
    <xf numFmtId="3" fontId="10" fillId="2" borderId="32" xfId="1" applyNumberFormat="1" applyFill="1" applyBorder="1" applyAlignment="1">
      <alignment horizontal="right" vertical="center" wrapText="1"/>
    </xf>
    <xf numFmtId="49" fontId="11" fillId="2" borderId="12" xfId="0" applyNumberFormat="1" applyFont="1" applyFill="1" applyBorder="1" applyAlignment="1">
      <alignment horizontal="center" vertical="center" wrapText="1"/>
    </xf>
    <xf numFmtId="49" fontId="11" fillId="2" borderId="18" xfId="0" applyNumberFormat="1" applyFont="1" applyFill="1" applyBorder="1" applyAlignment="1">
      <alignment horizontal="center" vertical="center" wrapText="1" shrinkToFit="1"/>
    </xf>
    <xf numFmtId="3" fontId="11" fillId="2" borderId="18" xfId="1" applyNumberFormat="1" applyFont="1" applyFill="1" applyBorder="1" applyAlignment="1">
      <alignment horizontal="right" vertical="center" wrapText="1"/>
    </xf>
    <xf numFmtId="3" fontId="11" fillId="2" borderId="12" xfId="1" applyNumberFormat="1" applyFont="1" applyFill="1" applyBorder="1" applyAlignment="1">
      <alignment horizontal="right" vertical="center" wrapText="1"/>
    </xf>
    <xf numFmtId="3" fontId="10" fillId="2" borderId="55" xfId="1" applyNumberFormat="1" applyFill="1" applyBorder="1" applyAlignment="1">
      <alignment horizontal="right" vertical="center" wrapText="1"/>
    </xf>
    <xf numFmtId="3" fontId="10" fillId="2" borderId="56" xfId="1" applyNumberFormat="1" applyFill="1" applyBorder="1" applyAlignment="1">
      <alignment horizontal="right" vertical="center" wrapText="1"/>
    </xf>
    <xf numFmtId="3" fontId="10" fillId="2" borderId="57" xfId="1" applyNumberFormat="1" applyFill="1" applyBorder="1" applyAlignment="1">
      <alignment horizontal="right" vertical="center" wrapText="1"/>
    </xf>
    <xf numFmtId="3" fontId="10" fillId="2" borderId="5" xfId="0" applyNumberFormat="1" applyFont="1" applyFill="1" applyBorder="1" applyAlignment="1">
      <alignment horizontal="right" vertical="center" wrapText="1"/>
    </xf>
    <xf numFmtId="0" fontId="12" fillId="2" borderId="12" xfId="1" applyFont="1" applyFill="1" applyBorder="1" applyAlignment="1">
      <alignment horizontal="center" vertical="center" wrapText="1"/>
    </xf>
    <xf numFmtId="3" fontId="10" fillId="2" borderId="18" xfId="0" applyNumberFormat="1" applyFont="1" applyFill="1" applyBorder="1" applyAlignment="1">
      <alignment vertical="center" wrapText="1"/>
    </xf>
    <xf numFmtId="3" fontId="10" fillId="2" borderId="57" xfId="0" applyNumberFormat="1" applyFont="1" applyFill="1" applyBorder="1" applyAlignment="1">
      <alignment horizontal="right" vertical="center" wrapText="1"/>
    </xf>
    <xf numFmtId="3" fontId="10" fillId="2" borderId="2" xfId="0" applyNumberFormat="1" applyFont="1" applyFill="1" applyBorder="1" applyAlignment="1">
      <alignment horizontal="right" vertical="center" wrapText="1"/>
    </xf>
    <xf numFmtId="3" fontId="10" fillId="2" borderId="75" xfId="1" applyNumberFormat="1" applyFill="1" applyBorder="1" applyAlignment="1">
      <alignment horizontal="right" vertical="center" wrapText="1"/>
    </xf>
    <xf numFmtId="3" fontId="10" fillId="2" borderId="31" xfId="1" applyNumberFormat="1" applyFill="1" applyBorder="1" applyAlignment="1">
      <alignment horizontal="right" vertical="center" wrapText="1"/>
    </xf>
    <xf numFmtId="49" fontId="10" fillId="2" borderId="37" xfId="0" applyNumberFormat="1" applyFont="1" applyFill="1" applyBorder="1" applyAlignment="1">
      <alignment horizontal="center" vertical="center" wrapText="1"/>
    </xf>
    <xf numFmtId="49" fontId="10" fillId="2" borderId="31" xfId="0" applyNumberFormat="1" applyFont="1" applyFill="1" applyBorder="1" applyAlignment="1">
      <alignment horizontal="center" vertical="center" wrapText="1"/>
    </xf>
    <xf numFmtId="3" fontId="17" fillId="0" borderId="28" xfId="1" applyNumberFormat="1" applyFont="1" applyBorder="1" applyAlignment="1">
      <alignment horizontal="right" vertical="center" wrapText="1"/>
    </xf>
    <xf numFmtId="168" fontId="17" fillId="0" borderId="47" xfId="44" applyNumberFormat="1" applyFont="1" applyFill="1" applyBorder="1" applyAlignment="1">
      <alignment horizontal="right" vertical="center" wrapText="1"/>
    </xf>
    <xf numFmtId="168" fontId="17" fillId="0" borderId="36" xfId="44" applyNumberFormat="1" applyFont="1" applyFill="1" applyBorder="1" applyAlignment="1">
      <alignment horizontal="right" vertical="center" wrapText="1"/>
    </xf>
    <xf numFmtId="169" fontId="17" fillId="0" borderId="20" xfId="44" applyNumberFormat="1" applyFont="1" applyFill="1" applyBorder="1" applyAlignment="1">
      <alignment horizontal="right" vertical="center" wrapText="1"/>
    </xf>
    <xf numFmtId="169" fontId="17" fillId="0" borderId="36" xfId="44" applyNumberFormat="1" applyFont="1" applyFill="1" applyBorder="1" applyAlignment="1">
      <alignment horizontal="right" vertical="center" wrapText="1"/>
    </xf>
    <xf numFmtId="169" fontId="17" fillId="0" borderId="32" xfId="44" applyNumberFormat="1" applyFont="1" applyFill="1" applyBorder="1" applyAlignment="1">
      <alignment horizontal="right" vertical="center" wrapText="1"/>
    </xf>
    <xf numFmtId="0" fontId="17" fillId="0" borderId="15" xfId="0" applyFont="1" applyBorder="1" applyAlignment="1">
      <alignment horizontal="center" vertical="center" wrapText="1"/>
    </xf>
    <xf numFmtId="49" fontId="14" fillId="0" borderId="18" xfId="0" applyNumberFormat="1" applyFont="1" applyBorder="1" applyAlignment="1">
      <alignment horizontal="center" vertical="center" wrapText="1"/>
    </xf>
    <xf numFmtId="2" fontId="54" fillId="0" borderId="12" xfId="0" applyNumberFormat="1" applyFont="1" applyBorder="1" applyAlignment="1">
      <alignment horizontal="center" vertical="center" wrapText="1"/>
    </xf>
    <xf numFmtId="0" fontId="13" fillId="0" borderId="18" xfId="1" applyFont="1" applyBorder="1" applyAlignment="1">
      <alignment horizontal="center" vertical="center" wrapText="1"/>
    </xf>
    <xf numFmtId="3" fontId="14" fillId="0" borderId="18" xfId="1" applyNumberFormat="1" applyFont="1" applyBorder="1" applyAlignment="1">
      <alignment vertical="center" wrapText="1"/>
    </xf>
    <xf numFmtId="3" fontId="13" fillId="0" borderId="55" xfId="0" applyNumberFormat="1" applyFont="1" applyBorder="1" applyAlignment="1">
      <alignment horizontal="right" vertical="center" wrapText="1"/>
    </xf>
    <xf numFmtId="3" fontId="13" fillId="0" borderId="38" xfId="0" applyNumberFormat="1" applyFont="1" applyBorder="1" applyAlignment="1">
      <alignment horizontal="right" vertical="center" wrapText="1"/>
    </xf>
    <xf numFmtId="3" fontId="13" fillId="0" borderId="6" xfId="0" applyNumberFormat="1" applyFont="1" applyBorder="1" applyAlignment="1">
      <alignment horizontal="right" vertical="center" wrapText="1"/>
    </xf>
    <xf numFmtId="3" fontId="13" fillId="11" borderId="18" xfId="0" applyNumberFormat="1" applyFont="1" applyFill="1" applyBorder="1" applyAlignment="1">
      <alignment horizontal="right" vertical="center" wrapText="1"/>
    </xf>
    <xf numFmtId="3" fontId="14" fillId="3" borderId="18" xfId="0" applyNumberFormat="1" applyFont="1" applyFill="1" applyBorder="1" applyAlignment="1">
      <alignment horizontal="right" vertical="center" wrapText="1"/>
    </xf>
    <xf numFmtId="3" fontId="14" fillId="11" borderId="18" xfId="0" applyNumberFormat="1" applyFont="1" applyFill="1" applyBorder="1" applyAlignment="1">
      <alignment horizontal="right" vertical="center" wrapText="1"/>
    </xf>
    <xf numFmtId="3" fontId="13" fillId="0" borderId="18" xfId="0" applyNumberFormat="1" applyFont="1" applyBorder="1" applyAlignment="1">
      <alignment horizontal="right" vertical="center" wrapText="1"/>
    </xf>
    <xf numFmtId="3" fontId="13" fillId="0" borderId="12" xfId="0" applyNumberFormat="1" applyFont="1" applyBorder="1" applyAlignment="1">
      <alignment horizontal="right" vertical="center" wrapText="1"/>
    </xf>
    <xf numFmtId="3" fontId="13" fillId="0" borderId="56" xfId="0" applyNumberFormat="1" applyFont="1" applyBorder="1" applyAlignment="1">
      <alignment horizontal="right" vertical="center" wrapText="1"/>
    </xf>
    <xf numFmtId="49" fontId="13" fillId="0" borderId="12" xfId="0" applyNumberFormat="1" applyFont="1" applyBorder="1" applyAlignment="1">
      <alignment horizontal="center" vertical="center" wrapText="1"/>
    </xf>
    <xf numFmtId="49" fontId="36" fillId="0" borderId="45" xfId="0" applyNumberFormat="1" applyFont="1" applyBorder="1" applyAlignment="1">
      <alignment horizontal="center" vertical="center" wrapText="1" shrinkToFit="1"/>
    </xf>
    <xf numFmtId="2" fontId="44" fillId="0" borderId="15" xfId="0" applyNumberFormat="1" applyFont="1" applyBorder="1" applyAlignment="1">
      <alignment horizontal="center" vertical="center" wrapText="1"/>
    </xf>
    <xf numFmtId="3" fontId="36" fillId="3" borderId="13" xfId="0" applyNumberFormat="1" applyFont="1" applyFill="1" applyBorder="1" applyAlignment="1">
      <alignment horizontal="right" vertical="center" wrapText="1"/>
    </xf>
    <xf numFmtId="49" fontId="19" fillId="0" borderId="13" xfId="0" applyNumberFormat="1" applyFont="1" applyBorder="1" applyAlignment="1">
      <alignment horizontal="center" vertical="center" wrapText="1"/>
    </xf>
    <xf numFmtId="49" fontId="19" fillId="0" borderId="45" xfId="0" applyNumberFormat="1" applyFont="1" applyBorder="1" applyAlignment="1">
      <alignment horizontal="center" vertical="center" wrapText="1" shrinkToFit="1"/>
    </xf>
    <xf numFmtId="2" fontId="55" fillId="0" borderId="15" xfId="0" applyNumberFormat="1" applyFont="1" applyBorder="1" applyAlignment="1">
      <alignment horizontal="center" vertical="center" wrapText="1"/>
    </xf>
    <xf numFmtId="3" fontId="19" fillId="0" borderId="15" xfId="1" applyNumberFormat="1" applyFont="1" applyBorder="1" applyAlignment="1">
      <alignment horizontal="right" vertical="center" wrapText="1"/>
    </xf>
    <xf numFmtId="3" fontId="18" fillId="0" borderId="59" xfId="1" applyNumberFormat="1" applyFont="1" applyBorder="1" applyAlignment="1">
      <alignment horizontal="right" vertical="center" wrapText="1"/>
    </xf>
    <xf numFmtId="3" fontId="18" fillId="0" borderId="48" xfId="1" applyNumberFormat="1" applyFont="1" applyBorder="1" applyAlignment="1">
      <alignment horizontal="right" vertical="center" wrapText="1"/>
    </xf>
    <xf numFmtId="3" fontId="18" fillId="0" borderId="17" xfId="1" applyNumberFormat="1" applyFont="1" applyBorder="1" applyAlignment="1">
      <alignment horizontal="right" vertical="center" wrapText="1"/>
    </xf>
    <xf numFmtId="3" fontId="18" fillId="0" borderId="54" xfId="0" applyNumberFormat="1" applyFont="1" applyBorder="1" applyAlignment="1">
      <alignment horizontal="right" vertical="center" wrapText="1"/>
    </xf>
    <xf numFmtId="3" fontId="18" fillId="11" borderId="13" xfId="0" applyNumberFormat="1" applyFont="1" applyFill="1" applyBorder="1" applyAlignment="1">
      <alignment horizontal="right" vertical="center" wrapText="1"/>
    </xf>
    <xf numFmtId="3" fontId="19" fillId="3" borderId="13" xfId="0" applyNumberFormat="1" applyFont="1" applyFill="1" applyBorder="1" applyAlignment="1">
      <alignment horizontal="right" vertical="center" wrapText="1"/>
    </xf>
    <xf numFmtId="3" fontId="18" fillId="0" borderId="15" xfId="0" applyNumberFormat="1" applyFont="1" applyBorder="1" applyAlignment="1">
      <alignment horizontal="right" vertical="center" wrapText="1"/>
    </xf>
    <xf numFmtId="3" fontId="18" fillId="0" borderId="59" xfId="0" applyNumberFormat="1" applyFont="1" applyBorder="1" applyAlignment="1">
      <alignment horizontal="right" vertical="center" wrapText="1"/>
    </xf>
    <xf numFmtId="3" fontId="18" fillId="0" borderId="48" xfId="0" applyNumberFormat="1" applyFont="1" applyBorder="1" applyAlignment="1">
      <alignment horizontal="right" vertical="center" wrapText="1"/>
    </xf>
    <xf numFmtId="49" fontId="18" fillId="0" borderId="19" xfId="0" applyNumberFormat="1" applyFont="1" applyBorder="1" applyAlignment="1">
      <alignment horizontal="center" vertical="center" wrapText="1"/>
    </xf>
    <xf numFmtId="49" fontId="18" fillId="0" borderId="15" xfId="0" applyNumberFormat="1" applyFont="1" applyBorder="1" applyAlignment="1">
      <alignment horizontal="center" vertical="center" wrapText="1"/>
    </xf>
    <xf numFmtId="0" fontId="18" fillId="0" borderId="19" xfId="1" applyFont="1" applyBorder="1" applyAlignment="1">
      <alignment horizontal="center" vertical="center" wrapText="1"/>
    </xf>
    <xf numFmtId="49" fontId="16" fillId="2" borderId="13" xfId="0" applyNumberFormat="1" applyFont="1" applyFill="1" applyBorder="1" applyAlignment="1">
      <alignment horizontal="center" vertical="center" wrapText="1" shrinkToFit="1"/>
    </xf>
    <xf numFmtId="2" fontId="45" fillId="2" borderId="15" xfId="0" applyNumberFormat="1" applyFont="1" applyFill="1" applyBorder="1" applyAlignment="1">
      <alignment horizontal="center" vertical="center" wrapText="1"/>
    </xf>
    <xf numFmtId="3" fontId="16" fillId="2" borderId="15" xfId="1" applyNumberFormat="1" applyFont="1" applyFill="1" applyBorder="1" applyAlignment="1">
      <alignment horizontal="right" vertical="center" wrapText="1"/>
    </xf>
    <xf numFmtId="3" fontId="15" fillId="2" borderId="59" xfId="1" applyNumberFormat="1" applyFont="1" applyFill="1" applyBorder="1" applyAlignment="1">
      <alignment horizontal="right" vertical="center" wrapText="1"/>
    </xf>
    <xf numFmtId="3" fontId="15" fillId="2" borderId="48" xfId="1" applyNumberFormat="1" applyFont="1" applyFill="1" applyBorder="1" applyAlignment="1">
      <alignment horizontal="right" vertical="center" wrapText="1"/>
    </xf>
    <xf numFmtId="3" fontId="15" fillId="2" borderId="17" xfId="1" applyNumberFormat="1" applyFont="1" applyFill="1" applyBorder="1" applyAlignment="1">
      <alignment horizontal="right" vertical="center" wrapText="1"/>
    </xf>
    <xf numFmtId="3" fontId="15" fillId="2" borderId="54" xfId="0" applyNumberFormat="1" applyFont="1" applyFill="1" applyBorder="1" applyAlignment="1">
      <alignment horizontal="right" vertical="center" wrapText="1"/>
    </xf>
    <xf numFmtId="3" fontId="15" fillId="2" borderId="15" xfId="0" applyNumberFormat="1" applyFont="1" applyFill="1" applyBorder="1" applyAlignment="1">
      <alignment horizontal="right" vertical="center" wrapText="1"/>
    </xf>
    <xf numFmtId="3" fontId="15" fillId="2" borderId="45" xfId="0" applyNumberFormat="1" applyFont="1" applyFill="1" applyBorder="1" applyAlignment="1">
      <alignment horizontal="right" vertical="center" wrapText="1"/>
    </xf>
    <xf numFmtId="49" fontId="15" fillId="2" borderId="19" xfId="0" applyNumberFormat="1" applyFont="1" applyFill="1" applyBorder="1" applyAlignment="1">
      <alignment horizontal="center" vertical="center" wrapText="1"/>
    </xf>
    <xf numFmtId="49" fontId="15" fillId="2" borderId="15" xfId="0" applyNumberFormat="1" applyFont="1" applyFill="1" applyBorder="1" applyAlignment="1">
      <alignment horizontal="center" vertical="center" wrapText="1"/>
    </xf>
    <xf numFmtId="0" fontId="15" fillId="2" borderId="19" xfId="1" applyFont="1" applyFill="1" applyBorder="1" applyAlignment="1">
      <alignment horizontal="center" vertical="center" wrapText="1"/>
    </xf>
    <xf numFmtId="49" fontId="14" fillId="0" borderId="26" xfId="0" applyNumberFormat="1" applyFont="1" applyBorder="1" applyAlignment="1">
      <alignment horizontal="center" vertical="center" wrapText="1" shrinkToFit="1"/>
    </xf>
    <xf numFmtId="2" fontId="54" fillId="0" borderId="42" xfId="0" applyNumberFormat="1" applyFont="1" applyBorder="1" applyAlignment="1">
      <alignment horizontal="center" vertical="center" wrapText="1"/>
    </xf>
    <xf numFmtId="3" fontId="13" fillId="0" borderId="47" xfId="1" applyNumberFormat="1" applyFont="1" applyBorder="1" applyAlignment="1">
      <alignment horizontal="right" vertical="center" wrapText="1"/>
    </xf>
    <xf numFmtId="3" fontId="13" fillId="0" borderId="20" xfId="1" applyNumberFormat="1" applyFont="1" applyBorder="1" applyAlignment="1">
      <alignment horizontal="right" vertical="center" wrapText="1"/>
    </xf>
    <xf numFmtId="3" fontId="13" fillId="0" borderId="41" xfId="1" applyNumberFormat="1" applyFont="1" applyBorder="1" applyAlignment="1">
      <alignment horizontal="right" vertical="center" wrapText="1"/>
    </xf>
    <xf numFmtId="3" fontId="14" fillId="3" borderId="26" xfId="0" applyNumberFormat="1" applyFont="1" applyFill="1" applyBorder="1" applyAlignment="1">
      <alignment horizontal="right" vertical="center" wrapText="1"/>
    </xf>
    <xf numFmtId="3" fontId="13" fillId="0" borderId="26" xfId="0" applyNumberFormat="1" applyFont="1" applyBorder="1" applyAlignment="1">
      <alignment horizontal="right" vertical="center" wrapText="1"/>
    </xf>
    <xf numFmtId="3" fontId="13" fillId="0" borderId="31" xfId="0" applyNumberFormat="1" applyFont="1" applyBorder="1" applyAlignment="1">
      <alignment horizontal="right" vertical="center" wrapText="1"/>
    </xf>
    <xf numFmtId="3" fontId="13" fillId="0" borderId="20" xfId="0" applyNumberFormat="1" applyFont="1" applyBorder="1" applyAlignment="1">
      <alignment horizontal="right" vertical="center" wrapText="1"/>
    </xf>
    <xf numFmtId="3" fontId="13" fillId="0" borderId="37" xfId="0" applyNumberFormat="1" applyFont="1" applyBorder="1" applyAlignment="1">
      <alignment horizontal="right" vertical="center" wrapText="1"/>
    </xf>
    <xf numFmtId="49" fontId="19" fillId="0" borderId="13" xfId="0" applyNumberFormat="1" applyFont="1" applyBorder="1" applyAlignment="1">
      <alignment horizontal="center" vertical="center" wrapText="1" shrinkToFit="1"/>
    </xf>
    <xf numFmtId="2" fontId="55" fillId="0" borderId="61" xfId="0" applyNumberFormat="1" applyFont="1" applyBorder="1" applyAlignment="1">
      <alignment horizontal="center" vertical="center" wrapText="1"/>
    </xf>
    <xf numFmtId="3" fontId="18" fillId="0" borderId="19" xfId="0" applyNumberFormat="1" applyFont="1" applyBorder="1" applyAlignment="1">
      <alignment horizontal="right" vertical="center" wrapText="1"/>
    </xf>
    <xf numFmtId="2" fontId="12" fillId="2" borderId="23" xfId="0" applyNumberFormat="1" applyFont="1" applyFill="1" applyBorder="1" applyAlignment="1">
      <alignment horizontal="center" vertical="center" wrapText="1"/>
    </xf>
    <xf numFmtId="49" fontId="19" fillId="0" borderId="26" xfId="0" applyNumberFormat="1" applyFont="1" applyBorder="1" applyAlignment="1">
      <alignment horizontal="center" vertical="center" wrapText="1" shrinkToFit="1"/>
    </xf>
    <xf numFmtId="2" fontId="55" fillId="0" borderId="26" xfId="0" applyNumberFormat="1" applyFont="1" applyBorder="1" applyAlignment="1">
      <alignment horizontal="center" vertical="center" wrapText="1"/>
    </xf>
    <xf numFmtId="0" fontId="18" fillId="0" borderId="37" xfId="1" applyFont="1" applyBorder="1" applyAlignment="1">
      <alignment horizontal="center" vertical="center" wrapText="1"/>
    </xf>
    <xf numFmtId="3" fontId="18" fillId="0" borderId="47" xfId="1" applyNumberFormat="1" applyFont="1" applyBorder="1" applyAlignment="1">
      <alignment horizontal="right" vertical="center" wrapText="1"/>
    </xf>
    <xf numFmtId="3" fontId="18" fillId="0" borderId="20" xfId="1" applyNumberFormat="1" applyFont="1" applyBorder="1" applyAlignment="1">
      <alignment horizontal="right" vertical="center" wrapText="1"/>
    </xf>
    <xf numFmtId="3" fontId="18" fillId="0" borderId="41" xfId="1" applyNumberFormat="1" applyFont="1" applyBorder="1" applyAlignment="1">
      <alignment horizontal="right" vertical="center" wrapText="1"/>
    </xf>
    <xf numFmtId="3" fontId="18" fillId="0" borderId="47" xfId="0" applyNumberFormat="1" applyFont="1" applyBorder="1" applyAlignment="1">
      <alignment horizontal="right" vertical="center" wrapText="1"/>
    </xf>
    <xf numFmtId="3" fontId="18" fillId="0" borderId="20" xfId="0" applyNumberFormat="1" applyFont="1" applyBorder="1" applyAlignment="1">
      <alignment horizontal="right" vertical="center" wrapText="1"/>
    </xf>
    <xf numFmtId="3" fontId="18" fillId="11" borderId="32" xfId="0" applyNumberFormat="1" applyFont="1" applyFill="1" applyBorder="1" applyAlignment="1">
      <alignment horizontal="right" vertical="center" wrapText="1"/>
    </xf>
    <xf numFmtId="3" fontId="19" fillId="3" borderId="26" xfId="0" applyNumberFormat="1" applyFont="1" applyFill="1" applyBorder="1" applyAlignment="1">
      <alignment horizontal="right" vertical="center" wrapText="1"/>
    </xf>
    <xf numFmtId="3" fontId="18" fillId="0" borderId="36" xfId="0" applyNumberFormat="1" applyFont="1" applyBorder="1" applyAlignment="1">
      <alignment horizontal="right" vertical="center" wrapText="1"/>
    </xf>
    <xf numFmtId="2" fontId="18" fillId="0" borderId="31" xfId="0" applyNumberFormat="1" applyFont="1" applyBorder="1" applyAlignment="1">
      <alignment horizontal="center" vertical="center" wrapText="1"/>
    </xf>
    <xf numFmtId="2" fontId="55" fillId="0" borderId="13" xfId="0" applyNumberFormat="1" applyFont="1" applyBorder="1" applyAlignment="1">
      <alignment horizontal="center" vertical="center" wrapText="1"/>
    </xf>
    <xf numFmtId="3" fontId="18" fillId="11" borderId="45" xfId="0" applyNumberFormat="1" applyFont="1" applyFill="1" applyBorder="1" applyAlignment="1">
      <alignment horizontal="right" vertical="center" wrapText="1"/>
    </xf>
    <xf numFmtId="3" fontId="18" fillId="0" borderId="17" xfId="0" applyNumberFormat="1" applyFont="1" applyBorder="1" applyAlignment="1">
      <alignment horizontal="right" vertical="center" wrapText="1"/>
    </xf>
    <xf numFmtId="2" fontId="18" fillId="0" borderId="15" xfId="0" applyNumberFormat="1" applyFont="1" applyBorder="1" applyAlignment="1">
      <alignment horizontal="center" vertical="center" wrapText="1"/>
    </xf>
    <xf numFmtId="3" fontId="10" fillId="2" borderId="75" xfId="0" applyNumberFormat="1" applyFont="1" applyFill="1" applyBorder="1" applyAlignment="1">
      <alignment horizontal="right" vertical="center" wrapText="1"/>
    </xf>
    <xf numFmtId="2" fontId="12" fillId="2" borderId="26" xfId="0" applyNumberFormat="1" applyFont="1" applyFill="1" applyBorder="1" applyAlignment="1">
      <alignment horizontal="center" vertical="center" wrapText="1"/>
    </xf>
    <xf numFmtId="3" fontId="10" fillId="2" borderId="41" xfId="0" applyNumberFormat="1" applyFont="1" applyFill="1" applyBorder="1" applyAlignment="1">
      <alignment horizontal="right" vertical="center" wrapText="1"/>
    </xf>
    <xf numFmtId="2" fontId="44" fillId="0" borderId="26" xfId="0" applyNumberFormat="1" applyFont="1" applyBorder="1" applyAlignment="1">
      <alignment horizontal="center" vertical="center" wrapText="1"/>
    </xf>
    <xf numFmtId="3" fontId="17" fillId="11" borderId="32" xfId="0" applyNumberFormat="1" applyFont="1" applyFill="1" applyBorder="1" applyAlignment="1">
      <alignment horizontal="right" vertical="center" wrapText="1"/>
    </xf>
    <xf numFmtId="2" fontId="17" fillId="0" borderId="37" xfId="0" applyNumberFormat="1" applyFont="1" applyBorder="1" applyAlignment="1">
      <alignment horizontal="center" vertical="center" wrapText="1"/>
    </xf>
    <xf numFmtId="0" fontId="18" fillId="0" borderId="27" xfId="1" applyFont="1" applyBorder="1" applyAlignment="1">
      <alignment horizontal="center" vertical="center" wrapText="1"/>
    </xf>
    <xf numFmtId="3" fontId="18" fillId="0" borderId="41" xfId="0" applyNumberFormat="1" applyFont="1" applyBorder="1" applyAlignment="1">
      <alignment horizontal="right" vertical="center" wrapText="1"/>
    </xf>
    <xf numFmtId="2" fontId="18" fillId="0" borderId="37" xfId="0" applyNumberFormat="1" applyFont="1" applyBorder="1" applyAlignment="1">
      <alignment horizontal="center" vertical="center" wrapText="1"/>
    </xf>
    <xf numFmtId="2" fontId="54" fillId="0" borderId="26" xfId="0" applyNumberFormat="1" applyFont="1" applyBorder="1" applyAlignment="1">
      <alignment horizontal="center" vertical="center" wrapText="1"/>
    </xf>
    <xf numFmtId="3" fontId="14" fillId="0" borderId="26" xfId="1" applyNumberFormat="1" applyFont="1" applyBorder="1" applyAlignment="1">
      <alignment horizontal="right" vertical="center" wrapText="1"/>
    </xf>
    <xf numFmtId="3" fontId="13" fillId="11" borderId="32" xfId="0" applyNumberFormat="1" applyFont="1" applyFill="1" applyBorder="1" applyAlignment="1">
      <alignment horizontal="right" vertical="center" wrapText="1"/>
    </xf>
    <xf numFmtId="3" fontId="13" fillId="0" borderId="41" xfId="0" applyNumberFormat="1" applyFont="1" applyBorder="1" applyAlignment="1">
      <alignment horizontal="right" vertical="center" wrapText="1"/>
    </xf>
    <xf numFmtId="49" fontId="19" fillId="0" borderId="23" xfId="0" applyNumberFormat="1" applyFont="1" applyBorder="1" applyAlignment="1">
      <alignment horizontal="center" vertical="center" wrapText="1"/>
    </xf>
    <xf numFmtId="49" fontId="19" fillId="0" borderId="23" xfId="0" applyNumberFormat="1" applyFont="1" applyBorder="1" applyAlignment="1">
      <alignment horizontal="center" vertical="center" wrapText="1" shrinkToFit="1"/>
    </xf>
    <xf numFmtId="2" fontId="55" fillId="0" borderId="23" xfId="0" applyNumberFormat="1" applyFont="1" applyBorder="1" applyAlignment="1">
      <alignment horizontal="center" vertical="center" wrapText="1"/>
    </xf>
    <xf numFmtId="3" fontId="18" fillId="0" borderId="58" xfId="1" applyNumberFormat="1" applyFont="1" applyBorder="1" applyAlignment="1">
      <alignment horizontal="right" vertical="center" wrapText="1"/>
    </xf>
    <xf numFmtId="3" fontId="18" fillId="0" borderId="21" xfId="1" applyNumberFormat="1" applyFont="1" applyBorder="1" applyAlignment="1">
      <alignment horizontal="right" vertical="center" wrapText="1"/>
    </xf>
    <xf numFmtId="3" fontId="18" fillId="0" borderId="75" xfId="1" applyNumberFormat="1" applyFont="1" applyBorder="1" applyAlignment="1">
      <alignment horizontal="right" vertical="center" wrapText="1"/>
    </xf>
    <xf numFmtId="3" fontId="18" fillId="0" borderId="58" xfId="0" applyNumberFormat="1" applyFont="1" applyBorder="1" applyAlignment="1">
      <alignment horizontal="right" vertical="center" wrapText="1"/>
    </xf>
    <xf numFmtId="3" fontId="18" fillId="0" borderId="21" xfId="0" applyNumberFormat="1" applyFont="1" applyBorder="1" applyAlignment="1">
      <alignment horizontal="right" vertical="center" wrapText="1"/>
    </xf>
    <xf numFmtId="3" fontId="18" fillId="11" borderId="24" xfId="0" applyNumberFormat="1" applyFont="1" applyFill="1" applyBorder="1" applyAlignment="1">
      <alignment horizontal="right" vertical="center" wrapText="1"/>
    </xf>
    <xf numFmtId="3" fontId="18" fillId="0" borderId="75" xfId="0" applyNumberFormat="1" applyFont="1" applyBorder="1" applyAlignment="1">
      <alignment horizontal="right" vertical="center" wrapText="1"/>
    </xf>
    <xf numFmtId="0" fontId="18" fillId="0" borderId="23" xfId="1" applyFont="1" applyBorder="1" applyAlignment="1">
      <alignment horizontal="center" vertical="center" wrapText="1"/>
    </xf>
    <xf numFmtId="2" fontId="45" fillId="2" borderId="13" xfId="0" applyNumberFormat="1" applyFont="1" applyFill="1" applyBorder="1" applyAlignment="1">
      <alignment horizontal="center" vertical="center" wrapText="1"/>
    </xf>
    <xf numFmtId="0" fontId="15" fillId="2" borderId="19" xfId="0" applyFont="1" applyFill="1" applyBorder="1" applyAlignment="1">
      <alignment horizontal="center" vertical="center" wrapText="1"/>
    </xf>
    <xf numFmtId="3" fontId="16" fillId="2" borderId="13" xfId="1" applyNumberFormat="1" applyFont="1" applyFill="1" applyBorder="1" applyAlignment="1">
      <alignment horizontal="right" vertical="center" wrapText="1"/>
    </xf>
    <xf numFmtId="3" fontId="15" fillId="2" borderId="17" xfId="0" applyNumberFormat="1" applyFont="1" applyFill="1" applyBorder="1" applyAlignment="1">
      <alignment horizontal="right" vertical="center" wrapText="1"/>
    </xf>
    <xf numFmtId="2" fontId="12" fillId="2" borderId="25" xfId="0" applyNumberFormat="1" applyFont="1" applyFill="1" applyBorder="1" applyAlignment="1">
      <alignment horizontal="center" vertical="center" wrapText="1"/>
    </xf>
    <xf numFmtId="2" fontId="12" fillId="2" borderId="31" xfId="0" applyNumberFormat="1" applyFont="1" applyFill="1" applyBorder="1" applyAlignment="1">
      <alignment horizontal="center" vertical="center" wrapText="1"/>
    </xf>
    <xf numFmtId="2" fontId="55" fillId="0" borderId="31" xfId="0" applyNumberFormat="1" applyFont="1" applyBorder="1" applyAlignment="1">
      <alignment horizontal="center" vertical="center" wrapText="1"/>
    </xf>
    <xf numFmtId="2" fontId="12" fillId="2" borderId="15" xfId="0" applyNumberFormat="1" applyFont="1" applyFill="1" applyBorder="1" applyAlignment="1">
      <alignment horizontal="center" vertical="center" wrapText="1"/>
    </xf>
    <xf numFmtId="3" fontId="10" fillId="2" borderId="59" xfId="1" applyNumberFormat="1" applyFill="1" applyBorder="1" applyAlignment="1">
      <alignment horizontal="right" vertical="center" wrapText="1"/>
    </xf>
    <xf numFmtId="3" fontId="10" fillId="2" borderId="48" xfId="1" applyNumberFormat="1" applyFill="1" applyBorder="1" applyAlignment="1">
      <alignment horizontal="right" vertical="center" wrapText="1"/>
    </xf>
    <xf numFmtId="3" fontId="10" fillId="2" borderId="17" xfId="1" applyNumberFormat="1" applyFill="1" applyBorder="1" applyAlignment="1">
      <alignment horizontal="right" vertical="center" wrapText="1"/>
    </xf>
    <xf numFmtId="3" fontId="10" fillId="2" borderId="48" xfId="0" applyNumberFormat="1" applyFont="1" applyFill="1" applyBorder="1" applyAlignment="1">
      <alignment horizontal="right" vertical="center" wrapText="1"/>
    </xf>
    <xf numFmtId="3" fontId="10" fillId="2" borderId="17" xfId="0" applyNumberFormat="1" applyFont="1" applyFill="1" applyBorder="1" applyAlignment="1">
      <alignment horizontal="right" vertical="center" wrapText="1"/>
    </xf>
    <xf numFmtId="2" fontId="18" fillId="0" borderId="27" xfId="0" applyNumberFormat="1" applyFont="1" applyBorder="1" applyAlignment="1">
      <alignment horizontal="center" vertical="center" wrapText="1"/>
    </xf>
    <xf numFmtId="0" fontId="15" fillId="2" borderId="45" xfId="1" applyFont="1" applyFill="1" applyBorder="1" applyAlignment="1">
      <alignment horizontal="center" vertical="center" wrapText="1"/>
    </xf>
    <xf numFmtId="49" fontId="14" fillId="0" borderId="13" xfId="0" applyNumberFormat="1" applyFont="1" applyBorder="1" applyAlignment="1">
      <alignment horizontal="center" vertical="center" wrapText="1" shrinkToFit="1"/>
    </xf>
    <xf numFmtId="2" fontId="54" fillId="0" borderId="13" xfId="0" applyNumberFormat="1" applyFont="1" applyBorder="1" applyAlignment="1">
      <alignment horizontal="center" vertical="center" wrapText="1"/>
    </xf>
    <xf numFmtId="3" fontId="14" fillId="0" borderId="13" xfId="1" applyNumberFormat="1" applyFont="1" applyBorder="1" applyAlignment="1">
      <alignment vertical="center" wrapText="1"/>
    </xf>
    <xf numFmtId="3" fontId="14" fillId="0" borderId="13" xfId="1" applyNumberFormat="1" applyFont="1" applyBorder="1" applyAlignment="1">
      <alignment horizontal="right" vertical="center" wrapText="1"/>
    </xf>
    <xf numFmtId="3" fontId="13" fillId="0" borderId="59" xfId="1" applyNumberFormat="1" applyFont="1" applyBorder="1" applyAlignment="1">
      <alignment horizontal="right" vertical="center" wrapText="1"/>
    </xf>
    <xf numFmtId="3" fontId="13" fillId="0" borderId="48" xfId="1" applyNumberFormat="1" applyFont="1" applyBorder="1" applyAlignment="1">
      <alignment horizontal="right" vertical="center" wrapText="1"/>
    </xf>
    <xf numFmtId="3" fontId="13" fillId="0" borderId="17" xfId="1" applyNumberFormat="1" applyFont="1" applyBorder="1" applyAlignment="1">
      <alignment horizontal="right" vertical="center" wrapText="1"/>
    </xf>
    <xf numFmtId="3" fontId="13" fillId="0" borderId="59" xfId="0" applyNumberFormat="1" applyFont="1" applyBorder="1" applyAlignment="1">
      <alignment horizontal="right" vertical="center" wrapText="1"/>
    </xf>
    <xf numFmtId="3" fontId="13" fillId="0" borderId="48" xfId="0" applyNumberFormat="1" applyFont="1" applyBorder="1" applyAlignment="1">
      <alignment horizontal="right" vertical="center" wrapText="1"/>
    </xf>
    <xf numFmtId="3" fontId="13" fillId="0" borderId="17" xfId="0" applyNumberFormat="1" applyFont="1" applyBorder="1" applyAlignment="1">
      <alignment horizontal="right" vertical="center" wrapText="1"/>
    </xf>
    <xf numFmtId="3" fontId="13" fillId="11" borderId="45" xfId="0" applyNumberFormat="1" applyFont="1" applyFill="1" applyBorder="1" applyAlignment="1">
      <alignment horizontal="right" vertical="center" wrapText="1"/>
    </xf>
    <xf numFmtId="3" fontId="13" fillId="0" borderId="13" xfId="0" applyNumberFormat="1" applyFont="1" applyBorder="1" applyAlignment="1">
      <alignment horizontal="right" vertical="center" wrapText="1"/>
    </xf>
    <xf numFmtId="49" fontId="12" fillId="0" borderId="18" xfId="0" applyNumberFormat="1" applyFont="1" applyBorder="1" applyAlignment="1">
      <alignment horizontal="center" vertical="center"/>
    </xf>
    <xf numFmtId="3" fontId="10" fillId="11" borderId="6" xfId="0" applyNumberFormat="1" applyFont="1" applyFill="1" applyBorder="1" applyAlignment="1">
      <alignment horizontal="right" vertical="center" wrapText="1"/>
    </xf>
    <xf numFmtId="49" fontId="11" fillId="4" borderId="25" xfId="0" applyNumberFormat="1" applyFont="1" applyFill="1" applyBorder="1" applyAlignment="1">
      <alignment horizontal="center" vertical="center" wrapText="1" shrinkToFit="1"/>
    </xf>
    <xf numFmtId="49" fontId="12" fillId="4" borderId="23" xfId="0" applyNumberFormat="1" applyFont="1" applyFill="1" applyBorder="1" applyAlignment="1">
      <alignment horizontal="center" vertical="center"/>
    </xf>
    <xf numFmtId="3" fontId="10" fillId="4" borderId="75" xfId="1" applyNumberFormat="1" applyFill="1" applyBorder="1" applyAlignment="1">
      <alignment horizontal="right" vertical="center" wrapText="1"/>
    </xf>
    <xf numFmtId="49" fontId="36" fillId="0" borderId="35" xfId="0" applyNumberFormat="1" applyFont="1" applyBorder="1" applyAlignment="1">
      <alignment horizontal="center" vertical="center" wrapText="1" shrinkToFit="1"/>
    </xf>
    <xf numFmtId="2" fontId="44" fillId="0" borderId="34" xfId="0" applyNumberFormat="1" applyFont="1" applyBorder="1" applyAlignment="1">
      <alignment horizontal="center" vertical="center" wrapText="1"/>
    </xf>
    <xf numFmtId="3" fontId="17" fillId="0" borderId="40" xfId="0" applyNumberFormat="1" applyFont="1" applyBorder="1" applyAlignment="1">
      <alignment horizontal="right" vertical="center" wrapText="1"/>
    </xf>
    <xf numFmtId="3" fontId="17" fillId="0" borderId="70" xfId="0" applyNumberFormat="1" applyFont="1" applyBorder="1" applyAlignment="1">
      <alignment horizontal="right" vertical="center" wrapText="1"/>
    </xf>
    <xf numFmtId="0" fontId="12" fillId="12" borderId="23" xfId="0" applyFont="1" applyFill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3" fontId="14" fillId="0" borderId="31" xfId="1" applyNumberFormat="1" applyFont="1" applyBorder="1" applyAlignment="1">
      <alignment horizontal="right" vertical="center" wrapText="1"/>
    </xf>
    <xf numFmtId="3" fontId="17" fillId="0" borderId="75" xfId="1" applyNumberFormat="1" applyFont="1" applyBorder="1" applyAlignment="1">
      <alignment horizontal="right" vertical="center" wrapText="1"/>
    </xf>
    <xf numFmtId="3" fontId="17" fillId="0" borderId="52" xfId="1" applyNumberFormat="1" applyFont="1" applyBorder="1" applyAlignment="1">
      <alignment horizontal="right" vertical="center" wrapText="1"/>
    </xf>
    <xf numFmtId="3" fontId="14" fillId="0" borderId="12" xfId="1" applyNumberFormat="1" applyFont="1" applyBorder="1" applyAlignment="1">
      <alignment horizontal="right" vertical="center" wrapText="1"/>
    </xf>
    <xf numFmtId="3" fontId="13" fillId="0" borderId="55" xfId="1" applyNumberFormat="1" applyFont="1" applyBorder="1" applyAlignment="1">
      <alignment horizontal="right" vertical="center" wrapText="1"/>
    </xf>
    <xf numFmtId="3" fontId="13" fillId="0" borderId="56" xfId="1" applyNumberFormat="1" applyFont="1" applyBorder="1" applyAlignment="1">
      <alignment horizontal="right" vertical="center" wrapText="1"/>
    </xf>
    <xf numFmtId="3" fontId="13" fillId="0" borderId="57" xfId="1" applyNumberFormat="1" applyFont="1" applyBorder="1" applyAlignment="1">
      <alignment horizontal="right" vertical="center" wrapText="1"/>
    </xf>
    <xf numFmtId="3" fontId="36" fillId="0" borderId="34" xfId="1" applyNumberFormat="1" applyFont="1" applyBorder="1" applyAlignment="1">
      <alignment horizontal="right" vertical="center" wrapText="1"/>
    </xf>
    <xf numFmtId="3" fontId="17" fillId="0" borderId="49" xfId="1" applyNumberFormat="1" applyFont="1" applyBorder="1" applyAlignment="1">
      <alignment horizontal="right" vertical="center" wrapText="1"/>
    </xf>
    <xf numFmtId="3" fontId="17" fillId="0" borderId="43" xfId="1" applyNumberFormat="1" applyFont="1" applyBorder="1" applyAlignment="1">
      <alignment horizontal="right" vertical="center" wrapText="1"/>
    </xf>
    <xf numFmtId="3" fontId="17" fillId="0" borderId="76" xfId="1" applyNumberFormat="1" applyFont="1" applyBorder="1" applyAlignment="1">
      <alignment horizontal="right" vertical="center" wrapText="1"/>
    </xf>
    <xf numFmtId="3" fontId="36" fillId="0" borderId="15" xfId="1" applyNumberFormat="1" applyFont="1" applyBorder="1" applyAlignment="1">
      <alignment horizontal="right" vertical="center" wrapText="1"/>
    </xf>
    <xf numFmtId="3" fontId="17" fillId="0" borderId="59" xfId="1" applyNumberFormat="1" applyFont="1" applyBorder="1" applyAlignment="1">
      <alignment horizontal="right" vertical="center" wrapText="1"/>
    </xf>
    <xf numFmtId="3" fontId="17" fillId="0" borderId="48" xfId="1" applyNumberFormat="1" applyFont="1" applyBorder="1" applyAlignment="1">
      <alignment horizontal="right" vertical="center" wrapText="1"/>
    </xf>
    <xf numFmtId="3" fontId="17" fillId="0" borderId="17" xfId="1" applyNumberFormat="1" applyFont="1" applyBorder="1" applyAlignment="1">
      <alignment horizontal="right" vertical="center" wrapText="1"/>
    </xf>
    <xf numFmtId="3" fontId="16" fillId="2" borderId="13" xfId="1" applyNumberFormat="1" applyFont="1" applyFill="1" applyBorder="1" applyAlignment="1">
      <alignment vertical="center" wrapText="1"/>
    </xf>
    <xf numFmtId="3" fontId="36" fillId="3" borderId="33" xfId="0" applyNumberFormat="1" applyFont="1" applyFill="1" applyBorder="1" applyAlignment="1">
      <alignment horizontal="right" vertical="center" wrapText="1"/>
    </xf>
    <xf numFmtId="2" fontId="12" fillId="2" borderId="42" xfId="0" applyNumberFormat="1" applyFont="1" applyFill="1" applyBorder="1" applyAlignment="1">
      <alignment horizontal="center" vertical="center" wrapText="1"/>
    </xf>
    <xf numFmtId="3" fontId="11" fillId="2" borderId="31" xfId="1" applyNumberFormat="1" applyFont="1" applyFill="1" applyBorder="1" applyAlignment="1">
      <alignment horizontal="right" vertical="center" wrapText="1"/>
    </xf>
    <xf numFmtId="3" fontId="10" fillId="2" borderId="31" xfId="0" applyNumberFormat="1" applyFont="1" applyFill="1" applyBorder="1" applyAlignment="1">
      <alignment horizontal="right" vertical="center" wrapText="1"/>
    </xf>
    <xf numFmtId="49" fontId="10" fillId="2" borderId="27" xfId="0" applyNumberFormat="1" applyFont="1" applyFill="1" applyBorder="1" applyAlignment="1">
      <alignment horizontal="center" vertical="center" wrapText="1"/>
    </xf>
    <xf numFmtId="2" fontId="54" fillId="0" borderId="61" xfId="0" applyNumberFormat="1" applyFont="1" applyBorder="1" applyAlignment="1">
      <alignment horizontal="center" vertical="center" wrapText="1"/>
    </xf>
    <xf numFmtId="3" fontId="14" fillId="0" borderId="15" xfId="1" applyNumberFormat="1" applyFont="1" applyBorder="1" applyAlignment="1">
      <alignment horizontal="right" vertical="center" wrapText="1"/>
    </xf>
    <xf numFmtId="3" fontId="13" fillId="0" borderId="15" xfId="0" applyNumberFormat="1" applyFont="1" applyBorder="1" applyAlignment="1">
      <alignment horizontal="right" vertical="center" wrapText="1"/>
    </xf>
    <xf numFmtId="3" fontId="13" fillId="0" borderId="45" xfId="0" applyNumberFormat="1" applyFont="1" applyBorder="1" applyAlignment="1">
      <alignment horizontal="right" vertical="center" wrapText="1"/>
    </xf>
    <xf numFmtId="49" fontId="13" fillId="0" borderId="19" xfId="0" applyNumberFormat="1" applyFont="1" applyBorder="1" applyAlignment="1">
      <alignment horizontal="center" vertical="center" wrapText="1"/>
    </xf>
    <xf numFmtId="49" fontId="13" fillId="0" borderId="15" xfId="0" applyNumberFormat="1" applyFont="1" applyBorder="1" applyAlignment="1">
      <alignment horizontal="center" vertical="center" wrapText="1"/>
    </xf>
    <xf numFmtId="49" fontId="14" fillId="0" borderId="23" xfId="0" applyNumberFormat="1" applyFont="1" applyBorder="1" applyAlignment="1">
      <alignment horizontal="center" vertical="center" wrapText="1" shrinkToFit="1"/>
    </xf>
    <xf numFmtId="2" fontId="54" fillId="0" borderId="51" xfId="0" applyNumberFormat="1" applyFont="1" applyBorder="1" applyAlignment="1">
      <alignment horizontal="center" vertical="center" wrapText="1"/>
    </xf>
    <xf numFmtId="3" fontId="14" fillId="0" borderId="25" xfId="1" applyNumberFormat="1" applyFont="1" applyBorder="1" applyAlignment="1">
      <alignment horizontal="right" vertical="center" wrapText="1"/>
    </xf>
    <xf numFmtId="3" fontId="13" fillId="0" borderId="58" xfId="1" applyNumberFormat="1" applyFont="1" applyBorder="1" applyAlignment="1">
      <alignment horizontal="right" vertical="center" wrapText="1"/>
    </xf>
    <xf numFmtId="3" fontId="13" fillId="0" borderId="21" xfId="1" applyNumberFormat="1" applyFont="1" applyBorder="1" applyAlignment="1">
      <alignment horizontal="right" vertical="center" wrapText="1"/>
    </xf>
    <xf numFmtId="3" fontId="13" fillId="0" borderId="75" xfId="1" applyNumberFormat="1" applyFont="1" applyBorder="1" applyAlignment="1">
      <alignment horizontal="right" vertical="center" wrapText="1"/>
    </xf>
    <xf numFmtId="3" fontId="14" fillId="3" borderId="23" xfId="0" applyNumberFormat="1" applyFont="1" applyFill="1" applyBorder="1" applyAlignment="1">
      <alignment horizontal="right" vertical="center" wrapText="1"/>
    </xf>
    <xf numFmtId="3" fontId="13" fillId="0" borderId="23" xfId="0" applyNumberFormat="1" applyFont="1" applyBorder="1" applyAlignment="1">
      <alignment horizontal="right" vertical="center" wrapText="1"/>
    </xf>
    <xf numFmtId="3" fontId="13" fillId="0" borderId="25" xfId="0" applyNumberFormat="1" applyFont="1" applyBorder="1" applyAlignment="1">
      <alignment horizontal="right" vertical="center" wrapText="1"/>
    </xf>
    <xf numFmtId="3" fontId="13" fillId="0" borderId="21" xfId="0" applyNumberFormat="1" applyFont="1" applyBorder="1" applyAlignment="1">
      <alignment horizontal="right" vertical="center" wrapText="1"/>
    </xf>
    <xf numFmtId="49" fontId="13" fillId="0" borderId="27" xfId="0" applyNumberFormat="1" applyFont="1" applyBorder="1" applyAlignment="1">
      <alignment horizontal="center" vertical="center" wrapText="1"/>
    </xf>
    <xf numFmtId="49" fontId="13" fillId="0" borderId="25" xfId="0" applyNumberFormat="1" applyFont="1" applyBorder="1" applyAlignment="1">
      <alignment horizontal="center" vertical="center" wrapText="1"/>
    </xf>
    <xf numFmtId="49" fontId="19" fillId="0" borderId="31" xfId="0" applyNumberFormat="1" applyFont="1" applyBorder="1" applyAlignment="1">
      <alignment horizontal="center" vertical="center" wrapText="1"/>
    </xf>
    <xf numFmtId="49" fontId="11" fillId="2" borderId="15" xfId="0" applyNumberFormat="1" applyFont="1" applyFill="1" applyBorder="1" applyAlignment="1">
      <alignment horizontal="center" vertical="center" wrapText="1"/>
    </xf>
    <xf numFmtId="49" fontId="14" fillId="0" borderId="6" xfId="0" applyNumberFormat="1" applyFont="1" applyBorder="1" applyAlignment="1">
      <alignment horizontal="center" vertical="center" wrapText="1" shrinkToFit="1"/>
    </xf>
    <xf numFmtId="0" fontId="10" fillId="2" borderId="32" xfId="1" applyFill="1" applyBorder="1" applyAlignment="1">
      <alignment horizontal="center" vertical="center" wrapText="1"/>
    </xf>
    <xf numFmtId="3" fontId="11" fillId="2" borderId="25" xfId="0" applyNumberFormat="1" applyFont="1" applyFill="1" applyBorder="1" applyAlignment="1">
      <alignment vertical="center" wrapText="1"/>
    </xf>
    <xf numFmtId="3" fontId="10" fillId="2" borderId="75" xfId="0" applyNumberFormat="1" applyFont="1" applyFill="1" applyBorder="1" applyAlignment="1">
      <alignment vertical="center" wrapText="1"/>
    </xf>
    <xf numFmtId="49" fontId="11" fillId="2" borderId="12" xfId="0" applyNumberFormat="1" applyFont="1" applyFill="1" applyBorder="1" applyAlignment="1">
      <alignment horizontal="center" vertical="center" wrapText="1" shrinkToFit="1"/>
    </xf>
    <xf numFmtId="0" fontId="12" fillId="2" borderId="12" xfId="0" applyFont="1" applyFill="1" applyBorder="1" applyAlignment="1">
      <alignment horizontal="center" vertical="center" wrapText="1"/>
    </xf>
    <xf numFmtId="3" fontId="11" fillId="2" borderId="18" xfId="0" applyNumberFormat="1" applyFont="1" applyFill="1" applyBorder="1" applyAlignment="1">
      <alignment horizontal="right" vertical="center"/>
    </xf>
    <xf numFmtId="3" fontId="10" fillId="2" borderId="6" xfId="0" applyNumberFormat="1" applyFont="1" applyFill="1" applyBorder="1" applyAlignment="1">
      <alignment vertical="center"/>
    </xf>
    <xf numFmtId="49" fontId="11" fillId="2" borderId="25" xfId="0" applyNumberFormat="1" applyFont="1" applyFill="1" applyBorder="1" applyAlignment="1">
      <alignment horizontal="center" vertical="center" wrapText="1"/>
    </xf>
    <xf numFmtId="3" fontId="10" fillId="2" borderId="23" xfId="0" applyNumberFormat="1" applyFont="1" applyFill="1" applyBorder="1" applyAlignment="1">
      <alignment horizontal="right" vertical="center"/>
    </xf>
    <xf numFmtId="3" fontId="10" fillId="2" borderId="27" xfId="0" applyNumberFormat="1" applyFont="1" applyFill="1" applyBorder="1" applyAlignment="1">
      <alignment horizontal="right" vertical="center"/>
    </xf>
    <xf numFmtId="49" fontId="10" fillId="2" borderId="25" xfId="0" applyNumberFormat="1" applyFont="1" applyFill="1" applyBorder="1" applyAlignment="1">
      <alignment horizontal="center" vertical="center" wrapText="1"/>
    </xf>
    <xf numFmtId="49" fontId="11" fillId="2" borderId="30" xfId="0" applyNumberFormat="1" applyFont="1" applyFill="1" applyBorder="1" applyAlignment="1">
      <alignment horizontal="center" vertical="center" wrapText="1"/>
    </xf>
    <xf numFmtId="3" fontId="11" fillId="2" borderId="14" xfId="0" applyNumberFormat="1" applyFont="1" applyFill="1" applyBorder="1" applyAlignment="1">
      <alignment horizontal="right" vertical="center"/>
    </xf>
    <xf numFmtId="3" fontId="10" fillId="2" borderId="52" xfId="0" applyNumberFormat="1" applyFont="1" applyFill="1" applyBorder="1" applyAlignment="1">
      <alignment horizontal="right" vertical="center" wrapText="1"/>
    </xf>
    <xf numFmtId="3" fontId="10" fillId="2" borderId="14" xfId="0" applyNumberFormat="1" applyFont="1" applyFill="1" applyBorder="1" applyAlignment="1">
      <alignment horizontal="right" vertical="center"/>
    </xf>
    <xf numFmtId="3" fontId="10" fillId="2" borderId="73" xfId="0" applyNumberFormat="1" applyFont="1" applyFill="1" applyBorder="1" applyAlignment="1">
      <alignment horizontal="right" vertical="center"/>
    </xf>
    <xf numFmtId="3" fontId="10" fillId="2" borderId="69" xfId="0" applyNumberFormat="1" applyFont="1" applyFill="1" applyBorder="1" applyAlignment="1">
      <alignment horizontal="right" vertical="center"/>
    </xf>
    <xf numFmtId="3" fontId="10" fillId="2" borderId="1" xfId="0" applyNumberFormat="1" applyFont="1" applyFill="1" applyBorder="1" applyAlignment="1">
      <alignment horizontal="right" vertical="center"/>
    </xf>
    <xf numFmtId="3" fontId="10" fillId="2" borderId="68" xfId="0" applyNumberFormat="1" applyFont="1" applyFill="1" applyBorder="1" applyAlignment="1">
      <alignment horizontal="right" vertical="center"/>
    </xf>
    <xf numFmtId="3" fontId="10" fillId="2" borderId="16" xfId="0" applyNumberFormat="1" applyFont="1" applyFill="1" applyBorder="1" applyAlignment="1">
      <alignment horizontal="right" vertical="center"/>
    </xf>
    <xf numFmtId="49" fontId="10" fillId="2" borderId="30" xfId="0" applyNumberFormat="1" applyFont="1" applyFill="1" applyBorder="1" applyAlignment="1">
      <alignment horizontal="center" vertical="center" wrapText="1"/>
    </xf>
    <xf numFmtId="3" fontId="11" fillId="2" borderId="26" xfId="0" applyNumberFormat="1" applyFont="1" applyFill="1" applyBorder="1" applyAlignment="1">
      <alignment horizontal="right" vertical="center"/>
    </xf>
    <xf numFmtId="0" fontId="10" fillId="2" borderId="86" xfId="0" applyFont="1" applyFill="1" applyBorder="1" applyAlignment="1">
      <alignment horizontal="center" vertical="center" wrapText="1"/>
    </xf>
    <xf numFmtId="0" fontId="10" fillId="0" borderId="96" xfId="0" applyFont="1" applyBorder="1" applyAlignment="1">
      <alignment horizontal="center" vertical="center" wrapText="1"/>
    </xf>
    <xf numFmtId="0" fontId="10" fillId="2" borderId="25" xfId="0" applyFont="1" applyFill="1" applyBorder="1" applyAlignment="1">
      <alignment horizontal="center" vertical="center" wrapText="1"/>
    </xf>
    <xf numFmtId="3" fontId="10" fillId="2" borderId="31" xfId="0" applyNumberFormat="1" applyFont="1" applyFill="1" applyBorder="1" applyAlignment="1">
      <alignment horizontal="right" vertical="center"/>
    </xf>
    <xf numFmtId="3" fontId="10" fillId="2" borderId="15" xfId="0" applyNumberFormat="1" applyFont="1" applyFill="1" applyBorder="1" applyAlignment="1">
      <alignment horizontal="right" vertical="center" wrapText="1"/>
    </xf>
    <xf numFmtId="3" fontId="10" fillId="2" borderId="13" xfId="0" applyNumberFormat="1" applyFont="1" applyFill="1" applyBorder="1" applyAlignment="1">
      <alignment horizontal="right" vertical="center"/>
    </xf>
    <xf numFmtId="3" fontId="10" fillId="2" borderId="30" xfId="0" applyNumberFormat="1" applyFont="1" applyFill="1" applyBorder="1" applyAlignment="1">
      <alignment horizontal="right" vertical="center"/>
    </xf>
    <xf numFmtId="3" fontId="10" fillId="2" borderId="19" xfId="0" applyNumberFormat="1" applyFont="1" applyFill="1" applyBorder="1" applyAlignment="1">
      <alignment horizontal="right" vertical="center"/>
    </xf>
    <xf numFmtId="3" fontId="10" fillId="2" borderId="48" xfId="0" applyNumberFormat="1" applyFont="1" applyFill="1" applyBorder="1" applyAlignment="1">
      <alignment horizontal="right" vertical="center"/>
    </xf>
    <xf numFmtId="3" fontId="10" fillId="2" borderId="59" xfId="0" applyNumberFormat="1" applyFont="1" applyFill="1" applyBorder="1" applyAlignment="1">
      <alignment horizontal="right" vertical="center"/>
    </xf>
    <xf numFmtId="3" fontId="10" fillId="2" borderId="54" xfId="0" applyNumberFormat="1" applyFont="1" applyFill="1" applyBorder="1" applyAlignment="1">
      <alignment horizontal="right" vertical="center"/>
    </xf>
    <xf numFmtId="3" fontId="10" fillId="2" borderId="45" xfId="0" applyNumberFormat="1" applyFont="1" applyFill="1" applyBorder="1" applyAlignment="1">
      <alignment horizontal="right" vertical="center"/>
    </xf>
    <xf numFmtId="3" fontId="10" fillId="2" borderId="3" xfId="0" applyNumberFormat="1" applyFont="1" applyFill="1" applyBorder="1" applyAlignment="1">
      <alignment horizontal="center" vertical="center" wrapText="1"/>
    </xf>
    <xf numFmtId="49" fontId="11" fillId="2" borderId="22" xfId="0" applyNumberFormat="1" applyFont="1" applyFill="1" applyBorder="1" applyAlignment="1">
      <alignment horizontal="center" vertical="center" wrapText="1"/>
    </xf>
    <xf numFmtId="49" fontId="11" fillId="2" borderId="28" xfId="0" applyNumberFormat="1" applyFont="1" applyFill="1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3" fontId="11" fillId="2" borderId="3" xfId="0" applyNumberFormat="1" applyFont="1" applyFill="1" applyBorder="1" applyAlignment="1">
      <alignment horizontal="right" vertical="center"/>
    </xf>
    <xf numFmtId="3" fontId="10" fillId="2" borderId="3" xfId="0" applyNumberFormat="1" applyFont="1" applyFill="1" applyBorder="1" applyAlignment="1">
      <alignment horizontal="right" vertical="center" wrapText="1"/>
    </xf>
    <xf numFmtId="3" fontId="10" fillId="2" borderId="67" xfId="0" applyNumberFormat="1" applyFont="1" applyFill="1" applyBorder="1" applyAlignment="1">
      <alignment horizontal="right" vertical="center" wrapText="1"/>
    </xf>
    <xf numFmtId="3" fontId="10" fillId="2" borderId="60" xfId="0" applyNumberFormat="1" applyFont="1" applyFill="1" applyBorder="1" applyAlignment="1">
      <alignment horizontal="right" vertical="center" wrapText="1"/>
    </xf>
    <xf numFmtId="3" fontId="10" fillId="2" borderId="77" xfId="0" applyNumberFormat="1" applyFont="1" applyFill="1" applyBorder="1" applyAlignment="1">
      <alignment horizontal="right" vertical="center" wrapText="1"/>
    </xf>
    <xf numFmtId="3" fontId="10" fillId="2" borderId="10" xfId="0" applyNumberFormat="1" applyFont="1" applyFill="1" applyBorder="1" applyAlignment="1">
      <alignment horizontal="right" vertical="center" wrapText="1"/>
    </xf>
    <xf numFmtId="3" fontId="10" fillId="2" borderId="11" xfId="0" applyNumberFormat="1" applyFont="1" applyFill="1" applyBorder="1" applyAlignment="1">
      <alignment horizontal="right" vertical="center" wrapText="1"/>
    </xf>
    <xf numFmtId="3" fontId="10" fillId="2" borderId="3" xfId="0" applyNumberFormat="1" applyFont="1" applyFill="1" applyBorder="1" applyAlignment="1">
      <alignment horizontal="right" vertical="center"/>
    </xf>
    <xf numFmtId="3" fontId="11" fillId="2" borderId="2" xfId="0" applyNumberFormat="1" applyFont="1" applyFill="1" applyBorder="1" applyAlignment="1">
      <alignment horizontal="right" vertical="center" wrapText="1"/>
    </xf>
    <xf numFmtId="3" fontId="10" fillId="2" borderId="2" xfId="0" applyNumberFormat="1" applyFont="1" applyFill="1" applyBorder="1" applyAlignment="1">
      <alignment horizontal="right" vertical="center"/>
    </xf>
    <xf numFmtId="3" fontId="10" fillId="2" borderId="10" xfId="0" applyNumberFormat="1" applyFont="1" applyFill="1" applyBorder="1" applyAlignment="1">
      <alignment horizontal="right" vertical="center"/>
    </xf>
    <xf numFmtId="3" fontId="10" fillId="2" borderId="60" xfId="0" applyNumberFormat="1" applyFont="1" applyFill="1" applyBorder="1" applyAlignment="1">
      <alignment horizontal="right" vertical="center"/>
    </xf>
    <xf numFmtId="3" fontId="10" fillId="2" borderId="11" xfId="0" applyNumberFormat="1" applyFont="1" applyFill="1" applyBorder="1" applyAlignment="1">
      <alignment horizontal="right" vertical="center"/>
    </xf>
    <xf numFmtId="3" fontId="10" fillId="2" borderId="62" xfId="0" applyNumberFormat="1" applyFont="1" applyFill="1" applyBorder="1" applyAlignment="1">
      <alignment horizontal="right" vertical="center"/>
    </xf>
    <xf numFmtId="3" fontId="10" fillId="2" borderId="71" xfId="0" applyNumberFormat="1" applyFont="1" applyFill="1" applyBorder="1" applyAlignment="1">
      <alignment horizontal="right" vertical="center"/>
    </xf>
    <xf numFmtId="49" fontId="10" fillId="2" borderId="9" xfId="0" applyNumberFormat="1" applyFont="1" applyFill="1" applyBorder="1" applyAlignment="1">
      <alignment horizontal="center" vertical="center" wrapText="1"/>
    </xf>
    <xf numFmtId="49" fontId="10" fillId="2" borderId="3" xfId="0" applyNumberFormat="1" applyFont="1" applyFill="1" applyBorder="1" applyAlignment="1">
      <alignment horizontal="center" vertical="center" wrapText="1"/>
    </xf>
    <xf numFmtId="49" fontId="11" fillId="2" borderId="33" xfId="0" applyNumberFormat="1" applyFont="1" applyFill="1" applyBorder="1" applyAlignment="1">
      <alignment horizontal="center" vertical="center" wrapText="1"/>
    </xf>
    <xf numFmtId="49" fontId="11" fillId="2" borderId="34" xfId="0" applyNumberFormat="1" applyFont="1" applyFill="1" applyBorder="1" applyAlignment="1">
      <alignment horizontal="center" vertical="center" wrapText="1"/>
    </xf>
    <xf numFmtId="0" fontId="12" fillId="2" borderId="34" xfId="0" applyFont="1" applyFill="1" applyBorder="1" applyAlignment="1">
      <alignment horizontal="center" vertical="center" wrapText="1"/>
    </xf>
    <xf numFmtId="3" fontId="11" fillId="2" borderId="33" xfId="0" applyNumberFormat="1" applyFont="1" applyFill="1" applyBorder="1" applyAlignment="1">
      <alignment horizontal="right" vertical="center"/>
    </xf>
    <xf numFmtId="3" fontId="10" fillId="2" borderId="34" xfId="0" applyNumberFormat="1" applyFont="1" applyFill="1" applyBorder="1" applyAlignment="1">
      <alignment horizontal="right" vertical="center" wrapText="1"/>
    </xf>
    <xf numFmtId="3" fontId="10" fillId="2" borderId="49" xfId="0" applyNumberFormat="1" applyFont="1" applyFill="1" applyBorder="1" applyAlignment="1">
      <alignment horizontal="right" vertical="center" wrapText="1"/>
    </xf>
    <xf numFmtId="3" fontId="10" fillId="2" borderId="43" xfId="0" applyNumberFormat="1" applyFont="1" applyFill="1" applyBorder="1" applyAlignment="1">
      <alignment horizontal="right" vertical="center" wrapText="1"/>
    </xf>
    <xf numFmtId="3" fontId="10" fillId="2" borderId="76" xfId="0" applyNumberFormat="1" applyFont="1" applyFill="1" applyBorder="1" applyAlignment="1">
      <alignment horizontal="right" vertical="center" wrapText="1"/>
    </xf>
    <xf numFmtId="3" fontId="10" fillId="2" borderId="35" xfId="0" applyNumberFormat="1" applyFont="1" applyFill="1" applyBorder="1" applyAlignment="1">
      <alignment horizontal="right" vertical="center" wrapText="1"/>
    </xf>
    <xf numFmtId="3" fontId="10" fillId="2" borderId="33" xfId="0" applyNumberFormat="1" applyFont="1" applyFill="1" applyBorder="1" applyAlignment="1">
      <alignment horizontal="right" vertical="center"/>
    </xf>
    <xf numFmtId="3" fontId="11" fillId="2" borderId="33" xfId="0" applyNumberFormat="1" applyFont="1" applyFill="1" applyBorder="1" applyAlignment="1">
      <alignment horizontal="right" vertical="center" wrapText="1"/>
    </xf>
    <xf numFmtId="3" fontId="10" fillId="2" borderId="35" xfId="0" applyNumberFormat="1" applyFont="1" applyFill="1" applyBorder="1" applyAlignment="1">
      <alignment horizontal="right" vertical="center"/>
    </xf>
    <xf numFmtId="3" fontId="10" fillId="2" borderId="49" xfId="0" applyNumberFormat="1" applyFont="1" applyFill="1" applyBorder="1" applyAlignment="1">
      <alignment horizontal="right" vertical="center"/>
    </xf>
    <xf numFmtId="3" fontId="10" fillId="2" borderId="43" xfId="0" applyNumberFormat="1" applyFont="1" applyFill="1" applyBorder="1" applyAlignment="1">
      <alignment horizontal="right" vertical="center"/>
    </xf>
    <xf numFmtId="3" fontId="10" fillId="2" borderId="70" xfId="0" applyNumberFormat="1" applyFont="1" applyFill="1" applyBorder="1" applyAlignment="1">
      <alignment horizontal="right" vertical="center"/>
    </xf>
    <xf numFmtId="49" fontId="10" fillId="2" borderId="34" xfId="0" applyNumberFormat="1" applyFont="1" applyFill="1" applyBorder="1" applyAlignment="1">
      <alignment horizontal="center" vertical="center" wrapText="1"/>
    </xf>
    <xf numFmtId="0" fontId="55" fillId="0" borderId="31" xfId="0" applyFont="1" applyBorder="1" applyAlignment="1">
      <alignment horizontal="center" vertical="center" wrapText="1"/>
    </xf>
    <xf numFmtId="3" fontId="18" fillId="0" borderId="31" xfId="0" applyNumberFormat="1" applyFont="1" applyBorder="1" applyAlignment="1">
      <alignment horizontal="right" vertical="center" wrapText="1"/>
    </xf>
    <xf numFmtId="3" fontId="18" fillId="21" borderId="26" xfId="0" applyNumberFormat="1" applyFont="1" applyFill="1" applyBorder="1" applyAlignment="1">
      <alignment horizontal="right" vertical="center"/>
    </xf>
    <xf numFmtId="3" fontId="19" fillId="3" borderId="37" xfId="0" applyNumberFormat="1" applyFont="1" applyFill="1" applyBorder="1" applyAlignment="1">
      <alignment horizontal="right" vertical="center" wrapText="1"/>
    </xf>
    <xf numFmtId="3" fontId="19" fillId="21" borderId="26" xfId="0" applyNumberFormat="1" applyFont="1" applyFill="1" applyBorder="1" applyAlignment="1">
      <alignment horizontal="right" vertical="center" wrapText="1"/>
    </xf>
    <xf numFmtId="3" fontId="11" fillId="2" borderId="13" xfId="0" applyNumberFormat="1" applyFont="1" applyFill="1" applyBorder="1" applyAlignment="1">
      <alignment horizontal="right" vertical="center"/>
    </xf>
    <xf numFmtId="0" fontId="10" fillId="2" borderId="15" xfId="0" applyFont="1" applyFill="1" applyBorder="1" applyAlignment="1">
      <alignment horizontal="center" vertical="center" wrapText="1"/>
    </xf>
    <xf numFmtId="49" fontId="19" fillId="2" borderId="23" xfId="0" applyNumberFormat="1" applyFont="1" applyFill="1" applyBorder="1" applyAlignment="1">
      <alignment horizontal="center" vertical="center" wrapText="1"/>
    </xf>
    <xf numFmtId="49" fontId="19" fillId="2" borderId="25" xfId="0" applyNumberFormat="1" applyFont="1" applyFill="1" applyBorder="1" applyAlignment="1">
      <alignment horizontal="center" vertical="center" wrapText="1"/>
    </xf>
    <xf numFmtId="0" fontId="55" fillId="2" borderId="25" xfId="0" applyFont="1" applyFill="1" applyBorder="1" applyAlignment="1">
      <alignment horizontal="center" vertical="center" wrapText="1"/>
    </xf>
    <xf numFmtId="3" fontId="19" fillId="2" borderId="23" xfId="0" applyNumberFormat="1" applyFont="1" applyFill="1" applyBorder="1" applyAlignment="1">
      <alignment horizontal="right" vertical="center" wrapText="1"/>
    </xf>
    <xf numFmtId="3" fontId="18" fillId="2" borderId="25" xfId="0" applyNumberFormat="1" applyFont="1" applyFill="1" applyBorder="1" applyAlignment="1">
      <alignment horizontal="right" vertical="center" wrapText="1"/>
    </xf>
    <xf numFmtId="3" fontId="18" fillId="2" borderId="58" xfId="0" applyNumberFormat="1" applyFont="1" applyFill="1" applyBorder="1" applyAlignment="1">
      <alignment horizontal="right" vertical="center" wrapText="1"/>
    </xf>
    <xf numFmtId="3" fontId="18" fillId="2" borderId="21" xfId="0" applyNumberFormat="1" applyFont="1" applyFill="1" applyBorder="1" applyAlignment="1">
      <alignment horizontal="right" vertical="center" wrapText="1"/>
    </xf>
    <xf numFmtId="3" fontId="18" fillId="2" borderId="75" xfId="0" applyNumberFormat="1" applyFont="1" applyFill="1" applyBorder="1" applyAlignment="1">
      <alignment horizontal="right" vertical="center" wrapText="1"/>
    </xf>
    <xf numFmtId="3" fontId="18" fillId="2" borderId="24" xfId="0" applyNumberFormat="1" applyFont="1" applyFill="1" applyBorder="1" applyAlignment="1">
      <alignment horizontal="right" vertical="center" wrapText="1"/>
    </xf>
    <xf numFmtId="3" fontId="18" fillId="2" borderId="23" xfId="0" applyNumberFormat="1" applyFont="1" applyFill="1" applyBorder="1" applyAlignment="1">
      <alignment horizontal="right" vertical="center"/>
    </xf>
    <xf numFmtId="3" fontId="18" fillId="2" borderId="23" xfId="0" applyNumberFormat="1" applyFont="1" applyFill="1" applyBorder="1" applyAlignment="1">
      <alignment horizontal="right" vertical="center" wrapText="1"/>
    </xf>
    <xf numFmtId="3" fontId="18" fillId="2" borderId="44" xfId="0" applyNumberFormat="1" applyFont="1" applyFill="1" applyBorder="1" applyAlignment="1">
      <alignment horizontal="right" vertical="center" wrapText="1"/>
    </xf>
    <xf numFmtId="3" fontId="18" fillId="2" borderId="27" xfId="0" applyNumberFormat="1" applyFont="1" applyFill="1" applyBorder="1" applyAlignment="1">
      <alignment horizontal="right" vertical="center" wrapText="1"/>
    </xf>
    <xf numFmtId="49" fontId="18" fillId="2" borderId="25" xfId="0" applyNumberFormat="1" applyFont="1" applyFill="1" applyBorder="1" applyAlignment="1">
      <alignment horizontal="center" vertical="center" wrapText="1"/>
    </xf>
    <xf numFmtId="49" fontId="11" fillId="12" borderId="23" xfId="0" applyNumberFormat="1" applyFont="1" applyFill="1" applyBorder="1" applyAlignment="1">
      <alignment horizontal="center" vertical="center" wrapText="1"/>
    </xf>
    <xf numFmtId="3" fontId="11" fillId="12" borderId="23" xfId="0" applyNumberFormat="1" applyFont="1" applyFill="1" applyBorder="1" applyAlignment="1">
      <alignment horizontal="right" vertical="center" wrapText="1"/>
    </xf>
    <xf numFmtId="3" fontId="10" fillId="12" borderId="23" xfId="0" applyNumberFormat="1" applyFont="1" applyFill="1" applyBorder="1" applyAlignment="1">
      <alignment horizontal="right" vertical="center" wrapText="1"/>
    </xf>
    <xf numFmtId="3" fontId="10" fillId="12" borderId="58" xfId="0" applyNumberFormat="1" applyFont="1" applyFill="1" applyBorder="1" applyAlignment="1">
      <alignment horizontal="right" vertical="center" wrapText="1"/>
    </xf>
    <xf numFmtId="3" fontId="10" fillId="12" borderId="21" xfId="0" applyNumberFormat="1" applyFont="1" applyFill="1" applyBorder="1" applyAlignment="1">
      <alignment horizontal="right" vertical="center" wrapText="1"/>
    </xf>
    <xf numFmtId="3" fontId="10" fillId="12" borderId="75" xfId="0" applyNumberFormat="1" applyFont="1" applyFill="1" applyBorder="1" applyAlignment="1">
      <alignment horizontal="right" vertical="center" wrapText="1"/>
    </xf>
    <xf numFmtId="3" fontId="10" fillId="12" borderId="23" xfId="0" applyNumberFormat="1" applyFont="1" applyFill="1" applyBorder="1" applyAlignment="1">
      <alignment horizontal="right" vertical="center"/>
    </xf>
    <xf numFmtId="3" fontId="10" fillId="12" borderId="36" xfId="0" applyNumberFormat="1" applyFont="1" applyFill="1" applyBorder="1" applyAlignment="1">
      <alignment horizontal="right" vertical="center" wrapText="1"/>
    </xf>
    <xf numFmtId="3" fontId="10" fillId="12" borderId="20" xfId="0" applyNumberFormat="1" applyFont="1" applyFill="1" applyBorder="1" applyAlignment="1">
      <alignment horizontal="right" vertical="center" wrapText="1"/>
    </xf>
    <xf numFmtId="3" fontId="10" fillId="12" borderId="42" xfId="0" applyNumberFormat="1" applyFont="1" applyFill="1" applyBorder="1" applyAlignment="1">
      <alignment horizontal="right" vertical="center" wrapText="1"/>
    </xf>
    <xf numFmtId="3" fontId="10" fillId="12" borderId="23" xfId="0" applyNumberFormat="1" applyFont="1" applyFill="1" applyBorder="1" applyAlignment="1">
      <alignment horizontal="center" vertical="center" wrapText="1"/>
    </xf>
    <xf numFmtId="49" fontId="11" fillId="12" borderId="26" xfId="0" applyNumberFormat="1" applyFont="1" applyFill="1" applyBorder="1" applyAlignment="1">
      <alignment horizontal="center" vertical="center" wrapText="1"/>
    </xf>
    <xf numFmtId="0" fontId="12" fillId="12" borderId="26" xfId="0" applyFont="1" applyFill="1" applyBorder="1" applyAlignment="1">
      <alignment horizontal="center" vertical="center" wrapText="1"/>
    </xf>
    <xf numFmtId="3" fontId="11" fillId="12" borderId="26" xfId="0" applyNumberFormat="1" applyFont="1" applyFill="1" applyBorder="1" applyAlignment="1">
      <alignment horizontal="right" vertical="center" wrapText="1"/>
    </xf>
    <xf numFmtId="3" fontId="10" fillId="12" borderId="26" xfId="0" applyNumberFormat="1" applyFont="1" applyFill="1" applyBorder="1" applyAlignment="1">
      <alignment horizontal="right" vertical="center" wrapText="1"/>
    </xf>
    <xf numFmtId="3" fontId="10" fillId="12" borderId="47" xfId="0" applyNumberFormat="1" applyFont="1" applyFill="1" applyBorder="1" applyAlignment="1">
      <alignment horizontal="right" vertical="center" wrapText="1"/>
    </xf>
    <xf numFmtId="3" fontId="10" fillId="12" borderId="41" xfId="0" applyNumberFormat="1" applyFont="1" applyFill="1" applyBorder="1" applyAlignment="1">
      <alignment horizontal="right" vertical="center" wrapText="1"/>
    </xf>
    <xf numFmtId="3" fontId="10" fillId="12" borderId="26" xfId="0" applyNumberFormat="1" applyFont="1" applyFill="1" applyBorder="1" applyAlignment="1">
      <alignment horizontal="right" vertical="center"/>
    </xf>
    <xf numFmtId="3" fontId="10" fillId="12" borderId="26" xfId="0" applyNumberFormat="1" applyFont="1" applyFill="1" applyBorder="1" applyAlignment="1">
      <alignment horizontal="center" vertical="center" wrapText="1"/>
    </xf>
    <xf numFmtId="49" fontId="10" fillId="12" borderId="26" xfId="0" applyNumberFormat="1" applyFont="1" applyFill="1" applyBorder="1" applyAlignment="1">
      <alignment horizontal="center" vertical="center" wrapText="1"/>
    </xf>
    <xf numFmtId="3" fontId="10" fillId="12" borderId="44" xfId="0" applyNumberFormat="1" applyFont="1" applyFill="1" applyBorder="1" applyAlignment="1">
      <alignment horizontal="right" vertical="center" wrapText="1"/>
    </xf>
    <xf numFmtId="3" fontId="10" fillId="12" borderId="51" xfId="0" applyNumberFormat="1" applyFont="1" applyFill="1" applyBorder="1" applyAlignment="1">
      <alignment horizontal="right" vertical="center" wrapText="1"/>
    </xf>
    <xf numFmtId="0" fontId="12" fillId="4" borderId="25" xfId="0" applyFont="1" applyFill="1" applyBorder="1" applyAlignment="1">
      <alignment horizontal="center" vertical="center" wrapText="1"/>
    </xf>
    <xf numFmtId="3" fontId="10" fillId="4" borderId="58" xfId="1" applyNumberFormat="1" applyFill="1" applyBorder="1" applyAlignment="1">
      <alignment vertical="center" wrapText="1"/>
    </xf>
    <xf numFmtId="3" fontId="10" fillId="4" borderId="21" xfId="1" applyNumberFormat="1" applyFill="1" applyBorder="1" applyAlignment="1">
      <alignment vertical="center" wrapText="1"/>
    </xf>
    <xf numFmtId="3" fontId="10" fillId="4" borderId="75" xfId="1" applyNumberFormat="1" applyFill="1" applyBorder="1" applyAlignment="1">
      <alignment vertical="center" wrapText="1"/>
    </xf>
    <xf numFmtId="0" fontId="12" fillId="2" borderId="25" xfId="1" applyFont="1" applyFill="1" applyBorder="1" applyAlignment="1">
      <alignment horizontal="center" vertical="center" wrapText="1"/>
    </xf>
    <xf numFmtId="0" fontId="12" fillId="2" borderId="15" xfId="1" applyFont="1" applyFill="1" applyBorder="1" applyAlignment="1">
      <alignment horizontal="center" vertical="center" wrapText="1"/>
    </xf>
    <xf numFmtId="0" fontId="12" fillId="2" borderId="30" xfId="1" applyFont="1" applyFill="1" applyBorder="1" applyAlignment="1">
      <alignment horizontal="center" vertical="center" wrapText="1"/>
    </xf>
    <xf numFmtId="3" fontId="10" fillId="2" borderId="30" xfId="0" applyNumberFormat="1" applyFont="1" applyFill="1" applyBorder="1" applyAlignment="1">
      <alignment horizontal="right" vertical="center" wrapText="1"/>
    </xf>
    <xf numFmtId="3" fontId="10" fillId="2" borderId="16" xfId="0" applyNumberFormat="1" applyFont="1" applyFill="1" applyBorder="1" applyAlignment="1">
      <alignment vertical="center" wrapText="1"/>
    </xf>
    <xf numFmtId="49" fontId="14" fillId="0" borderId="33" xfId="0" applyNumberFormat="1" applyFont="1" applyBorder="1" applyAlignment="1">
      <alignment horizontal="center" vertical="center"/>
    </xf>
    <xf numFmtId="49" fontId="14" fillId="0" borderId="33" xfId="0" applyNumberFormat="1" applyFont="1" applyBorder="1" applyAlignment="1">
      <alignment horizontal="center" vertical="center" shrinkToFit="1"/>
    </xf>
    <xf numFmtId="0" fontId="54" fillId="0" borderId="40" xfId="1" applyFont="1" applyBorder="1" applyAlignment="1">
      <alignment horizontal="center" vertical="center" wrapText="1"/>
    </xf>
    <xf numFmtId="0" fontId="13" fillId="0" borderId="33" xfId="1" applyFont="1" applyBorder="1" applyAlignment="1">
      <alignment horizontal="center" vertical="center" wrapText="1"/>
    </xf>
    <xf numFmtId="3" fontId="14" fillId="0" borderId="33" xfId="1" applyNumberFormat="1" applyFont="1" applyBorder="1" applyAlignment="1">
      <alignment vertical="center"/>
    </xf>
    <xf numFmtId="3" fontId="14" fillId="0" borderId="34" xfId="1" applyNumberFormat="1" applyFont="1" applyBorder="1" applyAlignment="1">
      <alignment vertical="center"/>
    </xf>
    <xf numFmtId="3" fontId="13" fillId="0" borderId="49" xfId="1" applyNumberFormat="1" applyFont="1" applyBorder="1" applyAlignment="1">
      <alignment vertical="center"/>
    </xf>
    <xf numFmtId="3" fontId="13" fillId="0" borderId="43" xfId="1" applyNumberFormat="1" applyFont="1" applyBorder="1" applyAlignment="1">
      <alignment vertical="center"/>
    </xf>
    <xf numFmtId="3" fontId="13" fillId="0" borderId="76" xfId="1" applyNumberFormat="1" applyFont="1" applyBorder="1" applyAlignment="1">
      <alignment vertical="center"/>
    </xf>
    <xf numFmtId="3" fontId="13" fillId="0" borderId="49" xfId="0" applyNumberFormat="1" applyFont="1" applyBorder="1" applyAlignment="1">
      <alignment vertical="center"/>
    </xf>
    <xf numFmtId="3" fontId="13" fillId="0" borderId="43" xfId="0" applyNumberFormat="1" applyFont="1" applyBorder="1" applyAlignment="1">
      <alignment vertical="center"/>
    </xf>
    <xf numFmtId="3" fontId="13" fillId="0" borderId="35" xfId="0" applyNumberFormat="1" applyFont="1" applyBorder="1" applyAlignment="1">
      <alignment vertical="center"/>
    </xf>
    <xf numFmtId="3" fontId="13" fillId="11" borderId="33" xfId="0" applyNumberFormat="1" applyFont="1" applyFill="1" applyBorder="1" applyAlignment="1">
      <alignment horizontal="right" vertical="center"/>
    </xf>
    <xf numFmtId="3" fontId="14" fillId="3" borderId="35" xfId="0" applyNumberFormat="1" applyFont="1" applyFill="1" applyBorder="1" applyAlignment="1">
      <alignment horizontal="right" vertical="center"/>
    </xf>
    <xf numFmtId="3" fontId="14" fillId="11" borderId="35" xfId="0" applyNumberFormat="1" applyFont="1" applyFill="1" applyBorder="1" applyAlignment="1">
      <alignment horizontal="right" vertical="center"/>
    </xf>
    <xf numFmtId="3" fontId="13" fillId="0" borderId="33" xfId="0" applyNumberFormat="1" applyFont="1" applyBorder="1" applyAlignment="1">
      <alignment vertical="center"/>
    </xf>
    <xf numFmtId="3" fontId="13" fillId="0" borderId="34" xfId="0" applyNumberFormat="1" applyFont="1" applyBorder="1" applyAlignment="1">
      <alignment vertical="center"/>
    </xf>
    <xf numFmtId="3" fontId="13" fillId="0" borderId="40" xfId="0" applyNumberFormat="1" applyFont="1" applyBorder="1" applyAlignment="1">
      <alignment vertical="center"/>
    </xf>
    <xf numFmtId="3" fontId="13" fillId="0" borderId="49" xfId="0" applyNumberFormat="1" applyFont="1" applyBorder="1" applyAlignment="1">
      <alignment horizontal="right" vertical="center"/>
    </xf>
    <xf numFmtId="3" fontId="13" fillId="0" borderId="36" xfId="0" applyNumberFormat="1" applyFont="1" applyBorder="1" applyAlignment="1">
      <alignment horizontal="right" vertical="center"/>
    </xf>
    <xf numFmtId="3" fontId="13" fillId="0" borderId="32" xfId="0" applyNumberFormat="1" applyFont="1" applyBorder="1" applyAlignment="1">
      <alignment horizontal="right" vertical="center"/>
    </xf>
    <xf numFmtId="49" fontId="13" fillId="0" borderId="40" xfId="0" applyNumberFormat="1" applyFont="1" applyBorder="1" applyAlignment="1">
      <alignment horizontal="center" vertical="center"/>
    </xf>
    <xf numFmtId="49" fontId="13" fillId="0" borderId="34" xfId="0" applyNumberFormat="1" applyFont="1" applyBorder="1" applyAlignment="1">
      <alignment horizontal="center" vertical="center"/>
    </xf>
    <xf numFmtId="49" fontId="11" fillId="2" borderId="33" xfId="0" applyNumberFormat="1" applyFont="1" applyFill="1" applyBorder="1" applyAlignment="1">
      <alignment horizontal="center" vertical="center"/>
    </xf>
    <xf numFmtId="49" fontId="11" fillId="2" borderId="33" xfId="0" applyNumberFormat="1" applyFont="1" applyFill="1" applyBorder="1" applyAlignment="1">
      <alignment horizontal="center" vertical="center" shrinkToFit="1"/>
    </xf>
    <xf numFmtId="0" fontId="12" fillId="2" borderId="40" xfId="1" applyFont="1" applyFill="1" applyBorder="1" applyAlignment="1">
      <alignment horizontal="center" vertical="center" wrapText="1"/>
    </xf>
    <xf numFmtId="0" fontId="10" fillId="2" borderId="33" xfId="1" applyFill="1" applyBorder="1" applyAlignment="1">
      <alignment horizontal="center" vertical="center" wrapText="1"/>
    </xf>
    <xf numFmtId="3" fontId="11" fillId="2" borderId="33" xfId="1" applyNumberFormat="1" applyFont="1" applyFill="1" applyBorder="1" applyAlignment="1">
      <alignment vertical="center"/>
    </xf>
    <xf numFmtId="3" fontId="11" fillId="2" borderId="34" xfId="1" applyNumberFormat="1" applyFont="1" applyFill="1" applyBorder="1" applyAlignment="1">
      <alignment vertical="center"/>
    </xf>
    <xf numFmtId="3" fontId="10" fillId="2" borderId="49" xfId="1" applyNumberFormat="1" applyFill="1" applyBorder="1" applyAlignment="1">
      <alignment vertical="center"/>
    </xf>
    <xf numFmtId="3" fontId="10" fillId="2" borderId="43" xfId="1" applyNumberFormat="1" applyFill="1" applyBorder="1" applyAlignment="1">
      <alignment vertical="center"/>
    </xf>
    <xf numFmtId="3" fontId="10" fillId="2" borderId="76" xfId="1" applyNumberFormat="1" applyFill="1" applyBorder="1" applyAlignment="1">
      <alignment vertical="center"/>
    </xf>
    <xf numFmtId="3" fontId="10" fillId="2" borderId="49" xfId="0" applyNumberFormat="1" applyFont="1" applyFill="1" applyBorder="1" applyAlignment="1">
      <alignment vertical="center"/>
    </xf>
    <xf numFmtId="3" fontId="10" fillId="2" borderId="43" xfId="0" applyNumberFormat="1" applyFont="1" applyFill="1" applyBorder="1" applyAlignment="1">
      <alignment vertical="center"/>
    </xf>
    <xf numFmtId="3" fontId="10" fillId="2" borderId="35" xfId="0" applyNumberFormat="1" applyFont="1" applyFill="1" applyBorder="1" applyAlignment="1">
      <alignment vertical="center"/>
    </xf>
    <xf numFmtId="3" fontId="11" fillId="2" borderId="35" xfId="0" applyNumberFormat="1" applyFont="1" applyFill="1" applyBorder="1" applyAlignment="1">
      <alignment horizontal="right" vertical="center"/>
    </xf>
    <xf numFmtId="3" fontId="10" fillId="2" borderId="33" xfId="0" applyNumberFormat="1" applyFont="1" applyFill="1" applyBorder="1" applyAlignment="1">
      <alignment vertical="center"/>
    </xf>
    <xf numFmtId="3" fontId="10" fillId="2" borderId="34" xfId="0" applyNumberFormat="1" applyFont="1" applyFill="1" applyBorder="1" applyAlignment="1">
      <alignment vertical="center"/>
    </xf>
    <xf numFmtId="3" fontId="10" fillId="2" borderId="40" xfId="0" applyNumberFormat="1" applyFont="1" applyFill="1" applyBorder="1" applyAlignment="1">
      <alignment vertical="center"/>
    </xf>
    <xf numFmtId="49" fontId="10" fillId="2" borderId="40" xfId="0" applyNumberFormat="1" applyFont="1" applyFill="1" applyBorder="1" applyAlignment="1">
      <alignment horizontal="center" vertical="center"/>
    </xf>
    <xf numFmtId="49" fontId="10" fillId="2" borderId="34" xfId="0" applyNumberFormat="1" applyFont="1" applyFill="1" applyBorder="1" applyAlignment="1">
      <alignment horizontal="center" vertical="center"/>
    </xf>
    <xf numFmtId="49" fontId="11" fillId="2" borderId="13" xfId="0" applyNumberFormat="1" applyFont="1" applyFill="1" applyBorder="1" applyAlignment="1">
      <alignment horizontal="center" vertical="center"/>
    </xf>
    <xf numFmtId="49" fontId="11" fillId="2" borderId="13" xfId="0" applyNumberFormat="1" applyFont="1" applyFill="1" applyBorder="1" applyAlignment="1">
      <alignment horizontal="center" vertical="center" shrinkToFit="1"/>
    </xf>
    <xf numFmtId="0" fontId="12" fillId="2" borderId="19" xfId="1" applyFont="1" applyFill="1" applyBorder="1" applyAlignment="1">
      <alignment horizontal="center" vertical="center" wrapText="1"/>
    </xf>
    <xf numFmtId="3" fontId="10" fillId="2" borderId="59" xfId="1" applyNumberFormat="1" applyFill="1" applyBorder="1" applyAlignment="1">
      <alignment vertical="center"/>
    </xf>
    <xf numFmtId="3" fontId="10" fillId="2" borderId="48" xfId="1" applyNumberFormat="1" applyFill="1" applyBorder="1" applyAlignment="1">
      <alignment vertical="center"/>
    </xf>
    <xf numFmtId="3" fontId="10" fillId="2" borderId="17" xfId="1" applyNumberFormat="1" applyFill="1" applyBorder="1" applyAlignment="1">
      <alignment vertical="center"/>
    </xf>
    <xf numFmtId="3" fontId="10" fillId="2" borderId="59" xfId="0" applyNumberFormat="1" applyFont="1" applyFill="1" applyBorder="1" applyAlignment="1">
      <alignment vertical="center"/>
    </xf>
    <xf numFmtId="3" fontId="10" fillId="2" borderId="45" xfId="0" applyNumberFormat="1" applyFont="1" applyFill="1" applyBorder="1" applyAlignment="1">
      <alignment vertical="center"/>
    </xf>
    <xf numFmtId="3" fontId="11" fillId="2" borderId="45" xfId="0" applyNumberFormat="1" applyFont="1" applyFill="1" applyBorder="1" applyAlignment="1">
      <alignment horizontal="right" vertical="center"/>
    </xf>
    <xf numFmtId="49" fontId="10" fillId="2" borderId="19" xfId="0" applyNumberFormat="1" applyFont="1" applyFill="1" applyBorder="1" applyAlignment="1">
      <alignment horizontal="center" vertical="center"/>
    </xf>
    <xf numFmtId="49" fontId="10" fillId="2" borderId="15" xfId="0" applyNumberFormat="1" applyFont="1" applyFill="1" applyBorder="1" applyAlignment="1">
      <alignment horizontal="center" vertical="center"/>
    </xf>
    <xf numFmtId="49" fontId="11" fillId="2" borderId="22" xfId="0" applyNumberFormat="1" applyFont="1" applyFill="1" applyBorder="1" applyAlignment="1">
      <alignment horizontal="center" vertical="center"/>
    </xf>
    <xf numFmtId="49" fontId="11" fillId="2" borderId="22" xfId="0" applyNumberFormat="1" applyFont="1" applyFill="1" applyBorder="1" applyAlignment="1">
      <alignment horizontal="center" vertical="center" shrinkToFit="1"/>
    </xf>
    <xf numFmtId="0" fontId="12" fillId="2" borderId="0" xfId="1" applyFont="1" applyFill="1" applyAlignment="1">
      <alignment horizontal="center" vertical="center" wrapText="1"/>
    </xf>
    <xf numFmtId="3" fontId="11" fillId="2" borderId="22" xfId="1" applyNumberFormat="1" applyFont="1" applyFill="1" applyBorder="1" applyAlignment="1">
      <alignment vertical="center"/>
    </xf>
    <xf numFmtId="3" fontId="11" fillId="2" borderId="28" xfId="1" applyNumberFormat="1" applyFont="1" applyFill="1" applyBorder="1" applyAlignment="1">
      <alignment vertical="center"/>
    </xf>
    <xf numFmtId="3" fontId="10" fillId="2" borderId="64" xfId="1" applyNumberFormat="1" applyFill="1" applyBorder="1" applyAlignment="1">
      <alignment vertical="center"/>
    </xf>
    <xf numFmtId="3" fontId="10" fillId="2" borderId="65" xfId="1" applyNumberFormat="1" applyFill="1" applyBorder="1" applyAlignment="1">
      <alignment vertical="center"/>
    </xf>
    <xf numFmtId="3" fontId="10" fillId="2" borderId="66" xfId="1" applyNumberFormat="1" applyFill="1" applyBorder="1" applyAlignment="1">
      <alignment vertical="center"/>
    </xf>
    <xf numFmtId="3" fontId="10" fillId="2" borderId="64" xfId="0" applyNumberFormat="1" applyFont="1" applyFill="1" applyBorder="1" applyAlignment="1">
      <alignment vertical="center"/>
    </xf>
    <xf numFmtId="3" fontId="10" fillId="2" borderId="29" xfId="0" applyNumberFormat="1" applyFont="1" applyFill="1" applyBorder="1" applyAlignment="1">
      <alignment vertical="center"/>
    </xf>
    <xf numFmtId="3" fontId="10" fillId="2" borderId="22" xfId="0" applyNumberFormat="1" applyFont="1" applyFill="1" applyBorder="1" applyAlignment="1">
      <alignment horizontal="right" vertical="center"/>
    </xf>
    <xf numFmtId="3" fontId="11" fillId="2" borderId="29" xfId="0" applyNumberFormat="1" applyFont="1" applyFill="1" applyBorder="1" applyAlignment="1">
      <alignment horizontal="right" vertical="center"/>
    </xf>
    <xf numFmtId="3" fontId="10" fillId="2" borderId="64" xfId="0" applyNumberFormat="1" applyFont="1" applyFill="1" applyBorder="1" applyAlignment="1">
      <alignment horizontal="right" vertical="center"/>
    </xf>
    <xf numFmtId="3" fontId="10" fillId="2" borderId="29" xfId="0" applyNumberFormat="1" applyFont="1" applyFill="1" applyBorder="1" applyAlignment="1">
      <alignment horizontal="right" vertical="center"/>
    </xf>
    <xf numFmtId="0" fontId="10" fillId="2" borderId="22" xfId="0" applyFont="1" applyFill="1" applyBorder="1" applyAlignment="1">
      <alignment horizontal="center" vertical="center"/>
    </xf>
    <xf numFmtId="49" fontId="10" fillId="2" borderId="0" xfId="0" applyNumberFormat="1" applyFont="1" applyFill="1" applyAlignment="1">
      <alignment horizontal="center" vertical="center"/>
    </xf>
    <xf numFmtId="49" fontId="10" fillId="2" borderId="28" xfId="0" applyNumberFormat="1" applyFont="1" applyFill="1" applyBorder="1" applyAlignment="1">
      <alignment horizontal="center" vertical="center"/>
    </xf>
    <xf numFmtId="0" fontId="12" fillId="2" borderId="31" xfId="1" applyFont="1" applyFill="1" applyBorder="1" applyAlignment="1">
      <alignment horizontal="center" vertical="center" wrapText="1"/>
    </xf>
    <xf numFmtId="3" fontId="10" fillId="2" borderId="47" xfId="1" applyNumberFormat="1" applyFill="1" applyBorder="1" applyAlignment="1">
      <alignment vertical="center"/>
    </xf>
    <xf numFmtId="3" fontId="10" fillId="2" borderId="20" xfId="1" applyNumberFormat="1" applyFill="1" applyBorder="1" applyAlignment="1">
      <alignment vertical="center"/>
    </xf>
    <xf numFmtId="3" fontId="10" fillId="2" borderId="41" xfId="1" applyNumberFormat="1" applyFill="1" applyBorder="1" applyAlignment="1">
      <alignment vertical="center"/>
    </xf>
    <xf numFmtId="3" fontId="11" fillId="2" borderId="32" xfId="0" applyNumberFormat="1" applyFont="1" applyFill="1" applyBorder="1" applyAlignment="1">
      <alignment horizontal="right" vertical="center"/>
    </xf>
    <xf numFmtId="49" fontId="10" fillId="2" borderId="37" xfId="0" applyNumberFormat="1" applyFont="1" applyFill="1" applyBorder="1" applyAlignment="1">
      <alignment horizontal="center" vertical="center"/>
    </xf>
    <xf numFmtId="49" fontId="11" fillId="4" borderId="33" xfId="0" applyNumberFormat="1" applyFont="1" applyFill="1" applyBorder="1" applyAlignment="1">
      <alignment horizontal="center" vertical="center" shrinkToFit="1"/>
    </xf>
    <xf numFmtId="3" fontId="13" fillId="0" borderId="26" xfId="0" applyNumberFormat="1" applyFont="1" applyBorder="1" applyAlignment="1">
      <alignment vertical="center"/>
    </xf>
    <xf numFmtId="3" fontId="13" fillId="0" borderId="44" xfId="0" applyNumberFormat="1" applyFont="1" applyBorder="1" applyAlignment="1">
      <alignment horizontal="right" vertical="center"/>
    </xf>
    <xf numFmtId="3" fontId="13" fillId="0" borderId="35" xfId="0" applyNumberFormat="1" applyFont="1" applyBorder="1" applyAlignment="1">
      <alignment horizontal="right" vertical="center"/>
    </xf>
    <xf numFmtId="49" fontId="11" fillId="2" borderId="26" xfId="0" applyNumberFormat="1" applyFont="1" applyFill="1" applyBorder="1" applyAlignment="1">
      <alignment horizontal="center" vertical="center"/>
    </xf>
    <xf numFmtId="49" fontId="11" fillId="2" borderId="26" xfId="0" applyNumberFormat="1" applyFont="1" applyFill="1" applyBorder="1" applyAlignment="1">
      <alignment horizontal="center" vertical="center" shrinkToFit="1"/>
    </xf>
    <xf numFmtId="0" fontId="12" fillId="2" borderId="37" xfId="1" applyFont="1" applyFill="1" applyBorder="1" applyAlignment="1">
      <alignment horizontal="center" vertical="center" wrapText="1"/>
    </xf>
    <xf numFmtId="49" fontId="14" fillId="0" borderId="26" xfId="0" applyNumberFormat="1" applyFont="1" applyBorder="1" applyAlignment="1">
      <alignment horizontal="center" vertical="center"/>
    </xf>
    <xf numFmtId="49" fontId="14" fillId="0" borderId="26" xfId="0" applyNumberFormat="1" applyFont="1" applyBorder="1" applyAlignment="1">
      <alignment horizontal="center" vertical="center" shrinkToFit="1"/>
    </xf>
    <xf numFmtId="0" fontId="54" fillId="0" borderId="37" xfId="1" applyFont="1" applyBorder="1" applyAlignment="1">
      <alignment horizontal="center" vertical="center" wrapText="1"/>
    </xf>
    <xf numFmtId="3" fontId="14" fillId="0" borderId="26" xfId="1" applyNumberFormat="1" applyFont="1" applyBorder="1" applyAlignment="1">
      <alignment vertical="center"/>
    </xf>
    <xf numFmtId="3" fontId="14" fillId="0" borderId="31" xfId="1" applyNumberFormat="1" applyFont="1" applyBorder="1" applyAlignment="1">
      <alignment vertical="center"/>
    </xf>
    <xf numFmtId="3" fontId="13" fillId="0" borderId="47" xfId="1" applyNumberFormat="1" applyFont="1" applyBorder="1" applyAlignment="1">
      <alignment vertical="center"/>
    </xf>
    <xf numFmtId="3" fontId="13" fillId="0" borderId="20" xfId="1" applyNumberFormat="1" applyFont="1" applyBorder="1" applyAlignment="1">
      <alignment vertical="center"/>
    </xf>
    <xf numFmtId="3" fontId="13" fillId="0" borderId="41" xfId="1" applyNumberFormat="1" applyFont="1" applyBorder="1" applyAlignment="1">
      <alignment vertical="center"/>
    </xf>
    <xf numFmtId="3" fontId="13" fillId="0" borderId="47" xfId="0" applyNumberFormat="1" applyFont="1" applyBorder="1" applyAlignment="1">
      <alignment vertical="center"/>
    </xf>
    <xf numFmtId="3" fontId="13" fillId="0" borderId="20" xfId="0" applyNumberFormat="1" applyFont="1" applyBorder="1" applyAlignment="1">
      <alignment vertical="center"/>
    </xf>
    <xf numFmtId="3" fontId="13" fillId="0" borderId="32" xfId="0" applyNumberFormat="1" applyFont="1" applyBorder="1" applyAlignment="1">
      <alignment vertical="center"/>
    </xf>
    <xf numFmtId="3" fontId="13" fillId="11" borderId="26" xfId="0" applyNumberFormat="1" applyFont="1" applyFill="1" applyBorder="1" applyAlignment="1">
      <alignment horizontal="right" vertical="center"/>
    </xf>
    <xf numFmtId="3" fontId="14" fillId="3" borderId="32" xfId="0" applyNumberFormat="1" applyFont="1" applyFill="1" applyBorder="1" applyAlignment="1">
      <alignment horizontal="right" vertical="center"/>
    </xf>
    <xf numFmtId="3" fontId="14" fillId="11" borderId="32" xfId="0" applyNumberFormat="1" applyFont="1" applyFill="1" applyBorder="1" applyAlignment="1">
      <alignment horizontal="right" vertical="center"/>
    </xf>
    <xf numFmtId="3" fontId="13" fillId="0" borderId="37" xfId="0" applyNumberFormat="1" applyFont="1" applyBorder="1" applyAlignment="1">
      <alignment vertical="center"/>
    </xf>
    <xf numFmtId="3" fontId="13" fillId="0" borderId="47" xfId="0" applyNumberFormat="1" applyFont="1" applyBorder="1" applyAlignment="1">
      <alignment horizontal="right" vertical="center"/>
    </xf>
    <xf numFmtId="49" fontId="13" fillId="0" borderId="37" xfId="0" applyNumberFormat="1" applyFont="1" applyBorder="1" applyAlignment="1">
      <alignment horizontal="center" vertical="center"/>
    </xf>
    <xf numFmtId="49" fontId="13" fillId="0" borderId="31" xfId="0" applyNumberFormat="1" applyFont="1" applyBorder="1" applyAlignment="1">
      <alignment horizontal="center" vertical="center"/>
    </xf>
    <xf numFmtId="49" fontId="11" fillId="4" borderId="33" xfId="0" applyNumberFormat="1" applyFont="1" applyFill="1" applyBorder="1" applyAlignment="1">
      <alignment horizontal="center" vertical="center"/>
    </xf>
    <xf numFmtId="0" fontId="12" fillId="4" borderId="40" xfId="1" applyFont="1" applyFill="1" applyBorder="1" applyAlignment="1">
      <alignment horizontal="center" vertical="center" wrapText="1"/>
    </xf>
    <xf numFmtId="0" fontId="10" fillId="4" borderId="33" xfId="1" applyFill="1" applyBorder="1" applyAlignment="1">
      <alignment horizontal="center" vertical="center" wrapText="1"/>
    </xf>
    <xf numFmtId="3" fontId="11" fillId="4" borderId="33" xfId="1" applyNumberFormat="1" applyFont="1" applyFill="1" applyBorder="1" applyAlignment="1">
      <alignment vertical="center"/>
    </xf>
    <xf numFmtId="3" fontId="11" fillId="4" borderId="34" xfId="1" applyNumberFormat="1" applyFont="1" applyFill="1" applyBorder="1" applyAlignment="1">
      <alignment vertical="center"/>
    </xf>
    <xf numFmtId="3" fontId="10" fillId="4" borderId="49" xfId="1" applyNumberFormat="1" applyFill="1" applyBorder="1" applyAlignment="1">
      <alignment vertical="center"/>
    </xf>
    <xf numFmtId="3" fontId="10" fillId="4" borderId="43" xfId="1" applyNumberFormat="1" applyFill="1" applyBorder="1" applyAlignment="1">
      <alignment vertical="center"/>
    </xf>
    <xf numFmtId="3" fontId="10" fillId="4" borderId="76" xfId="1" applyNumberFormat="1" applyFill="1" applyBorder="1" applyAlignment="1">
      <alignment vertical="center"/>
    </xf>
    <xf numFmtId="3" fontId="10" fillId="4" borderId="49" xfId="0" applyNumberFormat="1" applyFont="1" applyFill="1" applyBorder="1" applyAlignment="1">
      <alignment vertical="center"/>
    </xf>
    <xf numFmtId="3" fontId="10" fillId="4" borderId="43" xfId="0" applyNumberFormat="1" applyFont="1" applyFill="1" applyBorder="1" applyAlignment="1">
      <alignment vertical="center"/>
    </xf>
    <xf numFmtId="3" fontId="10" fillId="4" borderId="35" xfId="0" applyNumberFormat="1" applyFont="1" applyFill="1" applyBorder="1" applyAlignment="1">
      <alignment vertical="center"/>
    </xf>
    <xf numFmtId="3" fontId="10" fillId="4" borderId="33" xfId="0" applyNumberFormat="1" applyFont="1" applyFill="1" applyBorder="1" applyAlignment="1">
      <alignment horizontal="right" vertical="center"/>
    </xf>
    <xf numFmtId="3" fontId="11" fillId="4" borderId="35" xfId="0" applyNumberFormat="1" applyFont="1" applyFill="1" applyBorder="1" applyAlignment="1">
      <alignment horizontal="right" vertical="center"/>
    </xf>
    <xf numFmtId="3" fontId="11" fillId="4" borderId="32" xfId="0" applyNumberFormat="1" applyFont="1" applyFill="1" applyBorder="1" applyAlignment="1">
      <alignment horizontal="right" vertical="center"/>
    </xf>
    <xf numFmtId="3" fontId="10" fillId="4" borderId="33" xfId="0" applyNumberFormat="1" applyFont="1" applyFill="1" applyBorder="1" applyAlignment="1">
      <alignment vertical="center"/>
    </xf>
    <xf numFmtId="3" fontId="10" fillId="4" borderId="40" xfId="0" applyNumberFormat="1" applyFont="1" applyFill="1" applyBorder="1" applyAlignment="1">
      <alignment vertical="center"/>
    </xf>
    <xf numFmtId="3" fontId="10" fillId="4" borderId="49" xfId="0" applyNumberFormat="1" applyFont="1" applyFill="1" applyBorder="1" applyAlignment="1">
      <alignment horizontal="right" vertical="center"/>
    </xf>
    <xf numFmtId="3" fontId="10" fillId="4" borderId="70" xfId="0" applyNumberFormat="1" applyFont="1" applyFill="1" applyBorder="1" applyAlignment="1">
      <alignment horizontal="right" vertical="center"/>
    </xf>
    <xf numFmtId="3" fontId="10" fillId="4" borderId="35" xfId="0" applyNumberFormat="1" applyFont="1" applyFill="1" applyBorder="1" applyAlignment="1">
      <alignment horizontal="right" vertical="center"/>
    </xf>
    <xf numFmtId="49" fontId="10" fillId="4" borderId="40" xfId="0" applyNumberFormat="1" applyFont="1" applyFill="1" applyBorder="1" applyAlignment="1">
      <alignment horizontal="center" vertical="center"/>
    </xf>
    <xf numFmtId="49" fontId="10" fillId="4" borderId="34" xfId="0" applyNumberFormat="1" applyFont="1" applyFill="1" applyBorder="1" applyAlignment="1">
      <alignment horizontal="center" vertical="center"/>
    </xf>
    <xf numFmtId="49" fontId="11" fillId="4" borderId="22" xfId="0" applyNumberFormat="1" applyFont="1" applyFill="1" applyBorder="1" applyAlignment="1">
      <alignment horizontal="center" vertical="center"/>
    </xf>
    <xf numFmtId="49" fontId="11" fillId="4" borderId="22" xfId="0" applyNumberFormat="1" applyFont="1" applyFill="1" applyBorder="1" applyAlignment="1">
      <alignment horizontal="center" vertical="center" shrinkToFit="1"/>
    </xf>
    <xf numFmtId="0" fontId="12" fillId="4" borderId="0" xfId="1" applyFont="1" applyFill="1" applyAlignment="1">
      <alignment horizontal="center" vertical="center" wrapText="1"/>
    </xf>
    <xf numFmtId="0" fontId="10" fillId="4" borderId="22" xfId="1" applyFill="1" applyBorder="1" applyAlignment="1">
      <alignment horizontal="center" vertical="center" wrapText="1"/>
    </xf>
    <xf numFmtId="3" fontId="10" fillId="4" borderId="64" xfId="1" applyNumberFormat="1" applyFill="1" applyBorder="1" applyAlignment="1">
      <alignment vertical="center"/>
    </xf>
    <xf numFmtId="3" fontId="10" fillId="4" borderId="65" xfId="1" applyNumberFormat="1" applyFill="1" applyBorder="1" applyAlignment="1">
      <alignment vertical="center"/>
    </xf>
    <xf numFmtId="3" fontId="10" fillId="4" borderId="66" xfId="1" applyNumberFormat="1" applyFill="1" applyBorder="1" applyAlignment="1">
      <alignment vertical="center"/>
    </xf>
    <xf numFmtId="3" fontId="10" fillId="4" borderId="64" xfId="0" applyNumberFormat="1" applyFont="1" applyFill="1" applyBorder="1" applyAlignment="1">
      <alignment vertical="center"/>
    </xf>
    <xf numFmtId="3" fontId="10" fillId="4" borderId="29" xfId="0" applyNumberFormat="1" applyFont="1" applyFill="1" applyBorder="1" applyAlignment="1">
      <alignment vertical="center"/>
    </xf>
    <xf numFmtId="3" fontId="10" fillId="4" borderId="22" xfId="0" applyNumberFormat="1" applyFont="1" applyFill="1" applyBorder="1" applyAlignment="1">
      <alignment horizontal="right" vertical="center"/>
    </xf>
    <xf numFmtId="3" fontId="11" fillId="4" borderId="29" xfId="0" applyNumberFormat="1" applyFont="1" applyFill="1" applyBorder="1" applyAlignment="1">
      <alignment horizontal="right" vertical="center"/>
    </xf>
    <xf numFmtId="3" fontId="11" fillId="4" borderId="24" xfId="0" applyNumberFormat="1" applyFont="1" applyFill="1" applyBorder="1" applyAlignment="1">
      <alignment horizontal="right" vertical="center"/>
    </xf>
    <xf numFmtId="3" fontId="10" fillId="4" borderId="64" xfId="0" applyNumberFormat="1" applyFont="1" applyFill="1" applyBorder="1" applyAlignment="1">
      <alignment horizontal="right" vertical="center"/>
    </xf>
    <xf numFmtId="3" fontId="10" fillId="4" borderId="72" xfId="0" applyNumberFormat="1" applyFont="1" applyFill="1" applyBorder="1" applyAlignment="1">
      <alignment horizontal="right" vertical="center"/>
    </xf>
    <xf numFmtId="3" fontId="10" fillId="4" borderId="29" xfId="0" applyNumberFormat="1" applyFont="1" applyFill="1" applyBorder="1" applyAlignment="1">
      <alignment horizontal="right" vertical="center"/>
    </xf>
    <xf numFmtId="49" fontId="10" fillId="4" borderId="0" xfId="0" applyNumberFormat="1" applyFont="1" applyFill="1" applyAlignment="1">
      <alignment horizontal="center" vertical="center"/>
    </xf>
    <xf numFmtId="49" fontId="10" fillId="4" borderId="28" xfId="0" applyNumberFormat="1" applyFont="1" applyFill="1" applyBorder="1" applyAlignment="1">
      <alignment horizontal="center" vertical="center"/>
    </xf>
    <xf numFmtId="3" fontId="13" fillId="0" borderId="75" xfId="0" applyNumberFormat="1" applyFont="1" applyBorder="1" applyAlignment="1">
      <alignment horizontal="right" vertical="center"/>
    </xf>
    <xf numFmtId="3" fontId="10" fillId="2" borderId="46" xfId="0" applyNumberFormat="1" applyFont="1" applyFill="1" applyBorder="1" applyAlignment="1">
      <alignment horizontal="right" vertical="center" wrapText="1"/>
    </xf>
    <xf numFmtId="3" fontId="10" fillId="2" borderId="53" xfId="0" applyNumberFormat="1" applyFont="1" applyFill="1" applyBorder="1" applyAlignment="1">
      <alignment vertical="center" wrapText="1"/>
    </xf>
    <xf numFmtId="3" fontId="10" fillId="2" borderId="9" xfId="0" applyNumberFormat="1" applyFont="1" applyFill="1" applyBorder="1" applyAlignment="1">
      <alignment vertical="center" wrapText="1"/>
    </xf>
    <xf numFmtId="3" fontId="10" fillId="2" borderId="17" xfId="0" applyNumberFormat="1" applyFont="1" applyFill="1" applyBorder="1" applyAlignment="1">
      <alignment vertical="center" wrapText="1"/>
    </xf>
    <xf numFmtId="49" fontId="36" fillId="0" borderId="12" xfId="0" applyNumberFormat="1" applyFont="1" applyBorder="1" applyAlignment="1">
      <alignment horizontal="center" vertical="center"/>
    </xf>
    <xf numFmtId="0" fontId="44" fillId="0" borderId="18" xfId="0" applyFont="1" applyBorder="1" applyAlignment="1">
      <alignment horizontal="center" vertical="center" wrapText="1"/>
    </xf>
    <xf numFmtId="0" fontId="17" fillId="0" borderId="12" xfId="1" applyFont="1" applyBorder="1" applyAlignment="1">
      <alignment horizontal="center" vertical="center" wrapText="1"/>
    </xf>
    <xf numFmtId="3" fontId="36" fillId="0" borderId="6" xfId="1" applyNumberFormat="1" applyFont="1" applyBorder="1" applyAlignment="1">
      <alignment horizontal="right" vertical="center" wrapText="1"/>
    </xf>
    <xf numFmtId="3" fontId="17" fillId="0" borderId="55" xfId="1" applyNumberFormat="1" applyFont="1" applyBorder="1" applyAlignment="1">
      <alignment horizontal="right" vertical="center" wrapText="1"/>
    </xf>
    <xf numFmtId="3" fontId="17" fillId="0" borderId="56" xfId="1" applyNumberFormat="1" applyFont="1" applyBorder="1" applyAlignment="1">
      <alignment horizontal="right" vertical="center" wrapText="1"/>
    </xf>
    <xf numFmtId="0" fontId="10" fillId="2" borderId="48" xfId="0" applyFont="1" applyFill="1" applyBorder="1" applyAlignment="1">
      <alignment horizontal="right" vertical="center" wrapText="1"/>
    </xf>
    <xf numFmtId="0" fontId="30" fillId="2" borderId="37" xfId="0" applyFont="1" applyFill="1" applyBorder="1" applyAlignment="1">
      <alignment horizontal="center" vertical="center"/>
    </xf>
    <xf numFmtId="49" fontId="11" fillId="0" borderId="5" xfId="0" applyNumberFormat="1" applyFont="1" applyBorder="1" applyAlignment="1">
      <alignment horizontal="center" vertical="center" wrapText="1"/>
    </xf>
    <xf numFmtId="49" fontId="11" fillId="0" borderId="6" xfId="0" applyNumberFormat="1" applyFont="1" applyBorder="1" applyAlignment="1">
      <alignment horizontal="center" vertical="center" wrapText="1"/>
    </xf>
    <xf numFmtId="0" fontId="38" fillId="0" borderId="7" xfId="0" applyFont="1" applyBorder="1" applyAlignment="1">
      <alignment horizontal="center" vertical="center"/>
    </xf>
    <xf numFmtId="0" fontId="38" fillId="0" borderId="11" xfId="0" applyFont="1" applyBorder="1" applyAlignment="1">
      <alignment horizontal="center" vertical="center"/>
    </xf>
    <xf numFmtId="0" fontId="38" fillId="0" borderId="25" xfId="0" applyFont="1" applyBorder="1" applyAlignment="1">
      <alignment horizontal="center" vertical="center"/>
    </xf>
    <xf numFmtId="0" fontId="38" fillId="0" borderId="27" xfId="0" applyFont="1" applyBorder="1" applyAlignment="1">
      <alignment horizontal="center" vertical="center"/>
    </xf>
    <xf numFmtId="0" fontId="38" fillId="0" borderId="24" xfId="0" applyFont="1" applyBorder="1" applyAlignment="1">
      <alignment horizontal="center" vertical="center"/>
    </xf>
    <xf numFmtId="4" fontId="12" fillId="4" borderId="40" xfId="1" applyNumberFormat="1" applyFont="1" applyFill="1" applyBorder="1" applyAlignment="1">
      <alignment horizontal="center" vertical="center" wrapText="1"/>
    </xf>
    <xf numFmtId="49" fontId="14" fillId="2" borderId="13" xfId="0" applyNumberFormat="1" applyFont="1" applyFill="1" applyBorder="1" applyAlignment="1">
      <alignment horizontal="center" vertical="center" wrapText="1"/>
    </xf>
    <xf numFmtId="49" fontId="14" fillId="2" borderId="15" xfId="0" applyNumberFormat="1" applyFont="1" applyFill="1" applyBorder="1" applyAlignment="1">
      <alignment horizontal="center" vertical="center" wrapText="1"/>
    </xf>
    <xf numFmtId="0" fontId="54" fillId="2" borderId="15" xfId="0" applyFont="1" applyFill="1" applyBorder="1" applyAlignment="1">
      <alignment horizontal="center" vertical="center" wrapText="1"/>
    </xf>
    <xf numFmtId="0" fontId="41" fillId="2" borderId="13" xfId="0" applyFont="1" applyFill="1" applyBorder="1" applyAlignment="1">
      <alignment horizontal="center" vertical="center" wrapText="1"/>
    </xf>
    <xf numFmtId="3" fontId="14" fillId="2" borderId="13" xfId="0" applyNumberFormat="1" applyFont="1" applyFill="1" applyBorder="1" applyAlignment="1">
      <alignment horizontal="right" vertical="center"/>
    </xf>
    <xf numFmtId="3" fontId="13" fillId="2" borderId="15" xfId="0" applyNumberFormat="1" applyFont="1" applyFill="1" applyBorder="1" applyAlignment="1">
      <alignment horizontal="right" vertical="center" wrapText="1"/>
    </xf>
    <xf numFmtId="3" fontId="13" fillId="2" borderId="59" xfId="0" applyNumberFormat="1" applyFont="1" applyFill="1" applyBorder="1" applyAlignment="1">
      <alignment horizontal="right" vertical="center" wrapText="1"/>
    </xf>
    <xf numFmtId="3" fontId="13" fillId="2" borderId="48" xfId="0" applyNumberFormat="1" applyFont="1" applyFill="1" applyBorder="1" applyAlignment="1">
      <alignment horizontal="right" vertical="center" wrapText="1"/>
    </xf>
    <xf numFmtId="3" fontId="13" fillId="2" borderId="17" xfId="0" applyNumberFormat="1" applyFont="1" applyFill="1" applyBorder="1" applyAlignment="1">
      <alignment horizontal="right" vertical="center" wrapText="1"/>
    </xf>
    <xf numFmtId="3" fontId="13" fillId="2" borderId="45" xfId="0" applyNumberFormat="1" applyFont="1" applyFill="1" applyBorder="1" applyAlignment="1">
      <alignment horizontal="right" vertical="center" wrapText="1"/>
    </xf>
    <xf numFmtId="3" fontId="13" fillId="2" borderId="13" xfId="0" applyNumberFormat="1" applyFont="1" applyFill="1" applyBorder="1" applyAlignment="1">
      <alignment horizontal="right" vertical="center"/>
    </xf>
    <xf numFmtId="3" fontId="14" fillId="2" borderId="13" xfId="0" applyNumberFormat="1" applyFont="1" applyFill="1" applyBorder="1" applyAlignment="1">
      <alignment horizontal="right" vertical="center" wrapText="1"/>
    </xf>
    <xf numFmtId="3" fontId="13" fillId="2" borderId="59" xfId="0" applyNumberFormat="1" applyFont="1" applyFill="1" applyBorder="1" applyAlignment="1">
      <alignment horizontal="right" vertical="center"/>
    </xf>
    <xf numFmtId="3" fontId="13" fillId="2" borderId="19" xfId="0" applyNumberFormat="1" applyFont="1" applyFill="1" applyBorder="1" applyAlignment="1">
      <alignment horizontal="right" vertical="center"/>
    </xf>
    <xf numFmtId="3" fontId="13" fillId="2" borderId="48" xfId="0" applyNumberFormat="1" applyFont="1" applyFill="1" applyBorder="1" applyAlignment="1">
      <alignment horizontal="right" vertical="center"/>
    </xf>
    <xf numFmtId="3" fontId="13" fillId="2" borderId="17" xfId="0" applyNumberFormat="1" applyFont="1" applyFill="1" applyBorder="1" applyAlignment="1">
      <alignment horizontal="right" vertical="center"/>
    </xf>
    <xf numFmtId="3" fontId="13" fillId="2" borderId="54" xfId="0" applyNumberFormat="1" applyFont="1" applyFill="1" applyBorder="1" applyAlignment="1">
      <alignment horizontal="right" vertical="center"/>
    </xf>
    <xf numFmtId="0" fontId="0" fillId="9" borderId="0" xfId="0" applyFill="1" applyAlignment="1">
      <alignment wrapText="1"/>
    </xf>
    <xf numFmtId="49" fontId="36" fillId="2" borderId="23" xfId="0" applyNumberFormat="1" applyFont="1" applyFill="1" applyBorder="1" applyAlignment="1">
      <alignment horizontal="center" vertical="center" wrapText="1"/>
    </xf>
    <xf numFmtId="49" fontId="36" fillId="2" borderId="23" xfId="0" applyNumberFormat="1" applyFont="1" applyFill="1" applyBorder="1" applyAlignment="1">
      <alignment horizontal="center" vertical="center" wrapText="1" shrinkToFit="1"/>
    </xf>
    <xf numFmtId="2" fontId="44" fillId="2" borderId="51" xfId="0" applyNumberFormat="1" applyFont="1" applyFill="1" applyBorder="1" applyAlignment="1">
      <alignment horizontal="center" vertical="center" wrapText="1"/>
    </xf>
    <xf numFmtId="3" fontId="36" fillId="2" borderId="25" xfId="1" applyNumberFormat="1" applyFont="1" applyFill="1" applyBorder="1" applyAlignment="1">
      <alignment horizontal="right" vertical="center" wrapText="1"/>
    </xf>
    <xf numFmtId="3" fontId="17" fillId="2" borderId="58" xfId="1" applyNumberFormat="1" applyFont="1" applyFill="1" applyBorder="1" applyAlignment="1">
      <alignment horizontal="right" vertical="center" wrapText="1"/>
    </xf>
    <xf numFmtId="3" fontId="17" fillId="2" borderId="21" xfId="1" applyNumberFormat="1" applyFont="1" applyFill="1" applyBorder="1" applyAlignment="1">
      <alignment horizontal="right" vertical="center" wrapText="1"/>
    </xf>
    <xf numFmtId="3" fontId="17" fillId="2" borderId="75" xfId="1" applyNumberFormat="1" applyFont="1" applyFill="1" applyBorder="1" applyAlignment="1">
      <alignment horizontal="right" vertical="center" wrapText="1"/>
    </xf>
    <xf numFmtId="3" fontId="17" fillId="2" borderId="58" xfId="0" applyNumberFormat="1" applyFont="1" applyFill="1" applyBorder="1" applyAlignment="1">
      <alignment horizontal="right" vertical="center" wrapText="1"/>
    </xf>
    <xf numFmtId="3" fontId="17" fillId="2" borderId="21" xfId="0" applyNumberFormat="1" applyFont="1" applyFill="1" applyBorder="1" applyAlignment="1">
      <alignment horizontal="right" vertical="center" wrapText="1"/>
    </xf>
    <xf numFmtId="3" fontId="17" fillId="2" borderId="75" xfId="0" applyNumberFormat="1" applyFont="1" applyFill="1" applyBorder="1" applyAlignment="1">
      <alignment horizontal="right" vertical="center" wrapText="1"/>
    </xf>
    <xf numFmtId="3" fontId="17" fillId="2" borderId="23" xfId="0" applyNumberFormat="1" applyFont="1" applyFill="1" applyBorder="1" applyAlignment="1">
      <alignment horizontal="right" vertical="center" wrapText="1"/>
    </xf>
    <xf numFmtId="3" fontId="36" fillId="2" borderId="23" xfId="0" applyNumberFormat="1" applyFont="1" applyFill="1" applyBorder="1" applyAlignment="1">
      <alignment horizontal="right" vertical="center" wrapText="1"/>
    </xf>
    <xf numFmtId="3" fontId="17" fillId="2" borderId="25" xfId="0" applyNumberFormat="1" applyFont="1" applyFill="1" applyBorder="1" applyAlignment="1">
      <alignment horizontal="right" vertical="center" wrapText="1"/>
    </xf>
    <xf numFmtId="3" fontId="17" fillId="2" borderId="24" xfId="0" applyNumberFormat="1" applyFont="1" applyFill="1" applyBorder="1" applyAlignment="1">
      <alignment horizontal="right" vertical="center" wrapText="1"/>
    </xf>
    <xf numFmtId="3" fontId="17" fillId="2" borderId="44" xfId="0" applyNumberFormat="1" applyFont="1" applyFill="1" applyBorder="1" applyAlignment="1">
      <alignment horizontal="right" vertical="center" wrapText="1"/>
    </xf>
    <xf numFmtId="49" fontId="17" fillId="2" borderId="27" xfId="0" applyNumberFormat="1" applyFont="1" applyFill="1" applyBorder="1" applyAlignment="1">
      <alignment horizontal="center" vertical="center" wrapText="1"/>
    </xf>
    <xf numFmtId="49" fontId="17" fillId="2" borderId="25" xfId="0" applyNumberFormat="1" applyFont="1" applyFill="1" applyBorder="1" applyAlignment="1">
      <alignment horizontal="center" vertical="center" wrapText="1"/>
    </xf>
    <xf numFmtId="49" fontId="17" fillId="2" borderId="23" xfId="0" applyNumberFormat="1" applyFont="1" applyFill="1" applyBorder="1" applyAlignment="1">
      <alignment horizontal="center" vertical="center" wrapText="1"/>
    </xf>
    <xf numFmtId="2" fontId="44" fillId="0" borderId="51" xfId="0" applyNumberFormat="1" applyFont="1" applyBorder="1" applyAlignment="1">
      <alignment horizontal="center" vertical="center" wrapText="1"/>
    </xf>
    <xf numFmtId="2" fontId="53" fillId="0" borderId="26" xfId="0" applyNumberFormat="1" applyFont="1" applyBorder="1" applyAlignment="1">
      <alignment horizontal="center" vertical="center" wrapText="1"/>
    </xf>
    <xf numFmtId="0" fontId="23" fillId="0" borderId="27" xfId="0" applyFont="1" applyBorder="1" applyAlignment="1">
      <alignment horizontal="center" vertical="center" wrapText="1"/>
    </xf>
    <xf numFmtId="0" fontId="23" fillId="0" borderId="27" xfId="1" applyFont="1" applyBorder="1" applyAlignment="1">
      <alignment horizontal="center" vertical="center" wrapText="1"/>
    </xf>
    <xf numFmtId="3" fontId="34" fillId="0" borderId="26" xfId="1" applyNumberFormat="1" applyFont="1" applyBorder="1" applyAlignment="1">
      <alignment horizontal="right" vertical="center" wrapText="1"/>
    </xf>
    <xf numFmtId="3" fontId="23" fillId="11" borderId="32" xfId="0" applyNumberFormat="1" applyFont="1" applyFill="1" applyBorder="1" applyAlignment="1">
      <alignment horizontal="right" vertical="center" wrapText="1"/>
    </xf>
    <xf numFmtId="3" fontId="23" fillId="0" borderId="41" xfId="0" applyNumberFormat="1" applyFont="1" applyBorder="1" applyAlignment="1">
      <alignment horizontal="right" vertical="center" wrapText="1"/>
    </xf>
    <xf numFmtId="0" fontId="20" fillId="4" borderId="26" xfId="0" applyFont="1" applyFill="1" applyBorder="1" applyAlignment="1">
      <alignment horizontal="center" vertical="center" wrapText="1"/>
    </xf>
    <xf numFmtId="3" fontId="18" fillId="0" borderId="44" xfId="0" applyNumberFormat="1" applyFont="1" applyBorder="1" applyAlignment="1">
      <alignment horizontal="right" vertical="center" wrapText="1"/>
    </xf>
    <xf numFmtId="0" fontId="55" fillId="0" borderId="27" xfId="1" applyFont="1" applyBorder="1" applyAlignment="1">
      <alignment horizontal="center" vertical="center" wrapText="1"/>
    </xf>
    <xf numFmtId="3" fontId="18" fillId="0" borderId="58" xfId="1" applyNumberFormat="1" applyFont="1" applyBorder="1" applyAlignment="1">
      <alignment vertical="center" wrapText="1"/>
    </xf>
    <xf numFmtId="3" fontId="18" fillId="0" borderId="21" xfId="1" applyNumberFormat="1" applyFont="1" applyBorder="1" applyAlignment="1">
      <alignment vertical="center" wrapText="1"/>
    </xf>
    <xf numFmtId="3" fontId="19" fillId="3" borderId="24" xfId="0" applyNumberFormat="1" applyFont="1" applyFill="1" applyBorder="1" applyAlignment="1">
      <alignment horizontal="right" vertical="center" wrapText="1"/>
    </xf>
    <xf numFmtId="49" fontId="18" fillId="0" borderId="25" xfId="0" applyNumberFormat="1" applyFont="1" applyBorder="1" applyAlignment="1">
      <alignment horizontal="center" vertical="center" wrapText="1"/>
    </xf>
    <xf numFmtId="49" fontId="18" fillId="0" borderId="23" xfId="1" applyNumberFormat="1" applyFont="1" applyBorder="1" applyAlignment="1">
      <alignment horizontal="center" vertical="center" wrapText="1"/>
    </xf>
    <xf numFmtId="0" fontId="55" fillId="0" borderId="37" xfId="1" applyFont="1" applyBorder="1" applyAlignment="1">
      <alignment horizontal="center" vertical="center" wrapText="1"/>
    </xf>
    <xf numFmtId="3" fontId="18" fillId="0" borderId="47" xfId="1" applyNumberFormat="1" applyFont="1" applyBorder="1" applyAlignment="1">
      <alignment vertical="center" wrapText="1"/>
    </xf>
    <xf numFmtId="3" fontId="18" fillId="0" borderId="20" xfId="1" applyNumberFormat="1" applyFont="1" applyBorder="1" applyAlignment="1">
      <alignment vertical="center" wrapText="1"/>
    </xf>
    <xf numFmtId="3" fontId="18" fillId="0" borderId="32" xfId="0" applyNumberFormat="1" applyFont="1" applyBorder="1" applyAlignment="1">
      <alignment vertical="center" wrapText="1"/>
    </xf>
    <xf numFmtId="3" fontId="19" fillId="11" borderId="24" xfId="0" applyNumberFormat="1" applyFont="1" applyFill="1" applyBorder="1" applyAlignment="1">
      <alignment horizontal="right" vertical="center" wrapText="1"/>
    </xf>
    <xf numFmtId="3" fontId="18" fillId="0" borderId="24" xfId="0" applyNumberFormat="1" applyFont="1" applyBorder="1" applyAlignment="1">
      <alignment vertical="center" wrapText="1"/>
    </xf>
    <xf numFmtId="49" fontId="13" fillId="0" borderId="37" xfId="0" applyNumberFormat="1" applyFont="1" applyBorder="1" applyAlignment="1">
      <alignment horizontal="center" vertical="center" wrapText="1"/>
    </xf>
    <xf numFmtId="49" fontId="11" fillId="0" borderId="15" xfId="0" applyNumberFormat="1" applyFont="1" applyBorder="1" applyAlignment="1">
      <alignment horizontal="center" vertical="center"/>
    </xf>
    <xf numFmtId="3" fontId="11" fillId="0" borderId="45" xfId="1" applyNumberFormat="1" applyFont="1" applyBorder="1" applyAlignment="1">
      <alignment horizontal="right" vertical="center" wrapText="1"/>
    </xf>
    <xf numFmtId="3" fontId="10" fillId="0" borderId="54" xfId="1" applyNumberFormat="1" applyBorder="1" applyAlignment="1">
      <alignment horizontal="right" vertical="center" wrapText="1"/>
    </xf>
    <xf numFmtId="3" fontId="11" fillId="0" borderId="59" xfId="0" applyNumberFormat="1" applyFont="1" applyBorder="1" applyAlignment="1">
      <alignment horizontal="right" vertical="center" wrapText="1"/>
    </xf>
    <xf numFmtId="3" fontId="10" fillId="0" borderId="55" xfId="0" applyNumberFormat="1" applyFont="1" applyBorder="1" applyAlignment="1">
      <alignment vertical="center"/>
    </xf>
    <xf numFmtId="3" fontId="42" fillId="0" borderId="62" xfId="0" applyNumberFormat="1" applyFont="1" applyBorder="1" applyAlignment="1">
      <alignment vertical="center"/>
    </xf>
    <xf numFmtId="3" fontId="42" fillId="0" borderId="58" xfId="0" applyNumberFormat="1" applyFont="1" applyBorder="1" applyAlignment="1">
      <alignment vertical="center"/>
    </xf>
    <xf numFmtId="3" fontId="42" fillId="0" borderId="47" xfId="0" applyNumberFormat="1" applyFont="1" applyBorder="1" applyAlignment="1">
      <alignment vertical="center"/>
    </xf>
    <xf numFmtId="3" fontId="42" fillId="0" borderId="68" xfId="0" applyNumberFormat="1" applyFont="1" applyBorder="1" applyAlignment="1">
      <alignment vertical="center"/>
    </xf>
    <xf numFmtId="3" fontId="33" fillId="5" borderId="55" xfId="0" applyNumberFormat="1" applyFont="1" applyFill="1" applyBorder="1" applyAlignment="1">
      <alignment horizontal="right" vertical="center"/>
    </xf>
    <xf numFmtId="3" fontId="33" fillId="5" borderId="6" xfId="0" applyNumberFormat="1" applyFont="1" applyFill="1" applyBorder="1" applyAlignment="1">
      <alignment horizontal="right" vertical="center"/>
    </xf>
    <xf numFmtId="3" fontId="56" fillId="0" borderId="16" xfId="0" applyNumberFormat="1" applyFont="1" applyBorder="1" applyAlignment="1">
      <alignment vertical="center"/>
    </xf>
    <xf numFmtId="3" fontId="36" fillId="2" borderId="23" xfId="1" applyNumberFormat="1" applyFont="1" applyFill="1" applyBorder="1" applyAlignment="1">
      <alignment vertical="center" wrapText="1"/>
    </xf>
    <xf numFmtId="0" fontId="17" fillId="2" borderId="23" xfId="0" applyFont="1" applyFill="1" applyBorder="1" applyAlignment="1">
      <alignment horizontal="center" vertical="center" wrapText="1"/>
    </xf>
    <xf numFmtId="3" fontId="11" fillId="2" borderId="27" xfId="0" applyNumberFormat="1" applyFont="1" applyFill="1" applyBorder="1" applyAlignment="1">
      <alignment horizontal="right" vertical="center" wrapText="1"/>
    </xf>
    <xf numFmtId="3" fontId="11" fillId="2" borderId="1" xfId="0" applyNumberFormat="1" applyFont="1" applyFill="1" applyBorder="1" applyAlignment="1">
      <alignment horizontal="right" vertical="center" wrapText="1"/>
    </xf>
    <xf numFmtId="3" fontId="11" fillId="2" borderId="37" xfId="0" applyNumberFormat="1" applyFont="1" applyFill="1" applyBorder="1" applyAlignment="1">
      <alignment horizontal="right" vertical="center" wrapText="1"/>
    </xf>
    <xf numFmtId="3" fontId="14" fillId="2" borderId="19" xfId="0" applyNumberFormat="1" applyFont="1" applyFill="1" applyBorder="1" applyAlignment="1">
      <alignment horizontal="right" vertical="center" wrapText="1"/>
    </xf>
    <xf numFmtId="3" fontId="11" fillId="2" borderId="3" xfId="0" applyNumberFormat="1" applyFont="1" applyFill="1" applyBorder="1" applyAlignment="1">
      <alignment horizontal="right" vertical="center" wrapText="1"/>
    </xf>
    <xf numFmtId="3" fontId="11" fillId="2" borderId="40" xfId="0" applyNumberFormat="1" applyFont="1" applyFill="1" applyBorder="1" applyAlignment="1">
      <alignment horizontal="right" vertical="center" wrapText="1"/>
    </xf>
    <xf numFmtId="3" fontId="19" fillId="2" borderId="27" xfId="0" applyNumberFormat="1" applyFont="1" applyFill="1" applyBorder="1" applyAlignment="1">
      <alignment horizontal="right" vertical="center" wrapText="1"/>
    </xf>
    <xf numFmtId="3" fontId="11" fillId="4" borderId="2" xfId="0" applyNumberFormat="1" applyFont="1" applyFill="1" applyBorder="1" applyAlignment="1">
      <alignment horizontal="right" vertical="center" wrapText="1"/>
    </xf>
    <xf numFmtId="3" fontId="17" fillId="0" borderId="57" xfId="1" applyNumberFormat="1" applyFont="1" applyBorder="1" applyAlignment="1">
      <alignment horizontal="right" vertical="center" wrapText="1"/>
    </xf>
    <xf numFmtId="3" fontId="17" fillId="0" borderId="56" xfId="0" applyNumberFormat="1" applyFont="1" applyBorder="1" applyAlignment="1">
      <alignment horizontal="right" vertical="center" wrapText="1"/>
    </xf>
    <xf numFmtId="3" fontId="17" fillId="0" borderId="5" xfId="0" applyNumberFormat="1" applyFont="1" applyBorder="1" applyAlignment="1">
      <alignment horizontal="right" vertical="center" wrapText="1"/>
    </xf>
    <xf numFmtId="49" fontId="11" fillId="4" borderId="26" xfId="0" applyNumberFormat="1" applyFont="1" applyFill="1" applyBorder="1" applyAlignment="1">
      <alignment horizontal="center" vertical="center" wrapText="1" shrinkToFit="1"/>
    </xf>
    <xf numFmtId="3" fontId="10" fillId="4" borderId="27" xfId="0" applyNumberFormat="1" applyFont="1" applyFill="1" applyBorder="1" applyAlignment="1">
      <alignment horizontal="right" vertical="center" wrapText="1"/>
    </xf>
    <xf numFmtId="0" fontId="20" fillId="4" borderId="25" xfId="0" applyFont="1" applyFill="1" applyBorder="1" applyAlignment="1">
      <alignment horizontal="center" vertical="center" wrapText="1"/>
    </xf>
    <xf numFmtId="49" fontId="11" fillId="2" borderId="22" xfId="0" applyNumberFormat="1" applyFont="1" applyFill="1" applyBorder="1" applyAlignment="1">
      <alignment horizontal="center" vertical="center" wrapText="1" shrinkToFit="1"/>
    </xf>
    <xf numFmtId="0" fontId="12" fillId="2" borderId="0" xfId="0" applyFont="1" applyFill="1" applyAlignment="1">
      <alignment horizontal="center" vertical="center" wrapText="1"/>
    </xf>
    <xf numFmtId="3" fontId="11" fillId="2" borderId="22" xfId="0" applyNumberFormat="1" applyFont="1" applyFill="1" applyBorder="1" applyAlignment="1">
      <alignment horizontal="right" vertical="center"/>
    </xf>
    <xf numFmtId="3" fontId="10" fillId="2" borderId="28" xfId="0" applyNumberFormat="1" applyFont="1" applyFill="1" applyBorder="1" applyAlignment="1">
      <alignment horizontal="right" vertical="center"/>
    </xf>
    <xf numFmtId="3" fontId="10" fillId="2" borderId="65" xfId="0" applyNumberFormat="1" applyFont="1" applyFill="1" applyBorder="1" applyAlignment="1">
      <alignment horizontal="right" vertical="center"/>
    </xf>
    <xf numFmtId="3" fontId="10" fillId="2" borderId="66" xfId="0" applyNumberFormat="1" applyFont="1" applyFill="1" applyBorder="1" applyAlignment="1">
      <alignment horizontal="right" vertical="center"/>
    </xf>
    <xf numFmtId="3" fontId="10" fillId="2" borderId="29" xfId="0" applyNumberFormat="1" applyFont="1" applyFill="1" applyBorder="1" applyAlignment="1">
      <alignment vertical="center" wrapText="1"/>
    </xf>
    <xf numFmtId="3" fontId="10" fillId="2" borderId="22" xfId="0" applyNumberFormat="1" applyFont="1" applyFill="1" applyBorder="1" applyAlignment="1">
      <alignment horizontal="right" vertical="center" wrapText="1"/>
    </xf>
    <xf numFmtId="3" fontId="11" fillId="2" borderId="22" xfId="0" applyNumberFormat="1" applyFont="1" applyFill="1" applyBorder="1" applyAlignment="1">
      <alignment horizontal="right" vertical="center" wrapText="1"/>
    </xf>
    <xf numFmtId="3" fontId="10" fillId="2" borderId="72" xfId="0" applyNumberFormat="1" applyFont="1" applyFill="1" applyBorder="1" applyAlignment="1">
      <alignment horizontal="right" vertical="center"/>
    </xf>
    <xf numFmtId="49" fontId="10" fillId="2" borderId="33" xfId="0" applyNumberFormat="1" applyFont="1" applyFill="1" applyBorder="1" applyAlignment="1">
      <alignment horizontal="center" vertical="center"/>
    </xf>
    <xf numFmtId="3" fontId="10" fillId="0" borderId="12" xfId="0" applyNumberFormat="1" applyFont="1" applyBorder="1" applyAlignment="1">
      <alignment horizontal="right" vertical="center"/>
    </xf>
    <xf numFmtId="3" fontId="10" fillId="0" borderId="57" xfId="0" applyNumberFormat="1" applyFont="1" applyBorder="1" applyAlignment="1">
      <alignment horizontal="right" vertical="center"/>
    </xf>
    <xf numFmtId="49" fontId="10" fillId="0" borderId="12" xfId="0" applyNumberFormat="1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2" fontId="10" fillId="0" borderId="25" xfId="0" applyNumberFormat="1" applyFont="1" applyBorder="1" applyAlignment="1">
      <alignment horizontal="center" vertical="center" wrapText="1"/>
    </xf>
    <xf numFmtId="2" fontId="17" fillId="2" borderId="25" xfId="0" applyNumberFormat="1" applyFont="1" applyFill="1" applyBorder="1" applyAlignment="1">
      <alignment horizontal="center" vertical="center" wrapText="1"/>
    </xf>
    <xf numFmtId="2" fontId="13" fillId="0" borderId="31" xfId="0" applyNumberFormat="1" applyFont="1" applyBorder="1" applyAlignment="1">
      <alignment horizontal="center" vertical="center" wrapText="1"/>
    </xf>
    <xf numFmtId="2" fontId="13" fillId="0" borderId="15" xfId="0" applyNumberFormat="1" applyFont="1" applyBorder="1" applyAlignment="1">
      <alignment horizontal="center" vertical="center" wrapText="1"/>
    </xf>
    <xf numFmtId="2" fontId="15" fillId="0" borderId="25" xfId="0" applyNumberFormat="1" applyFont="1" applyBorder="1" applyAlignment="1">
      <alignment horizontal="center" vertical="center" wrapText="1"/>
    </xf>
    <xf numFmtId="2" fontId="15" fillId="0" borderId="15" xfId="0" applyNumberFormat="1" applyFont="1" applyBorder="1" applyAlignment="1">
      <alignment horizontal="center" vertical="center" wrapText="1"/>
    </xf>
    <xf numFmtId="2" fontId="13" fillId="0" borderId="25" xfId="0" applyNumberFormat="1" applyFont="1" applyBorder="1" applyAlignment="1">
      <alignment horizontal="center" vertical="center" wrapText="1"/>
    </xf>
    <xf numFmtId="2" fontId="15" fillId="2" borderId="25" xfId="0" applyNumberFormat="1" applyFont="1" applyFill="1" applyBorder="1" applyAlignment="1">
      <alignment horizontal="center" vertical="center" wrapText="1"/>
    </xf>
    <xf numFmtId="2" fontId="15" fillId="2" borderId="15" xfId="0" applyNumberFormat="1" applyFont="1" applyFill="1" applyBorder="1" applyAlignment="1">
      <alignment horizontal="center" vertical="center" wrapText="1"/>
    </xf>
    <xf numFmtId="2" fontId="10" fillId="2" borderId="28" xfId="0" applyNumberFormat="1" applyFont="1" applyFill="1" applyBorder="1" applyAlignment="1">
      <alignment horizontal="center" vertical="center" wrapText="1"/>
    </xf>
    <xf numFmtId="2" fontId="10" fillId="2" borderId="25" xfId="0" applyNumberFormat="1" applyFont="1" applyFill="1" applyBorder="1" applyAlignment="1">
      <alignment horizontal="center" vertical="center" wrapText="1"/>
    </xf>
    <xf numFmtId="2" fontId="23" fillId="0" borderId="31" xfId="0" applyNumberFormat="1" applyFont="1" applyBorder="1" applyAlignment="1">
      <alignment horizontal="center" vertical="center" wrapText="1"/>
    </xf>
    <xf numFmtId="2" fontId="15" fillId="2" borderId="31" xfId="0" applyNumberFormat="1" applyFont="1" applyFill="1" applyBorder="1" applyAlignment="1">
      <alignment horizontal="center" vertical="center" wrapText="1"/>
    </xf>
    <xf numFmtId="2" fontId="10" fillId="2" borderId="15" xfId="0" applyNumberFormat="1" applyFont="1" applyFill="1" applyBorder="1" applyAlignment="1">
      <alignment horizontal="center" vertical="center" wrapText="1"/>
    </xf>
    <xf numFmtId="2" fontId="13" fillId="0" borderId="12" xfId="0" applyNumberFormat="1" applyFont="1" applyBorder="1" applyAlignment="1">
      <alignment horizontal="center" vertical="center" wrapText="1"/>
    </xf>
    <xf numFmtId="167" fontId="12" fillId="5" borderId="3" xfId="0" applyNumberFormat="1" applyFont="1" applyFill="1" applyBorder="1" applyAlignment="1">
      <alignment horizontal="center" vertical="center" wrapText="1"/>
    </xf>
    <xf numFmtId="167" fontId="12" fillId="5" borderId="14" xfId="0" applyNumberFormat="1" applyFont="1" applyFill="1" applyBorder="1" applyAlignment="1">
      <alignment horizontal="center" vertical="center" wrapText="1"/>
    </xf>
    <xf numFmtId="167" fontId="12" fillId="5" borderId="2" xfId="0" applyNumberFormat="1" applyFont="1" applyFill="1" applyBorder="1" applyAlignment="1">
      <alignment horizontal="center" vertical="center" wrapText="1"/>
    </xf>
    <xf numFmtId="167" fontId="12" fillId="5" borderId="13" xfId="0" applyNumberFormat="1" applyFont="1" applyFill="1" applyBorder="1" applyAlignment="1">
      <alignment horizontal="center" vertical="center" wrapText="1"/>
    </xf>
    <xf numFmtId="0" fontId="12" fillId="5" borderId="3" xfId="1" applyFont="1" applyFill="1" applyBorder="1" applyAlignment="1">
      <alignment horizontal="center" vertical="center" wrapText="1"/>
    </xf>
    <xf numFmtId="0" fontId="12" fillId="5" borderId="14" xfId="1" applyFont="1" applyFill="1" applyBorder="1" applyAlignment="1">
      <alignment horizontal="center" vertical="center" wrapText="1"/>
    </xf>
    <xf numFmtId="49" fontId="11" fillId="4" borderId="31" xfId="0" applyNumberFormat="1" applyFont="1" applyFill="1" applyBorder="1" applyAlignment="1">
      <alignment horizontal="center" vertical="center" wrapText="1"/>
    </xf>
    <xf numFmtId="49" fontId="11" fillId="4" borderId="37" xfId="0" applyNumberFormat="1" applyFont="1" applyFill="1" applyBorder="1" applyAlignment="1">
      <alignment horizontal="center" vertical="center" wrapText="1"/>
    </xf>
    <xf numFmtId="49" fontId="11" fillId="4" borderId="32" xfId="0" applyNumberFormat="1" applyFont="1" applyFill="1" applyBorder="1" applyAlignment="1">
      <alignment horizontal="center" vertical="center" wrapText="1"/>
    </xf>
    <xf numFmtId="49" fontId="14" fillId="0" borderId="31" xfId="0" applyNumberFormat="1" applyFont="1" applyBorder="1" applyAlignment="1">
      <alignment horizontal="center" vertical="center" wrapText="1"/>
    </xf>
    <xf numFmtId="49" fontId="14" fillId="0" borderId="37" xfId="0" applyNumberFormat="1" applyFont="1" applyBorder="1" applyAlignment="1">
      <alignment horizontal="center" vertical="center" wrapText="1"/>
    </xf>
    <xf numFmtId="49" fontId="14" fillId="0" borderId="32" xfId="0" applyNumberFormat="1" applyFont="1" applyBorder="1" applyAlignment="1">
      <alignment horizontal="center" vertical="center" wrapText="1"/>
    </xf>
    <xf numFmtId="49" fontId="19" fillId="0" borderId="31" xfId="0" applyNumberFormat="1" applyFont="1" applyBorder="1" applyAlignment="1">
      <alignment horizontal="center" vertical="center" wrapText="1"/>
    </xf>
    <xf numFmtId="49" fontId="19" fillId="0" borderId="37" xfId="0" applyNumberFormat="1" applyFont="1" applyBorder="1" applyAlignment="1">
      <alignment horizontal="center" vertical="center" wrapText="1"/>
    </xf>
    <xf numFmtId="49" fontId="19" fillId="0" borderId="32" xfId="0" applyNumberFormat="1" applyFont="1" applyBorder="1" applyAlignment="1">
      <alignment horizontal="center" vertical="center" wrapText="1"/>
    </xf>
    <xf numFmtId="49" fontId="16" fillId="0" borderId="31" xfId="0" applyNumberFormat="1" applyFont="1" applyBorder="1" applyAlignment="1">
      <alignment horizontal="center" vertical="center" wrapText="1"/>
    </xf>
    <xf numFmtId="49" fontId="16" fillId="0" borderId="37" xfId="0" applyNumberFormat="1" applyFont="1" applyBorder="1" applyAlignment="1">
      <alignment horizontal="center" vertical="center" wrapText="1"/>
    </xf>
    <xf numFmtId="49" fontId="16" fillId="0" borderId="32" xfId="0" applyNumberFormat="1" applyFont="1" applyBorder="1" applyAlignment="1">
      <alignment horizontal="center" vertical="center" wrapText="1"/>
    </xf>
    <xf numFmtId="49" fontId="11" fillId="2" borderId="15" xfId="0" applyNumberFormat="1" applyFont="1" applyFill="1" applyBorder="1" applyAlignment="1">
      <alignment horizontal="center" vertical="center" wrapText="1"/>
    </xf>
    <xf numFmtId="49" fontId="11" fillId="2" borderId="19" xfId="0" applyNumberFormat="1" applyFont="1" applyFill="1" applyBorder="1" applyAlignment="1">
      <alignment horizontal="center" vertical="center" wrapText="1"/>
    </xf>
    <xf numFmtId="49" fontId="11" fillId="2" borderId="45" xfId="0" applyNumberFormat="1" applyFont="1" applyFill="1" applyBorder="1" applyAlignment="1">
      <alignment horizontal="center" vertical="center" wrapText="1"/>
    </xf>
    <xf numFmtId="49" fontId="11" fillId="0" borderId="12" xfId="0" applyNumberFormat="1" applyFont="1" applyBorder="1" applyAlignment="1">
      <alignment horizontal="center" vertical="center" wrapText="1"/>
    </xf>
    <xf numFmtId="49" fontId="11" fillId="0" borderId="5" xfId="0" applyNumberFormat="1" applyFont="1" applyBorder="1" applyAlignment="1">
      <alignment horizontal="center" vertical="center" wrapText="1"/>
    </xf>
    <xf numFmtId="0" fontId="12" fillId="5" borderId="2" xfId="0" applyFont="1" applyFill="1" applyBorder="1" applyAlignment="1">
      <alignment horizontal="center" vertical="center" wrapText="1"/>
    </xf>
    <xf numFmtId="0" fontId="12" fillId="5" borderId="13" xfId="0" applyFont="1" applyFill="1" applyBorder="1" applyAlignment="1">
      <alignment horizontal="center" vertical="center" wrapText="1"/>
    </xf>
    <xf numFmtId="0" fontId="11" fillId="5" borderId="3" xfId="0" applyFont="1" applyFill="1" applyBorder="1" applyAlignment="1">
      <alignment horizontal="center" vertical="center" wrapText="1"/>
    </xf>
    <xf numFmtId="0" fontId="11" fillId="5" borderId="14" xfId="0" applyFont="1" applyFill="1" applyBorder="1" applyAlignment="1">
      <alignment horizontal="center" vertical="center" wrapText="1"/>
    </xf>
    <xf numFmtId="0" fontId="11" fillId="18" borderId="2" xfId="1" applyFont="1" applyFill="1" applyBorder="1" applyAlignment="1">
      <alignment horizontal="center" vertical="center" wrapText="1"/>
    </xf>
    <xf numFmtId="0" fontId="11" fillId="18" borderId="13" xfId="1" applyFont="1" applyFill="1" applyBorder="1" applyAlignment="1">
      <alignment horizontal="center" vertical="center" wrapText="1"/>
    </xf>
    <xf numFmtId="0" fontId="11" fillId="15" borderId="3" xfId="1" applyFont="1" applyFill="1" applyBorder="1" applyAlignment="1">
      <alignment horizontal="center" vertical="center" wrapText="1"/>
    </xf>
    <xf numFmtId="0" fontId="11" fillId="15" borderId="14" xfId="1" applyFont="1" applyFill="1" applyBorder="1" applyAlignment="1">
      <alignment horizontal="center" vertical="center" wrapText="1"/>
    </xf>
    <xf numFmtId="0" fontId="12" fillId="4" borderId="12" xfId="1" applyFont="1" applyFill="1" applyBorder="1" applyAlignment="1">
      <alignment horizontal="center" vertical="center" wrapText="1"/>
    </xf>
    <xf numFmtId="0" fontId="12" fillId="4" borderId="5" xfId="1" applyFont="1" applyFill="1" applyBorder="1" applyAlignment="1">
      <alignment horizontal="center" vertical="center" wrapText="1"/>
    </xf>
    <xf numFmtId="0" fontId="12" fillId="4" borderId="6" xfId="1" applyFont="1" applyFill="1" applyBorder="1" applyAlignment="1">
      <alignment horizontal="center" vertical="center" wrapText="1"/>
    </xf>
    <xf numFmtId="4" fontId="12" fillId="14" borderId="12" xfId="0" applyNumberFormat="1" applyFont="1" applyFill="1" applyBorder="1" applyAlignment="1">
      <alignment horizontal="center" vertical="center" wrapText="1"/>
    </xf>
    <xf numFmtId="4" fontId="12" fillId="14" borderId="5" xfId="0" applyNumberFormat="1" applyFont="1" applyFill="1" applyBorder="1" applyAlignment="1">
      <alignment horizontal="center" vertical="center" wrapText="1"/>
    </xf>
    <xf numFmtId="4" fontId="12" fillId="14" borderId="6" xfId="0" applyNumberFormat="1" applyFont="1" applyFill="1" applyBorder="1" applyAlignment="1">
      <alignment horizontal="center" vertical="center" wrapText="1"/>
    </xf>
    <xf numFmtId="170" fontId="12" fillId="3" borderId="12" xfId="0" applyNumberFormat="1" applyFont="1" applyFill="1" applyBorder="1" applyAlignment="1">
      <alignment horizontal="center" vertical="center" wrapText="1"/>
    </xf>
    <xf numFmtId="166" fontId="12" fillId="3" borderId="5" xfId="0" applyNumberFormat="1" applyFont="1" applyFill="1" applyBorder="1" applyAlignment="1">
      <alignment horizontal="center" vertical="center" wrapText="1"/>
    </xf>
    <xf numFmtId="3" fontId="12" fillId="3" borderId="6" xfId="0" applyNumberFormat="1" applyFont="1" applyFill="1" applyBorder="1" applyAlignment="1">
      <alignment horizontal="center" vertical="center" wrapText="1"/>
    </xf>
    <xf numFmtId="4" fontId="11" fillId="10" borderId="2" xfId="0" applyNumberFormat="1" applyFont="1" applyFill="1" applyBorder="1" applyAlignment="1">
      <alignment horizontal="center" vertical="center" wrapText="1"/>
    </xf>
    <xf numFmtId="4" fontId="11" fillId="10" borderId="13" xfId="0" applyNumberFormat="1" applyFont="1" applyFill="1" applyBorder="1" applyAlignment="1">
      <alignment horizontal="center" vertical="center" wrapText="1"/>
    </xf>
    <xf numFmtId="1" fontId="21" fillId="5" borderId="12" xfId="1" applyNumberFormat="1" applyFont="1" applyFill="1" applyBorder="1" applyAlignment="1">
      <alignment horizontal="left" vertical="center" wrapText="1"/>
    </xf>
    <xf numFmtId="1" fontId="21" fillId="5" borderId="5" xfId="1" applyNumberFormat="1" applyFont="1" applyFill="1" applyBorder="1" applyAlignment="1">
      <alignment horizontal="left" vertical="center" wrapText="1"/>
    </xf>
    <xf numFmtId="4" fontId="12" fillId="18" borderId="10" xfId="0" applyNumberFormat="1" applyFont="1" applyFill="1" applyBorder="1" applyAlignment="1">
      <alignment horizontal="center" vertical="center" wrapText="1"/>
    </xf>
    <xf numFmtId="4" fontId="12" fillId="18" borderId="7" xfId="0" applyNumberFormat="1" applyFont="1" applyFill="1" applyBorder="1" applyAlignment="1">
      <alignment horizontal="center" vertical="center" wrapText="1"/>
    </xf>
    <xf numFmtId="4" fontId="12" fillId="18" borderId="11" xfId="0" applyNumberFormat="1" applyFont="1" applyFill="1" applyBorder="1" applyAlignment="1">
      <alignment horizontal="center" vertical="center" wrapText="1"/>
    </xf>
    <xf numFmtId="49" fontId="11" fillId="5" borderId="3" xfId="0" applyNumberFormat="1" applyFont="1" applyFill="1" applyBorder="1" applyAlignment="1">
      <alignment horizontal="center" vertical="center" wrapText="1"/>
    </xf>
    <xf numFmtId="49" fontId="11" fillId="5" borderId="14" xfId="0" applyNumberFormat="1" applyFont="1" applyFill="1" applyBorder="1" applyAlignment="1">
      <alignment horizontal="center" vertical="center" wrapText="1"/>
    </xf>
    <xf numFmtId="0" fontId="11" fillId="5" borderId="3" xfId="1" applyFont="1" applyFill="1" applyBorder="1" applyAlignment="1">
      <alignment horizontal="center" vertical="center" wrapText="1"/>
    </xf>
    <xf numFmtId="0" fontId="11" fillId="5" borderId="14" xfId="1" applyFont="1" applyFill="1" applyBorder="1" applyAlignment="1">
      <alignment horizontal="center" vertical="center" wrapText="1"/>
    </xf>
    <xf numFmtId="0" fontId="12" fillId="5" borderId="2" xfId="1" applyFont="1" applyFill="1" applyBorder="1" applyAlignment="1">
      <alignment horizontal="center" vertical="center" wrapText="1"/>
    </xf>
    <xf numFmtId="0" fontId="12" fillId="5" borderId="13" xfId="1" applyFont="1" applyFill="1" applyBorder="1" applyAlignment="1">
      <alignment horizontal="center" vertical="center" wrapText="1"/>
    </xf>
    <xf numFmtId="0" fontId="11" fillId="3" borderId="3" xfId="1" applyFont="1" applyFill="1" applyBorder="1" applyAlignment="1">
      <alignment horizontal="center" vertical="center" wrapText="1"/>
    </xf>
    <xf numFmtId="0" fontId="11" fillId="3" borderId="14" xfId="1" applyFont="1" applyFill="1" applyBorder="1" applyAlignment="1">
      <alignment horizontal="center" vertical="center" wrapText="1"/>
    </xf>
    <xf numFmtId="49" fontId="11" fillId="4" borderId="31" xfId="0" applyNumberFormat="1" applyFont="1" applyFill="1" applyBorder="1" applyAlignment="1">
      <alignment horizontal="center" vertical="center"/>
    </xf>
    <xf numFmtId="49" fontId="11" fillId="4" borderId="32" xfId="0" applyNumberFormat="1" applyFont="1" applyFill="1" applyBorder="1" applyAlignment="1">
      <alignment horizontal="center" vertical="center"/>
    </xf>
    <xf numFmtId="49" fontId="11" fillId="0" borderId="6" xfId="0" applyNumberFormat="1" applyFont="1" applyBorder="1" applyAlignment="1">
      <alignment horizontal="center" vertical="center" wrapText="1"/>
    </xf>
    <xf numFmtId="0" fontId="32" fillId="16" borderId="12" xfId="0" applyFont="1" applyFill="1" applyBorder="1" applyAlignment="1">
      <alignment horizontal="center" vertical="center" wrapText="1"/>
    </xf>
    <xf numFmtId="0" fontId="32" fillId="16" borderId="5" xfId="0" applyFont="1" applyFill="1" applyBorder="1" applyAlignment="1">
      <alignment horizontal="center" vertical="center" wrapText="1"/>
    </xf>
    <xf numFmtId="0" fontId="32" fillId="16" borderId="6" xfId="0" applyFont="1" applyFill="1" applyBorder="1" applyAlignment="1">
      <alignment horizontal="center" vertical="center" wrapText="1"/>
    </xf>
    <xf numFmtId="0" fontId="38" fillId="0" borderId="10" xfId="0" applyFont="1" applyBorder="1" applyAlignment="1">
      <alignment horizontal="center" vertical="center"/>
    </xf>
    <xf numFmtId="0" fontId="38" fillId="0" borderId="7" xfId="0" applyFont="1" applyBorder="1" applyAlignment="1">
      <alignment horizontal="center" vertical="center"/>
    </xf>
    <xf numFmtId="0" fontId="32" fillId="16" borderId="12" xfId="0" applyFont="1" applyFill="1" applyBorder="1" applyAlignment="1">
      <alignment horizontal="center" vertical="center"/>
    </xf>
    <xf numFmtId="0" fontId="32" fillId="16" borderId="5" xfId="0" applyFont="1" applyFill="1" applyBorder="1" applyAlignment="1">
      <alignment horizontal="center" vertical="center"/>
    </xf>
    <xf numFmtId="0" fontId="32" fillId="16" borderId="6" xfId="0" applyFont="1" applyFill="1" applyBorder="1" applyAlignment="1">
      <alignment horizontal="center" vertical="center"/>
    </xf>
    <xf numFmtId="0" fontId="42" fillId="0" borderId="4" xfId="0" applyFont="1" applyBorder="1" applyAlignment="1">
      <alignment horizontal="center" vertical="center"/>
    </xf>
    <xf numFmtId="0" fontId="42" fillId="0" borderId="8" xfId="0" applyFont="1" applyBorder="1" applyAlignment="1">
      <alignment horizontal="center" vertical="center"/>
    </xf>
    <xf numFmtId="0" fontId="42" fillId="0" borderId="9" xfId="0" applyFont="1" applyBorder="1" applyAlignment="1">
      <alignment horizontal="center" vertical="center"/>
    </xf>
    <xf numFmtId="0" fontId="42" fillId="0" borderId="31" xfId="0" applyFont="1" applyBorder="1" applyAlignment="1">
      <alignment horizontal="center" vertical="center" wrapText="1"/>
    </xf>
    <xf numFmtId="0" fontId="42" fillId="0" borderId="37" xfId="0" applyFont="1" applyBorder="1" applyAlignment="1">
      <alignment horizontal="center" vertical="center" wrapText="1"/>
    </xf>
    <xf numFmtId="0" fontId="42" fillId="0" borderId="32" xfId="0" applyFont="1" applyBorder="1" applyAlignment="1">
      <alignment horizontal="center" vertical="center" wrapText="1"/>
    </xf>
    <xf numFmtId="0" fontId="42" fillId="0" borderId="15" xfId="0" applyFont="1" applyBorder="1" applyAlignment="1">
      <alignment horizontal="center" vertical="center" wrapText="1"/>
    </xf>
    <xf numFmtId="0" fontId="42" fillId="0" borderId="19" xfId="0" applyFont="1" applyBorder="1" applyAlignment="1">
      <alignment horizontal="center" vertical="center" wrapText="1"/>
    </xf>
    <xf numFmtId="0" fontId="42" fillId="0" borderId="45" xfId="0" applyFont="1" applyBorder="1" applyAlignment="1">
      <alignment horizontal="center" vertical="center" wrapText="1"/>
    </xf>
  </cellXfs>
  <cellStyles count="78">
    <cellStyle name="Čárka" xfId="44" builtinId="3"/>
    <cellStyle name="Čárka 2" xfId="9" xr:uid="{00000000-0005-0000-0000-000000000000}"/>
    <cellStyle name="Čárka 2 2" xfId="14" xr:uid="{00000000-0005-0000-0000-000001000000}"/>
    <cellStyle name="Čárka 2 2 2" xfId="23" xr:uid="{00000000-0005-0000-0000-000002000000}"/>
    <cellStyle name="Čárka 2 2 2 2" xfId="41" xr:uid="{00000000-0005-0000-0000-000003000000}"/>
    <cellStyle name="Čárka 2 2 2 2 2" xfId="75" xr:uid="{44E9848D-3538-4296-8A58-4563FF8B4859}"/>
    <cellStyle name="Čárka 2 2 2 3" xfId="59" xr:uid="{A82E48F5-25A0-4D6F-8DE2-887E82A7D31F}"/>
    <cellStyle name="Čárka 2 2 3" xfId="32" xr:uid="{00000000-0005-0000-0000-000004000000}"/>
    <cellStyle name="Čárka 2 2 3 2" xfId="67" xr:uid="{192EBA57-ABFE-47BB-9037-2D9F36A2F43D}"/>
    <cellStyle name="Čárka 2 2 4" xfId="51" xr:uid="{E5A7FAB2-8F5E-4897-9F3F-D3EFA96B4776}"/>
    <cellStyle name="Čárka 2 3" xfId="8" xr:uid="{00000000-0005-0000-0000-000005000000}"/>
    <cellStyle name="Čárka 2 3 2" xfId="18" xr:uid="{00000000-0005-0000-0000-000006000000}"/>
    <cellStyle name="Čárka 2 3 2 2" xfId="36" xr:uid="{00000000-0005-0000-0000-000007000000}"/>
    <cellStyle name="Čárka 2 3 3" xfId="27" xr:uid="{00000000-0005-0000-0000-000008000000}"/>
    <cellStyle name="Čárka 2 4" xfId="19" xr:uid="{00000000-0005-0000-0000-000009000000}"/>
    <cellStyle name="Čárka 2 4 2" xfId="37" xr:uid="{00000000-0005-0000-0000-00000A000000}"/>
    <cellStyle name="Čárka 2 4 2 2" xfId="71" xr:uid="{544430E7-78B5-4A56-A3F0-4CD36E0DE0C0}"/>
    <cellStyle name="Čárka 2 4 3" xfId="55" xr:uid="{C00A516B-F5E0-46CC-A68B-561FE30F4D8B}"/>
    <cellStyle name="Čárka 2 5" xfId="28" xr:uid="{00000000-0005-0000-0000-00000B000000}"/>
    <cellStyle name="Čárka 2 5 2" xfId="63" xr:uid="{DA928A25-E6AC-4C5C-B31D-52AF61257481}"/>
    <cellStyle name="Čárka 2 6" xfId="47" xr:uid="{60F0E4F2-8794-4757-BADA-464E5D714713}"/>
    <cellStyle name="Header" xfId="11" xr:uid="{00000000-0005-0000-0000-00000C000000}"/>
    <cellStyle name="Normální" xfId="0" builtinId="0"/>
    <cellStyle name="Normální 10" xfId="3" xr:uid="{00000000-0005-0000-0000-00000E000000}"/>
    <cellStyle name="Normální 10 2" xfId="12" xr:uid="{00000000-0005-0000-0000-00000F000000}"/>
    <cellStyle name="Normální 10 2 2" xfId="21" xr:uid="{00000000-0005-0000-0000-000010000000}"/>
    <cellStyle name="Normální 10 2 2 2" xfId="39" xr:uid="{00000000-0005-0000-0000-000011000000}"/>
    <cellStyle name="Normální 10 2 2 2 2" xfId="73" xr:uid="{72E749C9-6B03-4B27-A25D-17810209ACE1}"/>
    <cellStyle name="Normální 10 2 2 3" xfId="57" xr:uid="{B52FF832-B6FA-4BC0-9B09-C65906DDC91C}"/>
    <cellStyle name="Normální 10 2 3" xfId="30" xr:uid="{00000000-0005-0000-0000-000012000000}"/>
    <cellStyle name="Normální 10 2 3 2" xfId="65" xr:uid="{5A509008-965B-4E54-9CEC-2800BD40F986}"/>
    <cellStyle name="Normální 10 2 4" xfId="49" xr:uid="{D993096D-585B-4C2C-B887-6C4B1B43733E}"/>
    <cellStyle name="Normální 10 3" xfId="16" xr:uid="{00000000-0005-0000-0000-000013000000}"/>
    <cellStyle name="Normální 10 3 2" xfId="34" xr:uid="{00000000-0005-0000-0000-000014000000}"/>
    <cellStyle name="Normální 10 3 2 2" xfId="69" xr:uid="{4799B077-6A1B-4AAF-8D57-86FB4908C525}"/>
    <cellStyle name="Normální 10 3 3" xfId="53" xr:uid="{86B4D4DA-A102-4240-856B-3279AFEA86AE}"/>
    <cellStyle name="Normální 10 4" xfId="25" xr:uid="{00000000-0005-0000-0000-000015000000}"/>
    <cellStyle name="Normální 10 4 2" xfId="61" xr:uid="{97F2467B-5ED9-4B1F-B5C1-4A4A052B168B}"/>
    <cellStyle name="Normální 10 5" xfId="45" xr:uid="{5D397481-A434-418E-A25B-55762DE4DC9B}"/>
    <cellStyle name="Normální 2" xfId="2" xr:uid="{00000000-0005-0000-0000-000016000000}"/>
    <cellStyle name="Normální 2 123 2" xfId="6" xr:uid="{00000000-0005-0000-0000-000017000000}"/>
    <cellStyle name="Normální 2 123 2 2" xfId="13" xr:uid="{00000000-0005-0000-0000-000018000000}"/>
    <cellStyle name="Normální 2 123 2 2 2" xfId="22" xr:uid="{00000000-0005-0000-0000-000019000000}"/>
    <cellStyle name="Normální 2 123 2 2 2 2" xfId="40" xr:uid="{00000000-0005-0000-0000-00001A000000}"/>
    <cellStyle name="Normální 2 123 2 2 2 2 2" xfId="74" xr:uid="{F48B601A-33BB-4EA8-9EDF-63393FC89BF8}"/>
    <cellStyle name="Normální 2 123 2 2 2 3" xfId="58" xr:uid="{A63647EC-2C11-49C4-A33E-D5EE88A94018}"/>
    <cellStyle name="Normální 2 123 2 2 3" xfId="31" xr:uid="{00000000-0005-0000-0000-00001B000000}"/>
    <cellStyle name="Normální 2 123 2 2 3 2" xfId="66" xr:uid="{5F67612B-7C01-4F4C-93DF-6A97101C16AF}"/>
    <cellStyle name="Normální 2 123 2 2 4" xfId="50" xr:uid="{759FC34F-5598-43AE-958F-3A8BC6842570}"/>
    <cellStyle name="Normální 2 123 2 3" xfId="17" xr:uid="{00000000-0005-0000-0000-00001C000000}"/>
    <cellStyle name="Normální 2 123 2 3 2" xfId="35" xr:uid="{00000000-0005-0000-0000-00001D000000}"/>
    <cellStyle name="Normální 2 123 2 3 2 2" xfId="70" xr:uid="{B6C34817-91CB-4721-8746-DB10F53809DF}"/>
    <cellStyle name="Normální 2 123 2 3 3" xfId="54" xr:uid="{B08D4741-358D-4FAA-BDAC-F0AEA506F008}"/>
    <cellStyle name="Normální 2 123 2 4" xfId="26" xr:uid="{00000000-0005-0000-0000-00001E000000}"/>
    <cellStyle name="Normální 2 123 2 4 2" xfId="62" xr:uid="{6C1C9C3A-B77D-4A44-B883-DA678C0D6479}"/>
    <cellStyle name="Normální 2 123 2 5" xfId="46" xr:uid="{29C4E8F2-3620-4FC9-AC89-295D266A4722}"/>
    <cellStyle name="Normální 2 2" xfId="7" xr:uid="{00000000-0005-0000-0000-00001F000000}"/>
    <cellStyle name="Normální 3" xfId="10" xr:uid="{00000000-0005-0000-0000-000020000000}"/>
    <cellStyle name="Normální 3 2" xfId="15" xr:uid="{00000000-0005-0000-0000-000021000000}"/>
    <cellStyle name="Normální 3 2 2" xfId="24" xr:uid="{00000000-0005-0000-0000-000022000000}"/>
    <cellStyle name="Normální 3 2 2 2" xfId="42" xr:uid="{00000000-0005-0000-0000-000023000000}"/>
    <cellStyle name="Normální 3 2 2 2 2" xfId="76" xr:uid="{0E7B70DC-6A9D-4C8C-909B-F067A6A5D190}"/>
    <cellStyle name="Normální 3 2 2 3" xfId="60" xr:uid="{AFAC291A-A5A9-4650-88ED-C27DE232F9D0}"/>
    <cellStyle name="Normální 3 2 3" xfId="33" xr:uid="{00000000-0005-0000-0000-000024000000}"/>
    <cellStyle name="Normální 3 2 3 2" xfId="68" xr:uid="{311DC0C5-C513-4BDC-8204-D8717997C1B6}"/>
    <cellStyle name="Normální 3 2 4" xfId="52" xr:uid="{C9890856-02B6-437E-A6E6-EC263C85D6FE}"/>
    <cellStyle name="Normální 3 3" xfId="20" xr:uid="{00000000-0005-0000-0000-000025000000}"/>
    <cellStyle name="Normální 3 3 2" xfId="38" xr:uid="{00000000-0005-0000-0000-000026000000}"/>
    <cellStyle name="Normální 3 3 2 2" xfId="72" xr:uid="{DCD8B975-2D25-499F-8F7F-A36F786CE0B7}"/>
    <cellStyle name="Normální 3 3 3" xfId="56" xr:uid="{C0B4ED3C-8E79-4D16-B04C-BFFA1DA2F4B5}"/>
    <cellStyle name="Normální 3 4" xfId="29" xr:uid="{00000000-0005-0000-0000-000027000000}"/>
    <cellStyle name="Normální 3 4 2" xfId="64" xr:uid="{B75A4076-9737-4DA6-958F-A33F04605F24}"/>
    <cellStyle name="Normální 3 5" xfId="48" xr:uid="{EAC8063D-68C3-4046-B156-9768E8CD9B71}"/>
    <cellStyle name="Normální 31" xfId="5" xr:uid="{00000000-0005-0000-0000-000028000000}"/>
    <cellStyle name="Normální 4" xfId="43" xr:uid="{45613E39-8EAE-40DA-A4ED-C10C60E45385}"/>
    <cellStyle name="Normální 4 2" xfId="77" xr:uid="{6D6B899F-02B6-4FCA-A479-EC77D28D9BBC}"/>
    <cellStyle name="Normální 5" xfId="4" xr:uid="{00000000-0005-0000-0000-000029000000}"/>
    <cellStyle name="normální_List1" xfId="1" xr:uid="{00000000-0005-0000-0000-00002B000000}"/>
  </cellStyles>
  <dxfs count="0"/>
  <tableStyles count="0" defaultTableStyle="TableStyleMedium2" defaultPivotStyle="PivotStyleLight16"/>
  <colors>
    <mruColors>
      <color rgb="FF0000FB"/>
      <color rgb="FFFFFF99"/>
      <color rgb="FFFFFFCC"/>
      <color rgb="FFE4DFEC"/>
      <color rgb="FFFFFF66"/>
      <color rgb="FFF385C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2670EA-993D-4B2C-AC58-B0074C08E99A}">
  <sheetPr>
    <tabColor rgb="FFFFFF00"/>
    <pageSetUpPr fitToPage="1"/>
  </sheetPr>
  <dimension ref="A1:AH626"/>
  <sheetViews>
    <sheetView tabSelected="1" zoomScale="80" zoomScaleNormal="80" workbookViewId="0">
      <pane xSplit="3" ySplit="4" topLeftCell="Q115" activePane="bottomRight" state="frozen"/>
      <selection pane="topRight" activeCell="D1" sqref="D1"/>
      <selection pane="bottomLeft" activeCell="A5" sqref="A5"/>
      <selection pane="bottomRight" activeCell="AB630" sqref="AB630"/>
    </sheetView>
  </sheetViews>
  <sheetFormatPr defaultRowHeight="15.75" outlineLevelRow="1" x14ac:dyDescent="0.25"/>
  <cols>
    <col min="1" max="1" width="15.28515625" style="794" customWidth="1"/>
    <col min="2" max="2" width="9.140625" customWidth="1"/>
    <col min="3" max="3" width="66.7109375" style="1466" customWidth="1"/>
    <col min="4" max="4" width="32.5703125" style="1239" customWidth="1"/>
    <col min="5" max="5" width="52.140625" customWidth="1"/>
    <col min="6" max="6" width="51.85546875" customWidth="1"/>
    <col min="7" max="7" width="11.42578125" customWidth="1"/>
    <col min="8" max="8" width="10.140625" customWidth="1"/>
    <col min="9" max="9" width="7.85546875" customWidth="1"/>
    <col min="10" max="10" width="8" customWidth="1"/>
    <col min="11" max="11" width="7.85546875" customWidth="1"/>
    <col min="12" max="13" width="9.5703125" customWidth="1"/>
    <col min="14" max="14" width="10" customWidth="1"/>
    <col min="15" max="15" width="12" style="1352" customWidth="1"/>
    <col min="16" max="16" width="10.85546875" style="1490" customWidth="1"/>
    <col min="17" max="17" width="12" customWidth="1"/>
    <col min="18" max="19" width="11.7109375" customWidth="1"/>
    <col min="20" max="20" width="12" customWidth="1"/>
    <col min="21" max="21" width="10" customWidth="1"/>
    <col min="22" max="22" width="10.7109375" customWidth="1"/>
    <col min="23" max="24" width="9.7109375" customWidth="1"/>
    <col min="25" max="25" width="9.140625" customWidth="1"/>
    <col min="26" max="26" width="8.85546875" customWidth="1"/>
    <col min="27" max="27" width="9.5703125" customWidth="1"/>
    <col min="28" max="28" width="73.42578125" customWidth="1"/>
    <col min="29" max="29" width="16" customWidth="1"/>
    <col min="30" max="30" width="11.7109375" customWidth="1"/>
    <col min="31" max="31" width="9.5703125" customWidth="1"/>
    <col min="32" max="32" width="8.28515625" customWidth="1"/>
    <col min="33" max="33" width="13.85546875" customWidth="1"/>
    <col min="34" max="34" width="9.28515625" customWidth="1"/>
  </cols>
  <sheetData>
    <row r="1" spans="1:34" ht="32.25" thickBot="1" x14ac:dyDescent="0.55000000000000004">
      <c r="A1" s="564"/>
      <c r="B1" s="494"/>
      <c r="C1" s="1225"/>
      <c r="D1" s="1238" t="s">
        <v>1657</v>
      </c>
      <c r="E1" s="1101"/>
      <c r="F1" s="1101"/>
      <c r="G1" s="494"/>
      <c r="H1" s="494"/>
      <c r="I1" s="582"/>
      <c r="J1" s="582"/>
      <c r="K1" s="582"/>
      <c r="L1" s="494"/>
      <c r="M1" s="494"/>
      <c r="N1" s="494"/>
      <c r="O1" s="1349"/>
      <c r="P1" s="1556"/>
      <c r="Q1" s="583"/>
      <c r="R1" s="494"/>
      <c r="S1" s="494"/>
      <c r="T1" s="494"/>
      <c r="U1" s="494"/>
      <c r="V1" s="494"/>
      <c r="W1" s="584"/>
      <c r="X1" s="585"/>
      <c r="Y1" s="585"/>
      <c r="Z1" s="585"/>
      <c r="AA1" s="585"/>
      <c r="AB1" s="586"/>
      <c r="AC1" s="494"/>
      <c r="AD1" s="587" t="s">
        <v>0</v>
      </c>
      <c r="AE1" s="494"/>
      <c r="AF1" s="494" t="s">
        <v>66</v>
      </c>
      <c r="AG1" s="564"/>
      <c r="AH1" s="564"/>
    </row>
    <row r="2" spans="1:34" ht="34.5" customHeight="1" thickBot="1" x14ac:dyDescent="0.3">
      <c r="A2" s="2748" t="s">
        <v>277</v>
      </c>
      <c r="B2" s="2750" t="s">
        <v>1</v>
      </c>
      <c r="C2" s="2752" t="s">
        <v>4</v>
      </c>
      <c r="D2" s="2773" t="s">
        <v>134</v>
      </c>
      <c r="E2" s="2799" t="s">
        <v>2</v>
      </c>
      <c r="F2" s="2799" t="s">
        <v>3</v>
      </c>
      <c r="G2" s="2775" t="s">
        <v>5</v>
      </c>
      <c r="H2" s="2777" t="s">
        <v>985</v>
      </c>
      <c r="I2" s="2779" t="s">
        <v>2096</v>
      </c>
      <c r="J2" s="2780"/>
      <c r="K2" s="2781"/>
      <c r="L2" s="2782" t="s">
        <v>986</v>
      </c>
      <c r="M2" s="2783"/>
      <c r="N2" s="2784"/>
      <c r="O2" s="2785" t="s">
        <v>1319</v>
      </c>
      <c r="P2" s="2786"/>
      <c r="Q2" s="2787"/>
      <c r="R2" s="2788" t="s">
        <v>987</v>
      </c>
      <c r="S2" s="2788" t="s">
        <v>988</v>
      </c>
      <c r="T2" s="2792" t="s">
        <v>6</v>
      </c>
      <c r="U2" s="2793"/>
      <c r="V2" s="2794"/>
      <c r="W2" s="2782" t="s">
        <v>184</v>
      </c>
      <c r="X2" s="2783"/>
      <c r="Y2" s="2783"/>
      <c r="Z2" s="2783"/>
      <c r="AA2" s="2784"/>
      <c r="AB2" s="2771" t="s">
        <v>2097</v>
      </c>
      <c r="AC2" s="2773" t="s">
        <v>157</v>
      </c>
      <c r="AD2" s="2795" t="s">
        <v>133</v>
      </c>
      <c r="AE2" s="2795" t="s">
        <v>88</v>
      </c>
      <c r="AF2" s="2795" t="s">
        <v>1662</v>
      </c>
      <c r="AG2" s="2797" t="s">
        <v>202</v>
      </c>
      <c r="AH2" s="2801" t="s">
        <v>984</v>
      </c>
    </row>
    <row r="3" spans="1:34" ht="74.25" customHeight="1" thickBot="1" x14ac:dyDescent="0.3">
      <c r="A3" s="2749"/>
      <c r="B3" s="2751"/>
      <c r="C3" s="2753"/>
      <c r="D3" s="2774"/>
      <c r="E3" s="2800"/>
      <c r="F3" s="2800"/>
      <c r="G3" s="2776"/>
      <c r="H3" s="2778"/>
      <c r="I3" s="830" t="s">
        <v>1589</v>
      </c>
      <c r="J3" s="830" t="s">
        <v>1591</v>
      </c>
      <c r="K3" s="830" t="s">
        <v>1590</v>
      </c>
      <c r="L3" s="1271" t="s">
        <v>544</v>
      </c>
      <c r="M3" s="580" t="s">
        <v>545</v>
      </c>
      <c r="N3" s="1270" t="s">
        <v>546</v>
      </c>
      <c r="O3" s="1350" t="s">
        <v>1661</v>
      </c>
      <c r="P3" s="1557" t="s">
        <v>1659</v>
      </c>
      <c r="Q3" s="544" t="s">
        <v>1660</v>
      </c>
      <c r="R3" s="2789"/>
      <c r="S3" s="2789"/>
      <c r="T3" s="597" t="s">
        <v>116</v>
      </c>
      <c r="U3" s="597" t="s">
        <v>165</v>
      </c>
      <c r="V3" s="598" t="s">
        <v>115</v>
      </c>
      <c r="W3" s="599" t="s">
        <v>99</v>
      </c>
      <c r="X3" s="631" t="s">
        <v>990</v>
      </c>
      <c r="Y3" s="631" t="s">
        <v>989</v>
      </c>
      <c r="Z3" s="581" t="s">
        <v>991</v>
      </c>
      <c r="AA3" s="581" t="s">
        <v>992</v>
      </c>
      <c r="AB3" s="2772"/>
      <c r="AC3" s="2774"/>
      <c r="AD3" s="2796"/>
      <c r="AE3" s="2796"/>
      <c r="AF3" s="2796"/>
      <c r="AG3" s="2798"/>
      <c r="AH3" s="2802"/>
    </row>
    <row r="4" spans="1:34" ht="16.5" thickBot="1" x14ac:dyDescent="0.3">
      <c r="A4" s="301"/>
      <c r="B4" s="301"/>
      <c r="C4" s="1089" t="s">
        <v>66</v>
      </c>
      <c r="D4" s="311"/>
      <c r="E4" s="611" t="s">
        <v>66</v>
      </c>
      <c r="F4" s="489" t="s">
        <v>66</v>
      </c>
      <c r="G4" s="296"/>
      <c r="H4" s="296"/>
      <c r="I4" s="296"/>
      <c r="J4" s="296"/>
      <c r="K4" s="302"/>
      <c r="L4" s="297"/>
      <c r="M4" s="298"/>
      <c r="N4" s="299"/>
      <c r="O4" s="1351"/>
      <c r="P4" s="1558"/>
      <c r="Q4" s="342"/>
      <c r="R4" s="300" t="s">
        <v>66</v>
      </c>
      <c r="S4" s="300"/>
      <c r="T4" s="447"/>
      <c r="U4" s="446"/>
      <c r="V4" s="447"/>
      <c r="W4" s="448"/>
      <c r="X4" s="567"/>
      <c r="Y4" s="567"/>
      <c r="Z4" s="567"/>
      <c r="AA4" s="567"/>
      <c r="AB4" s="415"/>
      <c r="AC4" s="304"/>
      <c r="AD4" s="449"/>
      <c r="AE4" s="450"/>
      <c r="AF4" s="578"/>
      <c r="AG4" s="296"/>
      <c r="AH4" s="296"/>
    </row>
    <row r="5" spans="1:34" ht="25.5" outlineLevel="1" x14ac:dyDescent="0.25">
      <c r="A5" s="1803" t="s">
        <v>384</v>
      </c>
      <c r="B5" s="1804" t="s">
        <v>396</v>
      </c>
      <c r="C5" s="2113" t="s">
        <v>10</v>
      </c>
      <c r="D5" s="220" t="s">
        <v>1597</v>
      </c>
      <c r="E5" s="383" t="s">
        <v>7</v>
      </c>
      <c r="F5" s="2114" t="s">
        <v>7</v>
      </c>
      <c r="G5" s="248">
        <v>64001.103999999999</v>
      </c>
      <c r="H5" s="322">
        <v>47460.265249999997</v>
      </c>
      <c r="I5" s="2115">
        <v>0</v>
      </c>
      <c r="J5" s="2116">
        <v>5802.8632399999997</v>
      </c>
      <c r="K5" s="2117">
        <v>429.20191</v>
      </c>
      <c r="L5" s="2118">
        <v>0</v>
      </c>
      <c r="M5" s="2613">
        <f>6000-197.13676</f>
        <v>5802.8632399999997</v>
      </c>
      <c r="N5" s="2614">
        <f>10541-0.16125+197.13676-10000</f>
        <v>737.97551000000021</v>
      </c>
      <c r="O5" s="2158">
        <v>16540.838749999999</v>
      </c>
      <c r="P5" s="1691">
        <v>-10000</v>
      </c>
      <c r="Q5" s="1692">
        <f t="shared" ref="Q5:Q22" si="0">O5+P5</f>
        <v>6540.838749999999</v>
      </c>
      <c r="R5" s="1812">
        <v>10000</v>
      </c>
      <c r="S5" s="263">
        <v>0</v>
      </c>
      <c r="T5" s="2118">
        <v>0</v>
      </c>
      <c r="U5" s="2135">
        <v>0</v>
      </c>
      <c r="V5" s="263">
        <v>0</v>
      </c>
      <c r="W5" s="2136">
        <v>0</v>
      </c>
      <c r="X5" s="2137">
        <v>0</v>
      </c>
      <c r="Y5" s="2137">
        <v>0</v>
      </c>
      <c r="Z5" s="2137">
        <v>0</v>
      </c>
      <c r="AA5" s="2138">
        <v>0</v>
      </c>
      <c r="AB5" s="549" t="s">
        <v>1770</v>
      </c>
      <c r="AC5" s="219" t="s">
        <v>13</v>
      </c>
      <c r="AD5" s="377" t="s">
        <v>90</v>
      </c>
      <c r="AE5" s="2162" t="s">
        <v>92</v>
      </c>
      <c r="AF5" s="377" t="s">
        <v>101</v>
      </c>
      <c r="AG5" s="2114" t="s">
        <v>87</v>
      </c>
      <c r="AH5" s="2114" t="s">
        <v>84</v>
      </c>
    </row>
    <row r="6" spans="1:34" ht="26.25" outlineLevel="1" thickBot="1" x14ac:dyDescent="0.3">
      <c r="A6" s="1752" t="s">
        <v>385</v>
      </c>
      <c r="B6" s="2119" t="s">
        <v>397</v>
      </c>
      <c r="C6" s="2120" t="s">
        <v>226</v>
      </c>
      <c r="D6" s="258" t="s">
        <v>1597</v>
      </c>
      <c r="E6" s="1755" t="s">
        <v>7</v>
      </c>
      <c r="F6" s="1755" t="s">
        <v>7</v>
      </c>
      <c r="G6" s="392">
        <f>5620.7488+400+1000</f>
        <v>7020.7488000000003</v>
      </c>
      <c r="H6" s="359">
        <v>6208.0518000000002</v>
      </c>
      <c r="I6" s="2121">
        <v>0</v>
      </c>
      <c r="J6" s="2122">
        <v>0</v>
      </c>
      <c r="K6" s="2123">
        <v>0</v>
      </c>
      <c r="L6" s="1759">
        <v>0</v>
      </c>
      <c r="M6" s="362">
        <f>812.697-812.697</f>
        <v>0</v>
      </c>
      <c r="N6" s="2615">
        <f>0+812.697-500</f>
        <v>312.697</v>
      </c>
      <c r="O6" s="1992">
        <v>812.697</v>
      </c>
      <c r="P6" s="1993">
        <v>-500</v>
      </c>
      <c r="Q6" s="371">
        <f t="shared" si="0"/>
        <v>312.697</v>
      </c>
      <c r="R6" s="1760">
        <v>500</v>
      </c>
      <c r="S6" s="376">
        <v>0</v>
      </c>
      <c r="T6" s="1759">
        <v>0</v>
      </c>
      <c r="U6" s="362">
        <v>0</v>
      </c>
      <c r="V6" s="376">
        <v>0</v>
      </c>
      <c r="W6" s="1764">
        <v>0</v>
      </c>
      <c r="X6" s="1989">
        <v>0</v>
      </c>
      <c r="Y6" s="1989">
        <v>0</v>
      </c>
      <c r="Z6" s="1765">
        <v>0</v>
      </c>
      <c r="AA6" s="1766">
        <v>0</v>
      </c>
      <c r="AB6" s="430" t="s">
        <v>1766</v>
      </c>
      <c r="AC6" s="258" t="s">
        <v>13</v>
      </c>
      <c r="AD6" s="373" t="s">
        <v>90</v>
      </c>
      <c r="AE6" s="2048" t="s">
        <v>92</v>
      </c>
      <c r="AF6" s="373" t="s">
        <v>100</v>
      </c>
      <c r="AG6" s="1755" t="s">
        <v>87</v>
      </c>
      <c r="AH6" s="1755" t="s">
        <v>84</v>
      </c>
    </row>
    <row r="7" spans="1:34" s="1509" customFormat="1" ht="32.25" outlineLevel="1" thickBot="1" x14ac:dyDescent="0.3">
      <c r="A7" s="2001" t="s">
        <v>386</v>
      </c>
      <c r="B7" s="1981" t="s">
        <v>398</v>
      </c>
      <c r="C7" s="2124" t="s">
        <v>2075</v>
      </c>
      <c r="D7" s="427" t="s">
        <v>1598</v>
      </c>
      <c r="E7" s="1983" t="s">
        <v>7</v>
      </c>
      <c r="F7" s="1983" t="s">
        <v>7</v>
      </c>
      <c r="G7" s="392">
        <v>6956</v>
      </c>
      <c r="H7" s="359">
        <v>2900.8588999999997</v>
      </c>
      <c r="I7" s="2121">
        <v>879.39530000000002</v>
      </c>
      <c r="J7" s="2122">
        <v>0</v>
      </c>
      <c r="K7" s="2123">
        <v>6</v>
      </c>
      <c r="L7" s="2043">
        <f>1055.1411-175.7458</f>
        <v>879.39530000000002</v>
      </c>
      <c r="M7" s="600">
        <f>175.7458-175.7458</f>
        <v>0</v>
      </c>
      <c r="N7" s="2472">
        <f>3000+175.7458-2000</f>
        <v>1175.7458000000001</v>
      </c>
      <c r="O7" s="1992">
        <v>4055.1410999999998</v>
      </c>
      <c r="P7" s="1993">
        <v>-2000</v>
      </c>
      <c r="Q7" s="1993">
        <f t="shared" si="0"/>
        <v>2055.1410999999998</v>
      </c>
      <c r="R7" s="2472">
        <v>2000</v>
      </c>
      <c r="S7" s="277">
        <v>0</v>
      </c>
      <c r="T7" s="2043">
        <v>0</v>
      </c>
      <c r="U7" s="600">
        <v>0</v>
      </c>
      <c r="V7" s="277">
        <v>0</v>
      </c>
      <c r="W7" s="1994">
        <v>0</v>
      </c>
      <c r="X7" s="1989">
        <v>0</v>
      </c>
      <c r="Y7" s="1989">
        <v>0</v>
      </c>
      <c r="Z7" s="1989">
        <v>0</v>
      </c>
      <c r="AA7" s="1995">
        <v>0</v>
      </c>
      <c r="AB7" s="526" t="s">
        <v>2076</v>
      </c>
      <c r="AC7" s="427" t="s">
        <v>13</v>
      </c>
      <c r="AD7" s="2369" t="s">
        <v>90</v>
      </c>
      <c r="AE7" s="2369" t="s">
        <v>92</v>
      </c>
      <c r="AF7" s="570" t="s">
        <v>102</v>
      </c>
      <c r="AG7" s="1983" t="s">
        <v>87</v>
      </c>
      <c r="AH7" s="1983" t="s">
        <v>84</v>
      </c>
    </row>
    <row r="8" spans="1:34" s="1510" customFormat="1" ht="26.25" outlineLevel="1" thickBot="1" x14ac:dyDescent="0.3">
      <c r="A8" s="2125" t="s">
        <v>387</v>
      </c>
      <c r="B8" s="2126" t="s">
        <v>399</v>
      </c>
      <c r="C8" s="1784" t="s">
        <v>132</v>
      </c>
      <c r="D8" s="275" t="s">
        <v>1599</v>
      </c>
      <c r="E8" s="275" t="s">
        <v>7</v>
      </c>
      <c r="F8" s="1127" t="s">
        <v>7</v>
      </c>
      <c r="G8" s="2127">
        <v>18000</v>
      </c>
      <c r="H8" s="2128">
        <v>12712.44231</v>
      </c>
      <c r="I8" s="2129">
        <v>0</v>
      </c>
      <c r="J8" s="2130">
        <v>23.501000000000001</v>
      </c>
      <c r="K8" s="2131">
        <v>2514.2506600000002</v>
      </c>
      <c r="L8" s="2132">
        <v>0</v>
      </c>
      <c r="M8" s="1516">
        <f>0+23.501</f>
        <v>23.501000000000001</v>
      </c>
      <c r="N8" s="2134">
        <f>5288-0.44231-23.501-3000+250.19397</f>
        <v>2514.2506599999992</v>
      </c>
      <c r="O8" s="1791">
        <v>5287.5576899999987</v>
      </c>
      <c r="P8" s="1792">
        <f>-3000+250.19397</f>
        <v>-2749.8060300000002</v>
      </c>
      <c r="Q8" s="1792">
        <f t="shared" si="0"/>
        <v>2537.7516599999985</v>
      </c>
      <c r="R8" s="2134">
        <f>3000-250.19397</f>
        <v>2749.8060300000002</v>
      </c>
      <c r="S8" s="1513">
        <v>0</v>
      </c>
      <c r="T8" s="2132">
        <v>0</v>
      </c>
      <c r="U8" s="1516">
        <v>0</v>
      </c>
      <c r="V8" s="1513">
        <v>0</v>
      </c>
      <c r="W8" s="2046">
        <v>0</v>
      </c>
      <c r="X8" s="2139">
        <v>0</v>
      </c>
      <c r="Y8" s="2139">
        <v>0</v>
      </c>
      <c r="Z8" s="2139">
        <v>0</v>
      </c>
      <c r="AA8" s="2047">
        <v>0</v>
      </c>
      <c r="AB8" s="526" t="s">
        <v>2094</v>
      </c>
      <c r="AC8" s="275" t="s">
        <v>186</v>
      </c>
      <c r="AD8" s="1515" t="s">
        <v>1067</v>
      </c>
      <c r="AE8" s="1515" t="s">
        <v>92</v>
      </c>
      <c r="AF8" s="577" t="s">
        <v>101</v>
      </c>
      <c r="AG8" s="1127" t="s">
        <v>87</v>
      </c>
      <c r="AH8" s="1127" t="s">
        <v>84</v>
      </c>
    </row>
    <row r="9" spans="1:34" s="1510" customFormat="1" ht="26.25" outlineLevel="1" thickBot="1" x14ac:dyDescent="0.3">
      <c r="A9" s="2125" t="s">
        <v>388</v>
      </c>
      <c r="B9" s="2126" t="s">
        <v>400</v>
      </c>
      <c r="C9" s="1784" t="s">
        <v>227</v>
      </c>
      <c r="D9" s="275" t="s">
        <v>164</v>
      </c>
      <c r="E9" s="275" t="s">
        <v>7</v>
      </c>
      <c r="F9" s="1127" t="s">
        <v>7</v>
      </c>
      <c r="G9" s="2127">
        <v>820</v>
      </c>
      <c r="H9" s="2128">
        <v>3.8719999999999999</v>
      </c>
      <c r="I9" s="2129">
        <v>0</v>
      </c>
      <c r="J9" s="2130">
        <v>0</v>
      </c>
      <c r="K9" s="2133">
        <v>0</v>
      </c>
      <c r="L9" s="2132">
        <v>0</v>
      </c>
      <c r="M9" s="1516">
        <f>816.128-816.128</f>
        <v>0</v>
      </c>
      <c r="N9" s="2134">
        <v>0</v>
      </c>
      <c r="O9" s="1791">
        <v>816.12800000000004</v>
      </c>
      <c r="P9" s="1792">
        <v>-816.12800000000004</v>
      </c>
      <c r="Q9" s="1792">
        <f t="shared" si="0"/>
        <v>0</v>
      </c>
      <c r="R9" s="2134">
        <v>816.12800000000004</v>
      </c>
      <c r="S9" s="1513">
        <v>0</v>
      </c>
      <c r="T9" s="2132">
        <v>0</v>
      </c>
      <c r="U9" s="1516">
        <v>0</v>
      </c>
      <c r="V9" s="1513">
        <v>0</v>
      </c>
      <c r="W9" s="2046">
        <v>0</v>
      </c>
      <c r="X9" s="2139">
        <v>0</v>
      </c>
      <c r="Y9" s="2139">
        <v>0</v>
      </c>
      <c r="Z9" s="2139">
        <v>0</v>
      </c>
      <c r="AA9" s="2047">
        <v>0</v>
      </c>
      <c r="AB9" s="528" t="s">
        <v>1768</v>
      </c>
      <c r="AC9" s="275" t="s">
        <v>11</v>
      </c>
      <c r="AD9" s="577" t="s">
        <v>190</v>
      </c>
      <c r="AE9" s="1515" t="s">
        <v>91</v>
      </c>
      <c r="AF9" s="577" t="s">
        <v>102</v>
      </c>
      <c r="AG9" s="1127" t="s">
        <v>87</v>
      </c>
      <c r="AH9" s="1127" t="s">
        <v>84</v>
      </c>
    </row>
    <row r="10" spans="1:34" s="1510" customFormat="1" ht="26.25" outlineLevel="1" thickBot="1" x14ac:dyDescent="0.3">
      <c r="A10" s="2125" t="s">
        <v>389</v>
      </c>
      <c r="B10" s="2126" t="s">
        <v>87</v>
      </c>
      <c r="C10" s="1784" t="s">
        <v>158</v>
      </c>
      <c r="D10" s="275" t="s">
        <v>1600</v>
      </c>
      <c r="E10" s="275" t="s">
        <v>7</v>
      </c>
      <c r="F10" s="1127" t="s">
        <v>7</v>
      </c>
      <c r="G10" s="2127">
        <v>450</v>
      </c>
      <c r="H10" s="2128">
        <v>0</v>
      </c>
      <c r="I10" s="2129">
        <v>0</v>
      </c>
      <c r="J10" s="2130">
        <v>0</v>
      </c>
      <c r="K10" s="2133">
        <v>0</v>
      </c>
      <c r="L10" s="2132">
        <v>0</v>
      </c>
      <c r="M10" s="1516">
        <f>450-450</f>
        <v>0</v>
      </c>
      <c r="N10" s="2131">
        <v>0</v>
      </c>
      <c r="O10" s="1791">
        <v>450</v>
      </c>
      <c r="P10" s="1792">
        <v>-450</v>
      </c>
      <c r="Q10" s="1792">
        <f t="shared" si="0"/>
        <v>0</v>
      </c>
      <c r="R10" s="2134">
        <v>450</v>
      </c>
      <c r="S10" s="1513">
        <v>0</v>
      </c>
      <c r="T10" s="2132">
        <v>0</v>
      </c>
      <c r="U10" s="1516">
        <v>0</v>
      </c>
      <c r="V10" s="1513">
        <v>0</v>
      </c>
      <c r="W10" s="2046">
        <v>0</v>
      </c>
      <c r="X10" s="2139">
        <v>0</v>
      </c>
      <c r="Y10" s="2139">
        <v>0</v>
      </c>
      <c r="Z10" s="2139">
        <v>0</v>
      </c>
      <c r="AA10" s="2047">
        <v>0</v>
      </c>
      <c r="AB10" s="528" t="s">
        <v>1769</v>
      </c>
      <c r="AC10" s="275" t="s">
        <v>11</v>
      </c>
      <c r="AD10" s="1515" t="s">
        <v>191</v>
      </c>
      <c r="AE10" s="1515" t="s">
        <v>91</v>
      </c>
      <c r="AF10" s="577" t="s">
        <v>100</v>
      </c>
      <c r="AG10" s="1127" t="s">
        <v>87</v>
      </c>
      <c r="AH10" s="1127" t="s">
        <v>84</v>
      </c>
    </row>
    <row r="11" spans="1:34" s="1176" customFormat="1" ht="25.5" outlineLevel="1" x14ac:dyDescent="0.25">
      <c r="A11" s="834" t="s">
        <v>390</v>
      </c>
      <c r="B11" s="799" t="s">
        <v>401</v>
      </c>
      <c r="C11" s="1334" t="s">
        <v>549</v>
      </c>
      <c r="D11" s="93" t="s">
        <v>1601</v>
      </c>
      <c r="E11" s="93" t="s">
        <v>7</v>
      </c>
      <c r="F11" s="24" t="s">
        <v>7</v>
      </c>
      <c r="G11" s="326">
        <v>26000</v>
      </c>
      <c r="H11" s="209">
        <v>15220.482200000002</v>
      </c>
      <c r="I11" s="1590">
        <v>0</v>
      </c>
      <c r="J11" s="1591">
        <v>0</v>
      </c>
      <c r="K11" s="1592">
        <v>0</v>
      </c>
      <c r="L11" s="864">
        <v>0</v>
      </c>
      <c r="M11" s="319">
        <v>0</v>
      </c>
      <c r="N11" s="968">
        <f>9780-0.4822+1000</f>
        <v>10779.5178</v>
      </c>
      <c r="O11" s="838">
        <v>10779.517799999998</v>
      </c>
      <c r="P11" s="849">
        <v>0</v>
      </c>
      <c r="Q11" s="612">
        <f t="shared" si="0"/>
        <v>10779.517799999998</v>
      </c>
      <c r="R11" s="500">
        <v>0</v>
      </c>
      <c r="S11" s="506">
        <v>0</v>
      </c>
      <c r="T11" s="864">
        <v>0</v>
      </c>
      <c r="U11" s="319">
        <v>0</v>
      </c>
      <c r="V11" s="500">
        <v>0</v>
      </c>
      <c r="W11" s="864">
        <v>0</v>
      </c>
      <c r="X11" s="865">
        <v>0</v>
      </c>
      <c r="Y11" s="865">
        <v>0</v>
      </c>
      <c r="Z11" s="865">
        <v>0</v>
      </c>
      <c r="AA11" s="500">
        <v>0</v>
      </c>
      <c r="AB11" s="399" t="s">
        <v>84</v>
      </c>
      <c r="AC11" s="61" t="s">
        <v>13</v>
      </c>
      <c r="AD11" s="484" t="s">
        <v>190</v>
      </c>
      <c r="AE11" s="484" t="s">
        <v>92</v>
      </c>
      <c r="AF11" s="484" t="s">
        <v>101</v>
      </c>
      <c r="AG11" s="24" t="s">
        <v>87</v>
      </c>
      <c r="AH11" s="24" t="s">
        <v>84</v>
      </c>
    </row>
    <row r="12" spans="1:34" ht="25.5" outlineLevel="1" x14ac:dyDescent="0.25">
      <c r="A12" s="835" t="s">
        <v>391</v>
      </c>
      <c r="B12" s="798" t="s">
        <v>771</v>
      </c>
      <c r="C12" s="1335" t="s">
        <v>201</v>
      </c>
      <c r="D12" s="95" t="s">
        <v>1601</v>
      </c>
      <c r="E12" s="95" t="s">
        <v>7</v>
      </c>
      <c r="F12" s="514" t="s">
        <v>7</v>
      </c>
      <c r="G12" s="312">
        <v>3000</v>
      </c>
      <c r="H12" s="163">
        <v>72.599999999999994</v>
      </c>
      <c r="I12" s="1593">
        <v>0</v>
      </c>
      <c r="J12" s="1594">
        <v>0</v>
      </c>
      <c r="K12" s="1595">
        <v>0</v>
      </c>
      <c r="L12" s="803">
        <v>0</v>
      </c>
      <c r="M12" s="698">
        <f>2927.4-2927.4</f>
        <v>0</v>
      </c>
      <c r="N12" s="877">
        <f>0+2927.4</f>
        <v>2927.4</v>
      </c>
      <c r="O12" s="841">
        <v>2927.4</v>
      </c>
      <c r="P12" s="851">
        <v>0</v>
      </c>
      <c r="Q12" s="613">
        <f t="shared" si="0"/>
        <v>2927.4</v>
      </c>
      <c r="R12" s="513">
        <v>0</v>
      </c>
      <c r="S12" s="507">
        <v>0</v>
      </c>
      <c r="T12" s="803">
        <v>0</v>
      </c>
      <c r="U12" s="470">
        <v>0</v>
      </c>
      <c r="V12" s="513">
        <v>0</v>
      </c>
      <c r="W12" s="803">
        <v>0</v>
      </c>
      <c r="X12" s="865">
        <v>0</v>
      </c>
      <c r="Y12" s="865">
        <v>0</v>
      </c>
      <c r="Z12" s="698">
        <v>0</v>
      </c>
      <c r="AA12" s="513">
        <v>0</v>
      </c>
      <c r="AB12" s="509" t="s">
        <v>84</v>
      </c>
      <c r="AC12" s="102" t="s">
        <v>11</v>
      </c>
      <c r="AD12" s="484" t="s">
        <v>191</v>
      </c>
      <c r="AE12" s="484" t="s">
        <v>91</v>
      </c>
      <c r="AF12" s="484" t="s">
        <v>102</v>
      </c>
      <c r="AG12" s="24" t="s">
        <v>87</v>
      </c>
      <c r="AH12" s="24" t="s">
        <v>84</v>
      </c>
    </row>
    <row r="13" spans="1:34" s="1509" customFormat="1" ht="26.25" outlineLevel="1" thickBot="1" x14ac:dyDescent="0.3">
      <c r="A13" s="1455" t="s">
        <v>392</v>
      </c>
      <c r="B13" s="206" t="s">
        <v>1390</v>
      </c>
      <c r="C13" s="1124" t="s">
        <v>1321</v>
      </c>
      <c r="D13" s="73" t="s">
        <v>1601</v>
      </c>
      <c r="E13" s="73" t="s">
        <v>7</v>
      </c>
      <c r="F13" s="160" t="s">
        <v>7</v>
      </c>
      <c r="G13" s="405">
        <f>2000-943.6821</f>
        <v>1056.3179</v>
      </c>
      <c r="H13" s="821">
        <v>0</v>
      </c>
      <c r="I13" s="822">
        <v>0</v>
      </c>
      <c r="J13" s="823">
        <v>1056.3179</v>
      </c>
      <c r="K13" s="824">
        <v>0</v>
      </c>
      <c r="L13" s="547">
        <v>0</v>
      </c>
      <c r="M13" s="473">
        <f>2000-943.6821</f>
        <v>1056.3179</v>
      </c>
      <c r="N13" s="973">
        <v>0</v>
      </c>
      <c r="O13" s="417">
        <v>1056.3179</v>
      </c>
      <c r="P13" s="556">
        <v>0</v>
      </c>
      <c r="Q13" s="532">
        <f t="shared" si="0"/>
        <v>1056.3179</v>
      </c>
      <c r="R13" s="207">
        <v>0</v>
      </c>
      <c r="S13" s="751">
        <v>0</v>
      </c>
      <c r="T13" s="547">
        <v>0</v>
      </c>
      <c r="U13" s="474">
        <v>0</v>
      </c>
      <c r="V13" s="207">
        <v>0</v>
      </c>
      <c r="W13" s="547">
        <v>0</v>
      </c>
      <c r="X13" s="473">
        <v>0</v>
      </c>
      <c r="Y13" s="473">
        <v>0</v>
      </c>
      <c r="Z13" s="473">
        <v>0</v>
      </c>
      <c r="AA13" s="207">
        <v>0</v>
      </c>
      <c r="AB13" s="708" t="s">
        <v>84</v>
      </c>
      <c r="AC13" s="826" t="s">
        <v>95</v>
      </c>
      <c r="AD13" s="78" t="s">
        <v>311</v>
      </c>
      <c r="AE13" s="78" t="s">
        <v>92</v>
      </c>
      <c r="AF13" s="78" t="s">
        <v>102</v>
      </c>
      <c r="AG13" s="160" t="s">
        <v>87</v>
      </c>
      <c r="AH13" s="160" t="s">
        <v>84</v>
      </c>
    </row>
    <row r="14" spans="1:34" s="1510" customFormat="1" ht="26.25" outlineLevel="1" thickBot="1" x14ac:dyDescent="0.3">
      <c r="A14" s="2147" t="s">
        <v>393</v>
      </c>
      <c r="B14" s="2148" t="s">
        <v>87</v>
      </c>
      <c r="C14" s="1784" t="s">
        <v>228</v>
      </c>
      <c r="D14" s="275" t="s">
        <v>282</v>
      </c>
      <c r="E14" s="275" t="s">
        <v>7</v>
      </c>
      <c r="F14" s="1127" t="s">
        <v>7</v>
      </c>
      <c r="G14" s="2149">
        <v>11000</v>
      </c>
      <c r="H14" s="2150">
        <v>0</v>
      </c>
      <c r="I14" s="2151">
        <v>0</v>
      </c>
      <c r="J14" s="2152">
        <v>0</v>
      </c>
      <c r="K14" s="2153">
        <v>0</v>
      </c>
      <c r="L14" s="2046">
        <v>0</v>
      </c>
      <c r="M14" s="1541">
        <f>11000-11000</f>
        <v>0</v>
      </c>
      <c r="N14" s="2047">
        <f>0+1000</f>
        <v>1000</v>
      </c>
      <c r="O14" s="1791">
        <v>11000</v>
      </c>
      <c r="P14" s="1792">
        <v>-10000</v>
      </c>
      <c r="Q14" s="1792">
        <f t="shared" si="0"/>
        <v>1000</v>
      </c>
      <c r="R14" s="2047">
        <v>10000</v>
      </c>
      <c r="S14" s="2154">
        <v>0</v>
      </c>
      <c r="T14" s="2046">
        <v>0</v>
      </c>
      <c r="U14" s="1541">
        <v>0</v>
      </c>
      <c r="V14" s="2154">
        <v>0</v>
      </c>
      <c r="W14" s="2046">
        <v>0</v>
      </c>
      <c r="X14" s="2139">
        <v>0</v>
      </c>
      <c r="Y14" s="2139">
        <v>0</v>
      </c>
      <c r="Z14" s="2139">
        <v>0</v>
      </c>
      <c r="AA14" s="2047">
        <v>0</v>
      </c>
      <c r="AB14" s="526" t="s">
        <v>1772</v>
      </c>
      <c r="AC14" s="1106" t="s">
        <v>11</v>
      </c>
      <c r="AD14" s="577" t="s">
        <v>191</v>
      </c>
      <c r="AE14" s="577" t="s">
        <v>91</v>
      </c>
      <c r="AF14" s="577" t="s">
        <v>102</v>
      </c>
      <c r="AG14" s="1127" t="s">
        <v>87</v>
      </c>
      <c r="AH14" s="1127" t="s">
        <v>84</v>
      </c>
    </row>
    <row r="15" spans="1:34" s="1511" customFormat="1" ht="26.25" outlineLevel="1" thickBot="1" x14ac:dyDescent="0.3">
      <c r="A15" s="456" t="s">
        <v>550</v>
      </c>
      <c r="B15" s="632" t="s">
        <v>770</v>
      </c>
      <c r="C15" s="1133" t="s">
        <v>551</v>
      </c>
      <c r="D15" s="177" t="s">
        <v>1498</v>
      </c>
      <c r="E15" s="177" t="s">
        <v>7</v>
      </c>
      <c r="F15" s="457" t="s">
        <v>7</v>
      </c>
      <c r="G15" s="964">
        <f>2600-0.00344</f>
        <v>2599.99656</v>
      </c>
      <c r="H15" s="1031">
        <v>0</v>
      </c>
      <c r="I15" s="965">
        <v>2458.9408100000001</v>
      </c>
      <c r="J15" s="812">
        <v>141.05574999999999</v>
      </c>
      <c r="K15" s="1457">
        <v>0</v>
      </c>
      <c r="L15" s="815">
        <f>2600-141.05919</f>
        <v>2458.9408100000001</v>
      </c>
      <c r="M15" s="816">
        <f>141.05919-0.00344</f>
        <v>141.05574999999999</v>
      </c>
      <c r="N15" s="818">
        <v>0</v>
      </c>
      <c r="O15" s="813">
        <v>2599.99656</v>
      </c>
      <c r="P15" s="1152">
        <v>0</v>
      </c>
      <c r="Q15" s="814">
        <f t="shared" si="0"/>
        <v>2599.99656</v>
      </c>
      <c r="R15" s="966">
        <v>0</v>
      </c>
      <c r="S15" s="1045">
        <v>0</v>
      </c>
      <c r="T15" s="815">
        <v>0</v>
      </c>
      <c r="U15" s="816">
        <v>0</v>
      </c>
      <c r="V15" s="1045">
        <v>0</v>
      </c>
      <c r="W15" s="815">
        <v>0</v>
      </c>
      <c r="X15" s="817">
        <v>0</v>
      </c>
      <c r="Y15" s="817">
        <v>0</v>
      </c>
      <c r="Z15" s="817">
        <v>0</v>
      </c>
      <c r="AA15" s="818">
        <v>0</v>
      </c>
      <c r="AB15" s="530" t="s">
        <v>84</v>
      </c>
      <c r="AC15" s="1507" t="s">
        <v>95</v>
      </c>
      <c r="AD15" s="178" t="s">
        <v>472</v>
      </c>
      <c r="AE15" s="178" t="s">
        <v>92</v>
      </c>
      <c r="AF15" s="178" t="s">
        <v>101</v>
      </c>
      <c r="AG15" s="457" t="s">
        <v>87</v>
      </c>
      <c r="AH15" s="457" t="s">
        <v>84</v>
      </c>
    </row>
    <row r="16" spans="1:34" ht="31.5" outlineLevel="1" x14ac:dyDescent="0.25">
      <c r="A16" s="1803" t="s">
        <v>998</v>
      </c>
      <c r="B16" s="1804" t="s">
        <v>87</v>
      </c>
      <c r="C16" s="2113" t="s">
        <v>999</v>
      </c>
      <c r="D16" s="219" t="s">
        <v>1602</v>
      </c>
      <c r="E16" s="219" t="s">
        <v>7</v>
      </c>
      <c r="F16" s="383" t="s">
        <v>7</v>
      </c>
      <c r="G16" s="418">
        <v>550</v>
      </c>
      <c r="H16" s="418">
        <v>0</v>
      </c>
      <c r="I16" s="2142">
        <v>0</v>
      </c>
      <c r="J16" s="2143">
        <v>0</v>
      </c>
      <c r="K16" s="2144">
        <v>0</v>
      </c>
      <c r="L16" s="2136">
        <v>0</v>
      </c>
      <c r="M16" s="1846">
        <f>550-550</f>
        <v>0</v>
      </c>
      <c r="N16" s="2138">
        <f>0</f>
        <v>0</v>
      </c>
      <c r="O16" s="421">
        <v>550</v>
      </c>
      <c r="P16" s="1691">
        <v>-550</v>
      </c>
      <c r="Q16" s="1691">
        <f t="shared" si="0"/>
        <v>0</v>
      </c>
      <c r="R16" s="421">
        <v>550</v>
      </c>
      <c r="S16" s="421">
        <v>0</v>
      </c>
      <c r="T16" s="2136">
        <v>0</v>
      </c>
      <c r="U16" s="1846">
        <v>0</v>
      </c>
      <c r="V16" s="2138">
        <v>0</v>
      </c>
      <c r="W16" s="2136">
        <v>0</v>
      </c>
      <c r="X16" s="1846">
        <v>0</v>
      </c>
      <c r="Y16" s="1846">
        <v>0</v>
      </c>
      <c r="Z16" s="1846">
        <v>0</v>
      </c>
      <c r="AA16" s="2138">
        <v>0</v>
      </c>
      <c r="AB16" s="549" t="s">
        <v>1773</v>
      </c>
      <c r="AC16" s="219" t="s">
        <v>11</v>
      </c>
      <c r="AD16" s="379" t="s">
        <v>190</v>
      </c>
      <c r="AE16" s="379" t="s">
        <v>91</v>
      </c>
      <c r="AF16" s="379" t="s">
        <v>101</v>
      </c>
      <c r="AG16" s="383" t="s">
        <v>87</v>
      </c>
      <c r="AH16" s="383" t="s">
        <v>84</v>
      </c>
    </row>
    <row r="17" spans="1:34" s="1176" customFormat="1" ht="31.5" outlineLevel="1" x14ac:dyDescent="0.25">
      <c r="A17" s="1683" t="s">
        <v>1000</v>
      </c>
      <c r="B17" s="1684" t="s">
        <v>87</v>
      </c>
      <c r="C17" s="1685" t="s">
        <v>1001</v>
      </c>
      <c r="D17" s="220" t="s">
        <v>1602</v>
      </c>
      <c r="E17" s="220" t="s">
        <v>7</v>
      </c>
      <c r="F17" s="1686" t="s">
        <v>7</v>
      </c>
      <c r="G17" s="429">
        <v>7500</v>
      </c>
      <c r="H17" s="429">
        <v>0</v>
      </c>
      <c r="I17" s="1975">
        <v>0</v>
      </c>
      <c r="J17" s="2145">
        <v>0</v>
      </c>
      <c r="K17" s="2146">
        <v>0</v>
      </c>
      <c r="L17" s="1693">
        <v>0</v>
      </c>
      <c r="M17" s="1728">
        <f>4500-4500</f>
        <v>0</v>
      </c>
      <c r="N17" s="1696">
        <f>3000-3000</f>
        <v>0</v>
      </c>
      <c r="O17" s="1726">
        <v>7500</v>
      </c>
      <c r="P17" s="1692">
        <v>-7500</v>
      </c>
      <c r="Q17" s="1692">
        <f t="shared" si="0"/>
        <v>0</v>
      </c>
      <c r="R17" s="1726">
        <v>7500</v>
      </c>
      <c r="S17" s="1726">
        <v>0</v>
      </c>
      <c r="T17" s="1693">
        <v>0</v>
      </c>
      <c r="U17" s="1728">
        <v>0</v>
      </c>
      <c r="V17" s="1696">
        <v>0</v>
      </c>
      <c r="W17" s="1693">
        <v>0</v>
      </c>
      <c r="X17" s="1728">
        <v>0</v>
      </c>
      <c r="Y17" s="1728">
        <v>0</v>
      </c>
      <c r="Z17" s="1728">
        <v>0</v>
      </c>
      <c r="AA17" s="1696">
        <v>0</v>
      </c>
      <c r="AB17" s="525" t="s">
        <v>1774</v>
      </c>
      <c r="AC17" s="220" t="s">
        <v>11</v>
      </c>
      <c r="AD17" s="252" t="s">
        <v>191</v>
      </c>
      <c r="AE17" s="252" t="s">
        <v>91</v>
      </c>
      <c r="AF17" s="252" t="s">
        <v>101</v>
      </c>
      <c r="AG17" s="1686" t="s">
        <v>87</v>
      </c>
      <c r="AH17" s="1686" t="s">
        <v>84</v>
      </c>
    </row>
    <row r="18" spans="1:34" ht="31.5" outlineLevel="1" x14ac:dyDescent="0.25">
      <c r="A18" s="1683" t="s">
        <v>1002</v>
      </c>
      <c r="B18" s="1684" t="s">
        <v>2089</v>
      </c>
      <c r="C18" s="1685" t="s">
        <v>1003</v>
      </c>
      <c r="D18" s="220" t="s">
        <v>1602</v>
      </c>
      <c r="E18" s="220" t="s">
        <v>7</v>
      </c>
      <c r="F18" s="1686" t="s">
        <v>7</v>
      </c>
      <c r="G18" s="429">
        <v>3500</v>
      </c>
      <c r="H18" s="429">
        <v>0</v>
      </c>
      <c r="I18" s="1975">
        <v>0</v>
      </c>
      <c r="J18" s="2145">
        <v>0</v>
      </c>
      <c r="K18" s="2146">
        <v>972.26300000000003</v>
      </c>
      <c r="L18" s="1693">
        <v>0</v>
      </c>
      <c r="M18" s="1728">
        <f>3500-3500</f>
        <v>0</v>
      </c>
      <c r="N18" s="1696">
        <f>0+1500</f>
        <v>1500</v>
      </c>
      <c r="O18" s="1726">
        <v>3500</v>
      </c>
      <c r="P18" s="1692">
        <v>-2000</v>
      </c>
      <c r="Q18" s="1692">
        <f t="shared" si="0"/>
        <v>1500</v>
      </c>
      <c r="R18" s="1726">
        <v>2000</v>
      </c>
      <c r="S18" s="1726">
        <v>0</v>
      </c>
      <c r="T18" s="1693">
        <v>0</v>
      </c>
      <c r="U18" s="1728">
        <v>0</v>
      </c>
      <c r="V18" s="1696">
        <v>0</v>
      </c>
      <c r="W18" s="1693">
        <v>0</v>
      </c>
      <c r="X18" s="1728">
        <v>0</v>
      </c>
      <c r="Y18" s="1728">
        <v>0</v>
      </c>
      <c r="Z18" s="1728">
        <v>0</v>
      </c>
      <c r="AA18" s="1696">
        <v>0</v>
      </c>
      <c r="AB18" s="525" t="s">
        <v>1767</v>
      </c>
      <c r="AC18" s="220" t="s">
        <v>186</v>
      </c>
      <c r="AD18" s="252" t="s">
        <v>321</v>
      </c>
      <c r="AE18" s="252" t="s">
        <v>92</v>
      </c>
      <c r="AF18" s="2623">
        <v>1</v>
      </c>
      <c r="AG18" s="1686" t="s">
        <v>87</v>
      </c>
      <c r="AH18" s="1686" t="s">
        <v>84</v>
      </c>
    </row>
    <row r="19" spans="1:34" s="2141" customFormat="1" ht="25.5" outlineLevel="1" x14ac:dyDescent="0.25">
      <c r="A19" s="929" t="s">
        <v>1004</v>
      </c>
      <c r="B19" s="733" t="s">
        <v>1638</v>
      </c>
      <c r="C19" s="1235" t="s">
        <v>1005</v>
      </c>
      <c r="D19" s="204" t="s">
        <v>1602</v>
      </c>
      <c r="E19" s="204" t="s">
        <v>7</v>
      </c>
      <c r="F19" s="718" t="s">
        <v>7</v>
      </c>
      <c r="G19" s="725">
        <f>150-36.768</f>
        <v>113.232</v>
      </c>
      <c r="H19" s="725">
        <v>0</v>
      </c>
      <c r="I19" s="974">
        <v>0</v>
      </c>
      <c r="J19" s="975">
        <v>113.232</v>
      </c>
      <c r="K19" s="2140">
        <v>0</v>
      </c>
      <c r="L19" s="734">
        <v>0</v>
      </c>
      <c r="M19" s="736">
        <v>113.232</v>
      </c>
      <c r="N19" s="739">
        <v>0</v>
      </c>
      <c r="O19" s="935">
        <v>150</v>
      </c>
      <c r="P19" s="936">
        <v>-36.768000000000001</v>
      </c>
      <c r="Q19" s="716">
        <f t="shared" si="0"/>
        <v>113.232</v>
      </c>
      <c r="R19" s="954">
        <v>0</v>
      </c>
      <c r="S19" s="954">
        <v>0</v>
      </c>
      <c r="T19" s="734">
        <v>0</v>
      </c>
      <c r="U19" s="736">
        <v>0</v>
      </c>
      <c r="V19" s="739">
        <v>0</v>
      </c>
      <c r="W19" s="734">
        <v>0</v>
      </c>
      <c r="X19" s="736">
        <v>0</v>
      </c>
      <c r="Y19" s="736">
        <v>0</v>
      </c>
      <c r="Z19" s="736">
        <v>0</v>
      </c>
      <c r="AA19" s="739">
        <v>0</v>
      </c>
      <c r="AB19" s="1237" t="s">
        <v>1771</v>
      </c>
      <c r="AC19" s="204" t="s">
        <v>95</v>
      </c>
      <c r="AD19" s="253" t="s">
        <v>321</v>
      </c>
      <c r="AE19" s="253" t="s">
        <v>92</v>
      </c>
      <c r="AF19" s="253" t="s">
        <v>101</v>
      </c>
      <c r="AG19" s="718" t="s">
        <v>87</v>
      </c>
      <c r="AH19" s="718" t="s">
        <v>84</v>
      </c>
    </row>
    <row r="20" spans="1:34" s="1512" customFormat="1" ht="26.25" outlineLevel="1" thickBot="1" x14ac:dyDescent="0.3">
      <c r="A20" s="832" t="s">
        <v>1065</v>
      </c>
      <c r="B20" s="1448" t="s">
        <v>87</v>
      </c>
      <c r="C20" s="1328" t="s">
        <v>1066</v>
      </c>
      <c r="D20" s="98" t="s">
        <v>1602</v>
      </c>
      <c r="E20" s="98" t="s">
        <v>7</v>
      </c>
      <c r="F20" s="502" t="s">
        <v>7</v>
      </c>
      <c r="G20" s="324">
        <v>2450</v>
      </c>
      <c r="H20" s="208">
        <v>0</v>
      </c>
      <c r="I20" s="1600">
        <v>0</v>
      </c>
      <c r="J20" s="1601">
        <v>0</v>
      </c>
      <c r="K20" s="1602">
        <v>130.68</v>
      </c>
      <c r="L20" s="870">
        <v>0</v>
      </c>
      <c r="M20" s="880">
        <f>450-450</f>
        <v>0</v>
      </c>
      <c r="N20" s="217">
        <f>2000+450</f>
        <v>2450</v>
      </c>
      <c r="O20" s="842">
        <v>2450</v>
      </c>
      <c r="P20" s="1086">
        <v>0</v>
      </c>
      <c r="Q20" s="531">
        <f t="shared" si="0"/>
        <v>2450</v>
      </c>
      <c r="R20" s="391">
        <v>0</v>
      </c>
      <c r="S20" s="1292">
        <v>0</v>
      </c>
      <c r="T20" s="870">
        <v>0</v>
      </c>
      <c r="U20" s="697">
        <v>0</v>
      </c>
      <c r="V20" s="1292">
        <v>0</v>
      </c>
      <c r="W20" s="870">
        <v>0</v>
      </c>
      <c r="X20" s="880">
        <v>0</v>
      </c>
      <c r="Y20" s="880">
        <v>0</v>
      </c>
      <c r="Z20" s="697">
        <v>0</v>
      </c>
      <c r="AA20" s="217">
        <v>0</v>
      </c>
      <c r="AB20" s="335" t="s">
        <v>84</v>
      </c>
      <c r="AC20" s="88" t="s">
        <v>13</v>
      </c>
      <c r="AD20" s="58" t="s">
        <v>321</v>
      </c>
      <c r="AE20" s="58" t="s">
        <v>92</v>
      </c>
      <c r="AF20" s="58" t="s">
        <v>101</v>
      </c>
      <c r="AG20" s="502" t="s">
        <v>87</v>
      </c>
      <c r="AH20" s="502" t="s">
        <v>84</v>
      </c>
    </row>
    <row r="21" spans="1:34" s="1176" customFormat="1" ht="26.25" outlineLevel="1" thickBot="1" x14ac:dyDescent="0.3">
      <c r="A21" s="833" t="s">
        <v>1331</v>
      </c>
      <c r="B21" s="1143" t="s">
        <v>87</v>
      </c>
      <c r="C21" s="1326" t="s">
        <v>1332</v>
      </c>
      <c r="D21" s="20" t="s">
        <v>1603</v>
      </c>
      <c r="E21" s="20" t="s">
        <v>7</v>
      </c>
      <c r="F21" s="158" t="s">
        <v>7</v>
      </c>
      <c r="G21" s="400">
        <v>650</v>
      </c>
      <c r="H21" s="435">
        <v>0</v>
      </c>
      <c r="I21" s="1596">
        <v>0</v>
      </c>
      <c r="J21" s="1597">
        <v>0</v>
      </c>
      <c r="K21" s="1598">
        <v>0</v>
      </c>
      <c r="L21" s="867">
        <v>0</v>
      </c>
      <c r="M21" s="868">
        <v>0</v>
      </c>
      <c r="N21" s="819">
        <v>650</v>
      </c>
      <c r="O21" s="840">
        <v>650</v>
      </c>
      <c r="P21" s="1149">
        <v>0</v>
      </c>
      <c r="Q21" s="533">
        <f t="shared" si="0"/>
        <v>650</v>
      </c>
      <c r="R21" s="442">
        <v>0</v>
      </c>
      <c r="S21" s="1286">
        <v>0</v>
      </c>
      <c r="T21" s="867">
        <v>0</v>
      </c>
      <c r="U21" s="874">
        <v>0</v>
      </c>
      <c r="V21" s="1286">
        <v>0</v>
      </c>
      <c r="W21" s="867">
        <v>0</v>
      </c>
      <c r="X21" s="874">
        <v>0</v>
      </c>
      <c r="Y21" s="874">
        <v>0</v>
      </c>
      <c r="Z21" s="874">
        <v>0</v>
      </c>
      <c r="AA21" s="819">
        <v>0</v>
      </c>
      <c r="AB21" s="43" t="s">
        <v>84</v>
      </c>
      <c r="AC21" s="246" t="s">
        <v>11</v>
      </c>
      <c r="AD21" s="387" t="s">
        <v>321</v>
      </c>
      <c r="AE21" s="387" t="s">
        <v>91</v>
      </c>
      <c r="AF21" s="387" t="s">
        <v>101</v>
      </c>
      <c r="AG21" s="158" t="s">
        <v>87</v>
      </c>
      <c r="AH21" s="158" t="s">
        <v>84</v>
      </c>
    </row>
    <row r="22" spans="1:34" s="1176" customFormat="1" ht="26.25" outlineLevel="1" thickBot="1" x14ac:dyDescent="0.3">
      <c r="A22" s="578" t="s">
        <v>1433</v>
      </c>
      <c r="B22" s="2083" t="s">
        <v>87</v>
      </c>
      <c r="C22" s="2084" t="s">
        <v>1434</v>
      </c>
      <c r="D22" s="485" t="s">
        <v>1722</v>
      </c>
      <c r="E22" s="485" t="s">
        <v>7</v>
      </c>
      <c r="F22" s="1681" t="s">
        <v>7</v>
      </c>
      <c r="G22" s="2085">
        <v>550</v>
      </c>
      <c r="H22" s="2086">
        <v>0</v>
      </c>
      <c r="I22" s="2087">
        <v>0</v>
      </c>
      <c r="J22" s="2088">
        <v>0</v>
      </c>
      <c r="K22" s="2089">
        <v>0</v>
      </c>
      <c r="L22" s="1624">
        <v>0</v>
      </c>
      <c r="M22" s="1625">
        <v>0</v>
      </c>
      <c r="N22" s="1626">
        <v>550</v>
      </c>
      <c r="O22" s="2090">
        <v>550</v>
      </c>
      <c r="P22" s="2091">
        <v>0</v>
      </c>
      <c r="Q22" s="2092">
        <f t="shared" si="0"/>
        <v>550</v>
      </c>
      <c r="R22" s="1623">
        <v>0</v>
      </c>
      <c r="S22" s="2093">
        <v>0</v>
      </c>
      <c r="T22" s="1624">
        <v>0</v>
      </c>
      <c r="U22" s="2094">
        <v>0</v>
      </c>
      <c r="V22" s="2093">
        <v>0</v>
      </c>
      <c r="W22" s="1624">
        <v>0</v>
      </c>
      <c r="X22" s="2094">
        <v>0</v>
      </c>
      <c r="Y22" s="2094">
        <v>0</v>
      </c>
      <c r="Z22" s="2094">
        <v>0</v>
      </c>
      <c r="AA22" s="1626">
        <v>0</v>
      </c>
      <c r="AB22" s="398" t="s">
        <v>84</v>
      </c>
      <c r="AC22" s="559" t="s">
        <v>11</v>
      </c>
      <c r="AD22" s="189" t="s">
        <v>321</v>
      </c>
      <c r="AE22" s="189" t="s">
        <v>91</v>
      </c>
      <c r="AF22" s="189" t="s">
        <v>101</v>
      </c>
      <c r="AG22" s="1681" t="s">
        <v>87</v>
      </c>
      <c r="AH22" s="1681" t="s">
        <v>84</v>
      </c>
    </row>
    <row r="23" spans="1:34" s="1176" customFormat="1" ht="31.5" outlineLevel="1" x14ac:dyDescent="0.25">
      <c r="A23" s="2095" t="s">
        <v>1760</v>
      </c>
      <c r="B23" s="2096" t="s">
        <v>87</v>
      </c>
      <c r="C23" s="2097" t="s">
        <v>1761</v>
      </c>
      <c r="D23" s="194" t="s">
        <v>84</v>
      </c>
      <c r="E23" s="194" t="s">
        <v>7</v>
      </c>
      <c r="F23" s="2098" t="s">
        <v>7</v>
      </c>
      <c r="G23" s="401">
        <v>750</v>
      </c>
      <c r="H23" s="401">
        <v>0</v>
      </c>
      <c r="I23" s="2099">
        <v>0</v>
      </c>
      <c r="J23" s="2100">
        <v>0</v>
      </c>
      <c r="K23" s="2101">
        <v>0</v>
      </c>
      <c r="L23" s="2103">
        <v>0</v>
      </c>
      <c r="M23" s="2104">
        <v>0</v>
      </c>
      <c r="N23" s="2105">
        <v>0</v>
      </c>
      <c r="O23" s="2102">
        <v>0</v>
      </c>
      <c r="P23" s="2711">
        <v>0</v>
      </c>
      <c r="Q23" s="2711">
        <f>O23+P23</f>
        <v>0</v>
      </c>
      <c r="R23" s="2102">
        <v>750</v>
      </c>
      <c r="S23" s="2102">
        <v>0</v>
      </c>
      <c r="T23" s="2103">
        <v>0</v>
      </c>
      <c r="U23" s="2104">
        <v>0</v>
      </c>
      <c r="V23" s="2105">
        <v>0</v>
      </c>
      <c r="W23" s="2103">
        <v>0</v>
      </c>
      <c r="X23" s="2104">
        <v>0</v>
      </c>
      <c r="Y23" s="2104">
        <v>0</v>
      </c>
      <c r="Z23" s="2104">
        <v>0</v>
      </c>
      <c r="AA23" s="2105">
        <v>0</v>
      </c>
      <c r="AB23" s="2106" t="s">
        <v>1762</v>
      </c>
      <c r="AC23" s="2107" t="s">
        <v>11</v>
      </c>
      <c r="AD23" s="394" t="s">
        <v>1564</v>
      </c>
      <c r="AE23" s="394" t="s">
        <v>91</v>
      </c>
      <c r="AF23" s="394" t="s">
        <v>101</v>
      </c>
      <c r="AG23" s="2098" t="s">
        <v>87</v>
      </c>
      <c r="AH23" s="2098" t="s">
        <v>84</v>
      </c>
    </row>
    <row r="24" spans="1:34" s="1176" customFormat="1" ht="25.5" outlineLevel="1" x14ac:dyDescent="0.25">
      <c r="A24" s="1929" t="s">
        <v>1763</v>
      </c>
      <c r="B24" s="2108" t="s">
        <v>87</v>
      </c>
      <c r="C24" s="1930" t="s">
        <v>1764</v>
      </c>
      <c r="D24" s="197" t="s">
        <v>84</v>
      </c>
      <c r="E24" s="197" t="s">
        <v>7</v>
      </c>
      <c r="F24" s="1945" t="s">
        <v>7</v>
      </c>
      <c r="G24" s="413">
        <v>1300</v>
      </c>
      <c r="H24" s="413">
        <v>0</v>
      </c>
      <c r="I24" s="2109">
        <v>0</v>
      </c>
      <c r="J24" s="2110">
        <v>0</v>
      </c>
      <c r="K24" s="2111">
        <v>0</v>
      </c>
      <c r="L24" s="2028">
        <v>0</v>
      </c>
      <c r="M24" s="2029">
        <v>0</v>
      </c>
      <c r="N24" s="2112">
        <v>0</v>
      </c>
      <c r="O24" s="1936">
        <v>0</v>
      </c>
      <c r="P24" s="1937">
        <v>0</v>
      </c>
      <c r="Q24" s="1937">
        <f>O24+P24</f>
        <v>0</v>
      </c>
      <c r="R24" s="1936">
        <v>1300</v>
      </c>
      <c r="S24" s="1936">
        <v>0</v>
      </c>
      <c r="T24" s="2028">
        <v>0</v>
      </c>
      <c r="U24" s="2029">
        <v>0</v>
      </c>
      <c r="V24" s="2112">
        <v>0</v>
      </c>
      <c r="W24" s="2028">
        <v>0</v>
      </c>
      <c r="X24" s="2029">
        <v>0</v>
      </c>
      <c r="Y24" s="2029">
        <v>0</v>
      </c>
      <c r="Z24" s="2029">
        <v>0</v>
      </c>
      <c r="AA24" s="2112">
        <v>0</v>
      </c>
      <c r="AB24" s="393" t="s">
        <v>1765</v>
      </c>
      <c r="AC24" s="197" t="s">
        <v>11</v>
      </c>
      <c r="AD24" s="369" t="s">
        <v>1564</v>
      </c>
      <c r="AE24" s="369" t="s">
        <v>91</v>
      </c>
      <c r="AF24" s="369" t="s">
        <v>101</v>
      </c>
      <c r="AG24" s="1945" t="s">
        <v>87</v>
      </c>
      <c r="AH24" s="1945" t="s">
        <v>84</v>
      </c>
    </row>
    <row r="25" spans="1:34" ht="16.5" outlineLevel="1" thickBot="1" x14ac:dyDescent="0.3">
      <c r="A25" s="84" t="s">
        <v>96</v>
      </c>
      <c r="B25" s="1356" t="s">
        <v>96</v>
      </c>
      <c r="C25" s="1090" t="s">
        <v>96</v>
      </c>
      <c r="D25" s="496" t="s">
        <v>96</v>
      </c>
      <c r="E25" s="311" t="s">
        <v>96</v>
      </c>
      <c r="F25" s="611" t="s">
        <v>96</v>
      </c>
      <c r="G25" s="492" t="s">
        <v>96</v>
      </c>
      <c r="H25" s="1523" t="s">
        <v>96</v>
      </c>
      <c r="I25" s="1524" t="s">
        <v>96</v>
      </c>
      <c r="J25" s="1357" t="s">
        <v>96</v>
      </c>
      <c r="K25" s="1603" t="s">
        <v>96</v>
      </c>
      <c r="L25" s="388" t="s">
        <v>96</v>
      </c>
      <c r="M25" s="334" t="s">
        <v>96</v>
      </c>
      <c r="N25" s="318" t="s">
        <v>96</v>
      </c>
      <c r="O25" s="215" t="s">
        <v>96</v>
      </c>
      <c r="P25" s="318" t="s">
        <v>96</v>
      </c>
      <c r="Q25" s="215" t="s">
        <v>96</v>
      </c>
      <c r="R25" s="215" t="s">
        <v>96</v>
      </c>
      <c r="S25" s="332" t="s">
        <v>96</v>
      </c>
      <c r="T25" s="388" t="s">
        <v>96</v>
      </c>
      <c r="U25" s="334" t="s">
        <v>96</v>
      </c>
      <c r="V25" s="332" t="s">
        <v>96</v>
      </c>
      <c r="W25" s="388" t="s">
        <v>96</v>
      </c>
      <c r="X25" s="336" t="s">
        <v>96</v>
      </c>
      <c r="Y25" s="336" t="s">
        <v>96</v>
      </c>
      <c r="Z25" s="336" t="s">
        <v>96</v>
      </c>
      <c r="AA25" s="318" t="s">
        <v>96</v>
      </c>
      <c r="AB25" s="215" t="s">
        <v>96</v>
      </c>
      <c r="AC25" s="67" t="s">
        <v>96</v>
      </c>
      <c r="AD25" s="84" t="s">
        <v>96</v>
      </c>
      <c r="AE25" s="84" t="s">
        <v>96</v>
      </c>
      <c r="AF25" s="84" t="s">
        <v>96</v>
      </c>
      <c r="AG25" s="611" t="s">
        <v>96</v>
      </c>
      <c r="AH25" s="611" t="s">
        <v>96</v>
      </c>
    </row>
    <row r="26" spans="1:34" s="1495" customFormat="1" ht="18.75" thickBot="1" x14ac:dyDescent="0.3">
      <c r="A26" s="1078" t="s">
        <v>394</v>
      </c>
      <c r="B26" s="1077"/>
      <c r="C26" s="1091"/>
      <c r="D26" s="1497" t="s">
        <v>84</v>
      </c>
      <c r="E26" s="1497" t="s">
        <v>84</v>
      </c>
      <c r="F26" s="1497" t="s">
        <v>84</v>
      </c>
      <c r="G26" s="504">
        <f>SUM(G5:G25)</f>
        <v>158267.39925999998</v>
      </c>
      <c r="H26" s="504">
        <f t="shared" ref="H26:AA26" si="1">SUM(H5:H25)</f>
        <v>84578.57246000001</v>
      </c>
      <c r="I26" s="504">
        <f t="shared" si="1"/>
        <v>3338.3361100000002</v>
      </c>
      <c r="J26" s="504">
        <f t="shared" si="1"/>
        <v>7136.9698900000003</v>
      </c>
      <c r="K26" s="504">
        <v>4052.3955700000001</v>
      </c>
      <c r="L26" s="504">
        <f t="shared" si="1"/>
        <v>3338.3361100000002</v>
      </c>
      <c r="M26" s="504">
        <f t="shared" si="1"/>
        <v>7136.9698900000003</v>
      </c>
      <c r="N26" s="504">
        <f t="shared" si="1"/>
        <v>24597.586770000002</v>
      </c>
      <c r="O26" s="504">
        <f t="shared" si="1"/>
        <v>71675.594799999992</v>
      </c>
      <c r="P26" s="504">
        <f t="shared" si="1"/>
        <v>-36602.70203</v>
      </c>
      <c r="Q26" s="504">
        <f t="shared" si="1"/>
        <v>35072.892769999991</v>
      </c>
      <c r="R26" s="504">
        <f t="shared" si="1"/>
        <v>38615.934030000004</v>
      </c>
      <c r="S26" s="504">
        <f t="shared" si="1"/>
        <v>0</v>
      </c>
      <c r="T26" s="504">
        <f t="shared" si="1"/>
        <v>0</v>
      </c>
      <c r="U26" s="504">
        <f t="shared" si="1"/>
        <v>0</v>
      </c>
      <c r="V26" s="504">
        <f t="shared" si="1"/>
        <v>0</v>
      </c>
      <c r="W26" s="504">
        <f t="shared" si="1"/>
        <v>0</v>
      </c>
      <c r="X26" s="504">
        <f t="shared" si="1"/>
        <v>0</v>
      </c>
      <c r="Y26" s="504">
        <v>0</v>
      </c>
      <c r="Z26" s="504">
        <f t="shared" si="1"/>
        <v>0</v>
      </c>
      <c r="AA26" s="504">
        <f t="shared" si="1"/>
        <v>0</v>
      </c>
      <c r="AB26" s="38" t="s">
        <v>1277</v>
      </c>
      <c r="AC26" s="38" t="s">
        <v>84</v>
      </c>
      <c r="AD26" s="1068" t="s">
        <v>84</v>
      </c>
      <c r="AE26" s="1498" t="s">
        <v>84</v>
      </c>
      <c r="AF26" s="38" t="s">
        <v>84</v>
      </c>
      <c r="AG26" s="1493" t="s">
        <v>84</v>
      </c>
      <c r="AH26" s="1493" t="s">
        <v>84</v>
      </c>
    </row>
    <row r="27" spans="1:34" ht="25.5" outlineLevel="1" x14ac:dyDescent="0.25">
      <c r="A27" s="750" t="s">
        <v>250</v>
      </c>
      <c r="B27" s="1194" t="s">
        <v>402</v>
      </c>
      <c r="C27" s="1334" t="s">
        <v>12</v>
      </c>
      <c r="D27" s="95" t="s">
        <v>1604</v>
      </c>
      <c r="E27" s="24" t="s">
        <v>7</v>
      </c>
      <c r="F27" s="24" t="s">
        <v>7</v>
      </c>
      <c r="G27" s="511">
        <f>16659.59+29+23+1800+400+802+200-500+2000+8165</f>
        <v>29578.59</v>
      </c>
      <c r="H27" s="380">
        <v>18066.185000000001</v>
      </c>
      <c r="I27" s="1604">
        <v>7517.9719999999998</v>
      </c>
      <c r="J27" s="1605">
        <v>0</v>
      </c>
      <c r="K27" s="1606">
        <v>0</v>
      </c>
      <c r="L27" s="396">
        <f>7523.33472-5.36272</f>
        <v>7517.9719999999998</v>
      </c>
      <c r="M27" s="505"/>
      <c r="N27" s="1294">
        <f>1630.33328+858.737+5.36272</f>
        <v>2494.433</v>
      </c>
      <c r="O27" s="837">
        <v>10012.405000000001</v>
      </c>
      <c r="P27" s="849">
        <v>0</v>
      </c>
      <c r="Q27" s="612">
        <f t="shared" ref="Q27:Q35" si="2">O27+P27</f>
        <v>10012.405000000001</v>
      </c>
      <c r="R27" s="499">
        <v>1500</v>
      </c>
      <c r="S27" s="285">
        <v>0</v>
      </c>
      <c r="T27" s="517">
        <v>0</v>
      </c>
      <c r="U27" s="488">
        <v>0</v>
      </c>
      <c r="V27" s="483">
        <v>0</v>
      </c>
      <c r="W27" s="864">
        <v>0</v>
      </c>
      <c r="X27" s="865">
        <v>0</v>
      </c>
      <c r="Y27" s="865">
        <v>0</v>
      </c>
      <c r="Z27" s="865">
        <v>0</v>
      </c>
      <c r="AA27" s="500">
        <v>0</v>
      </c>
      <c r="AB27" s="501" t="s">
        <v>470</v>
      </c>
      <c r="AC27" s="61" t="s">
        <v>13</v>
      </c>
      <c r="AD27" s="1277" t="s">
        <v>190</v>
      </c>
      <c r="AE27" s="1276" t="s">
        <v>92</v>
      </c>
      <c r="AF27" s="317" t="s">
        <v>101</v>
      </c>
      <c r="AG27" s="514" t="s">
        <v>87</v>
      </c>
      <c r="AH27" s="514" t="s">
        <v>971</v>
      </c>
    </row>
    <row r="28" spans="1:34" ht="25.5" outlineLevel="1" x14ac:dyDescent="0.25">
      <c r="A28" s="1683" t="s">
        <v>251</v>
      </c>
      <c r="B28" s="1684" t="s">
        <v>403</v>
      </c>
      <c r="C28" s="1685" t="s">
        <v>14</v>
      </c>
      <c r="D28" s="220" t="s">
        <v>1605</v>
      </c>
      <c r="E28" s="1686" t="s">
        <v>7</v>
      </c>
      <c r="F28" s="1686" t="s">
        <v>7</v>
      </c>
      <c r="G28" s="251">
        <f>1182.025+540.2+700+2000+6000+17.92195+48.94916+2000+2000</f>
        <v>14489.09611</v>
      </c>
      <c r="H28" s="322">
        <v>4306.3151099999995</v>
      </c>
      <c r="I28" s="1687">
        <v>1365.9894200000001</v>
      </c>
      <c r="J28" s="1688">
        <v>0</v>
      </c>
      <c r="K28" s="1689">
        <v>0</v>
      </c>
      <c r="L28" s="353">
        <v>1365.9894200000001</v>
      </c>
      <c r="M28" s="354">
        <v>0</v>
      </c>
      <c r="N28" s="1690">
        <v>0</v>
      </c>
      <c r="O28" s="421">
        <v>6182.7809999999999</v>
      </c>
      <c r="P28" s="1691">
        <v>-4816.7915800000001</v>
      </c>
      <c r="Q28" s="1692">
        <f t="shared" si="2"/>
        <v>1365.9894199999999</v>
      </c>
      <c r="R28" s="355">
        <v>5816.7915800000001</v>
      </c>
      <c r="S28" s="249">
        <v>3000</v>
      </c>
      <c r="T28" s="353">
        <v>0</v>
      </c>
      <c r="U28" s="354">
        <v>0</v>
      </c>
      <c r="V28" s="249">
        <v>0</v>
      </c>
      <c r="W28" s="1693">
        <v>0</v>
      </c>
      <c r="X28" s="1694">
        <v>0</v>
      </c>
      <c r="Y28" s="1694">
        <v>0</v>
      </c>
      <c r="Z28" s="1695">
        <v>0</v>
      </c>
      <c r="AA28" s="1696">
        <v>0</v>
      </c>
      <c r="AB28" s="255" t="s">
        <v>1681</v>
      </c>
      <c r="AC28" s="265" t="s">
        <v>11</v>
      </c>
      <c r="AD28" s="1697" t="s">
        <v>524</v>
      </c>
      <c r="AE28" s="1698" t="s">
        <v>92</v>
      </c>
      <c r="AF28" s="350" t="s">
        <v>101</v>
      </c>
      <c r="AG28" s="1686" t="s">
        <v>87</v>
      </c>
      <c r="AH28" s="1686" t="s">
        <v>971</v>
      </c>
    </row>
    <row r="29" spans="1:34" ht="31.5" outlineLevel="1" x14ac:dyDescent="0.25">
      <c r="A29" s="750" t="s">
        <v>252</v>
      </c>
      <c r="B29" s="798" t="s">
        <v>404</v>
      </c>
      <c r="C29" s="1092" t="s">
        <v>15</v>
      </c>
      <c r="D29" s="95" t="s">
        <v>89</v>
      </c>
      <c r="E29" s="514" t="s">
        <v>7</v>
      </c>
      <c r="F29" s="514" t="s">
        <v>7</v>
      </c>
      <c r="G29" s="96">
        <f>23232+486.07201</f>
        <v>23718.07201</v>
      </c>
      <c r="H29" s="380">
        <v>21795.094750000004</v>
      </c>
      <c r="I29" s="1604">
        <v>0</v>
      </c>
      <c r="J29" s="1605">
        <v>216.32864000000001</v>
      </c>
      <c r="K29" s="1606">
        <v>1063.1967500000001</v>
      </c>
      <c r="L29" s="518">
        <v>0</v>
      </c>
      <c r="M29" s="516">
        <v>216.32864000000001</v>
      </c>
      <c r="N29" s="516">
        <f>1922.97726-216.32864</f>
        <v>1706.6486199999999</v>
      </c>
      <c r="O29" s="838">
        <v>1922.9772600000001</v>
      </c>
      <c r="P29" s="849">
        <v>0</v>
      </c>
      <c r="Q29" s="613">
        <f t="shared" si="2"/>
        <v>1922.9772600000001</v>
      </c>
      <c r="R29" s="97">
        <v>0</v>
      </c>
      <c r="S29" s="610">
        <v>0</v>
      </c>
      <c r="T29" s="518">
        <v>0</v>
      </c>
      <c r="U29" s="516">
        <v>0</v>
      </c>
      <c r="V29" s="283">
        <v>0</v>
      </c>
      <c r="W29" s="803">
        <v>0</v>
      </c>
      <c r="X29" s="865">
        <v>0</v>
      </c>
      <c r="Y29" s="865">
        <v>0</v>
      </c>
      <c r="Z29" s="698">
        <v>0</v>
      </c>
      <c r="AA29" s="513">
        <v>0</v>
      </c>
      <c r="AB29" s="95" t="s">
        <v>1006</v>
      </c>
      <c r="AC29" s="95" t="s">
        <v>13</v>
      </c>
      <c r="AD29" s="1277" t="s">
        <v>190</v>
      </c>
      <c r="AE29" s="1277" t="s">
        <v>92</v>
      </c>
      <c r="AF29" s="74" t="s">
        <v>101</v>
      </c>
      <c r="AG29" s="514" t="s">
        <v>87</v>
      </c>
      <c r="AH29" s="514" t="s">
        <v>971</v>
      </c>
    </row>
    <row r="30" spans="1:34" ht="31.5" outlineLevel="1" x14ac:dyDescent="0.25">
      <c r="A30" s="949" t="s">
        <v>253</v>
      </c>
      <c r="B30" s="798" t="s">
        <v>405</v>
      </c>
      <c r="C30" s="1334" t="s">
        <v>16</v>
      </c>
      <c r="D30" s="95" t="s">
        <v>89</v>
      </c>
      <c r="E30" s="514" t="s">
        <v>7</v>
      </c>
      <c r="F30" s="514" t="s">
        <v>7</v>
      </c>
      <c r="G30" s="96">
        <f>25400-500-4300-700+2000+217.99512</f>
        <v>22117.99512</v>
      </c>
      <c r="H30" s="380">
        <v>18441.733799999998</v>
      </c>
      <c r="I30" s="1604">
        <v>0</v>
      </c>
      <c r="J30" s="1605">
        <v>608.63</v>
      </c>
      <c r="K30" s="1606">
        <v>1697.1097</v>
      </c>
      <c r="L30" s="518">
        <v>0</v>
      </c>
      <c r="M30" s="516">
        <v>608.63</v>
      </c>
      <c r="N30" s="1320">
        <v>2000</v>
      </c>
      <c r="O30" s="838">
        <v>2608.63</v>
      </c>
      <c r="P30" s="849">
        <v>0</v>
      </c>
      <c r="Q30" s="613">
        <f t="shared" si="2"/>
        <v>2608.63</v>
      </c>
      <c r="R30" s="512">
        <v>1067.63132</v>
      </c>
      <c r="S30" s="283">
        <v>0</v>
      </c>
      <c r="T30" s="518">
        <v>0</v>
      </c>
      <c r="U30" s="516">
        <v>0</v>
      </c>
      <c r="V30" s="283">
        <v>0</v>
      </c>
      <c r="W30" s="803">
        <v>0</v>
      </c>
      <c r="X30" s="865">
        <v>0</v>
      </c>
      <c r="Y30" s="865">
        <v>0</v>
      </c>
      <c r="Z30" s="698">
        <v>0</v>
      </c>
      <c r="AA30" s="513">
        <v>0</v>
      </c>
      <c r="AB30" s="95" t="s">
        <v>1323</v>
      </c>
      <c r="AC30" s="95" t="s">
        <v>13</v>
      </c>
      <c r="AD30" s="1277" t="s">
        <v>190</v>
      </c>
      <c r="AE30" s="1277" t="s">
        <v>92</v>
      </c>
      <c r="AF30" s="74" t="s">
        <v>101</v>
      </c>
      <c r="AG30" s="514" t="s">
        <v>87</v>
      </c>
      <c r="AH30" s="514" t="s">
        <v>971</v>
      </c>
    </row>
    <row r="31" spans="1:34" ht="25.5" outlineLevel="1" x14ac:dyDescent="0.25">
      <c r="A31" s="802" t="s">
        <v>254</v>
      </c>
      <c r="B31" s="798" t="s">
        <v>406</v>
      </c>
      <c r="C31" s="1335" t="s">
        <v>225</v>
      </c>
      <c r="D31" s="95" t="s">
        <v>89</v>
      </c>
      <c r="E31" s="514" t="s">
        <v>7</v>
      </c>
      <c r="F31" s="514" t="s">
        <v>7</v>
      </c>
      <c r="G31" s="96">
        <f>2000+406+2500+3200+2000</f>
        <v>10106</v>
      </c>
      <c r="H31" s="179">
        <v>6126.30278</v>
      </c>
      <c r="I31" s="1607">
        <v>0</v>
      </c>
      <c r="J31" s="395">
        <v>54.598999999999997</v>
      </c>
      <c r="K31" s="1608">
        <v>0</v>
      </c>
      <c r="L31" s="518">
        <v>0</v>
      </c>
      <c r="M31" s="516">
        <v>54.598999999999997</v>
      </c>
      <c r="N31" s="1320">
        <v>1945.4010000000001</v>
      </c>
      <c r="O31" s="841">
        <v>1999.9999999999995</v>
      </c>
      <c r="P31" s="851">
        <v>0</v>
      </c>
      <c r="Q31" s="613">
        <f t="shared" si="2"/>
        <v>1999.9999999999995</v>
      </c>
      <c r="R31" s="512">
        <v>1979.69722</v>
      </c>
      <c r="S31" s="283">
        <v>0</v>
      </c>
      <c r="T31" s="518">
        <v>0</v>
      </c>
      <c r="U31" s="231">
        <v>0</v>
      </c>
      <c r="V31" s="10">
        <v>0</v>
      </c>
      <c r="W31" s="872">
        <v>0</v>
      </c>
      <c r="X31" s="871">
        <v>0</v>
      </c>
      <c r="Y31" s="871">
        <v>0</v>
      </c>
      <c r="Z31" s="871">
        <v>0</v>
      </c>
      <c r="AA31" s="309">
        <v>0</v>
      </c>
      <c r="AB31" s="95" t="s">
        <v>1007</v>
      </c>
      <c r="AC31" s="95" t="s">
        <v>11</v>
      </c>
      <c r="AD31" s="74" t="s">
        <v>190</v>
      </c>
      <c r="AE31" s="1277" t="s">
        <v>92</v>
      </c>
      <c r="AF31" s="74" t="s">
        <v>101</v>
      </c>
      <c r="AG31" s="514" t="s">
        <v>87</v>
      </c>
      <c r="AH31" s="514" t="s">
        <v>971</v>
      </c>
    </row>
    <row r="32" spans="1:34" ht="25.5" outlineLevel="1" x14ac:dyDescent="0.25">
      <c r="A32" s="802" t="s">
        <v>255</v>
      </c>
      <c r="B32" s="799" t="s">
        <v>407</v>
      </c>
      <c r="C32" s="1335" t="s">
        <v>471</v>
      </c>
      <c r="D32" s="95" t="s">
        <v>89</v>
      </c>
      <c r="E32" s="514" t="s">
        <v>7</v>
      </c>
      <c r="F32" s="514" t="s">
        <v>7</v>
      </c>
      <c r="G32" s="96">
        <f>3000-406+500+1000</f>
        <v>4094</v>
      </c>
      <c r="H32" s="179">
        <v>593.38</v>
      </c>
      <c r="I32" s="1607">
        <v>0</v>
      </c>
      <c r="J32" s="395">
        <v>0</v>
      </c>
      <c r="K32" s="1608">
        <v>0</v>
      </c>
      <c r="L32" s="518">
        <v>0</v>
      </c>
      <c r="M32" s="516">
        <v>0</v>
      </c>
      <c r="N32" s="516">
        <v>500.62</v>
      </c>
      <c r="O32" s="841">
        <v>500.61999999999989</v>
      </c>
      <c r="P32" s="851">
        <v>0</v>
      </c>
      <c r="Q32" s="613">
        <f t="shared" si="2"/>
        <v>500.61999999999989</v>
      </c>
      <c r="R32" s="512">
        <v>3000</v>
      </c>
      <c r="S32" s="283">
        <v>0</v>
      </c>
      <c r="T32" s="518">
        <v>0</v>
      </c>
      <c r="U32" s="516">
        <v>0</v>
      </c>
      <c r="V32" s="283">
        <v>0</v>
      </c>
      <c r="W32" s="803">
        <v>0</v>
      </c>
      <c r="X32" s="698">
        <v>0</v>
      </c>
      <c r="Y32" s="698">
        <v>0</v>
      </c>
      <c r="Z32" s="698">
        <v>0</v>
      </c>
      <c r="AA32" s="513">
        <v>0</v>
      </c>
      <c r="AB32" s="95" t="s">
        <v>84</v>
      </c>
      <c r="AC32" s="61" t="s">
        <v>11</v>
      </c>
      <c r="AD32" s="1413" t="s">
        <v>561</v>
      </c>
      <c r="AE32" s="1277" t="s">
        <v>91</v>
      </c>
      <c r="AF32" s="74" t="s">
        <v>101</v>
      </c>
      <c r="AG32" s="514" t="s">
        <v>87</v>
      </c>
      <c r="AH32" s="514" t="s">
        <v>971</v>
      </c>
    </row>
    <row r="33" spans="1:34" ht="25.5" outlineLevel="1" x14ac:dyDescent="0.25">
      <c r="A33" s="802" t="s">
        <v>807</v>
      </c>
      <c r="B33" s="798" t="s">
        <v>87</v>
      </c>
      <c r="C33" s="1335" t="s">
        <v>805</v>
      </c>
      <c r="D33" s="95" t="s">
        <v>1592</v>
      </c>
      <c r="E33" s="514" t="s">
        <v>7</v>
      </c>
      <c r="F33" s="514" t="s">
        <v>7</v>
      </c>
      <c r="G33" s="96">
        <v>9000</v>
      </c>
      <c r="H33" s="179">
        <v>0</v>
      </c>
      <c r="I33" s="1607">
        <v>0</v>
      </c>
      <c r="J33" s="395">
        <v>0</v>
      </c>
      <c r="K33" s="1608">
        <v>0</v>
      </c>
      <c r="L33" s="518">
        <v>0</v>
      </c>
      <c r="M33" s="516">
        <v>0</v>
      </c>
      <c r="N33" s="512">
        <v>0</v>
      </c>
      <c r="O33" s="841">
        <v>0</v>
      </c>
      <c r="P33" s="851">
        <v>0</v>
      </c>
      <c r="Q33" s="613">
        <f t="shared" si="2"/>
        <v>0</v>
      </c>
      <c r="R33" s="97">
        <v>2000</v>
      </c>
      <c r="S33" s="283">
        <v>7000</v>
      </c>
      <c r="T33" s="518">
        <v>0</v>
      </c>
      <c r="U33" s="516">
        <v>0</v>
      </c>
      <c r="V33" s="283">
        <v>0</v>
      </c>
      <c r="W33" s="803">
        <v>0</v>
      </c>
      <c r="X33" s="698">
        <v>0</v>
      </c>
      <c r="Y33" s="698">
        <v>0</v>
      </c>
      <c r="Z33" s="698">
        <v>0</v>
      </c>
      <c r="AA33" s="513">
        <v>0</v>
      </c>
      <c r="AB33" s="95" t="s">
        <v>806</v>
      </c>
      <c r="AC33" s="60" t="s">
        <v>11</v>
      </c>
      <c r="AD33" s="1277" t="s">
        <v>707</v>
      </c>
      <c r="AE33" s="1277" t="s">
        <v>91</v>
      </c>
      <c r="AF33" s="74" t="s">
        <v>101</v>
      </c>
      <c r="AG33" s="514" t="s">
        <v>87</v>
      </c>
      <c r="AH33" s="514" t="s">
        <v>971</v>
      </c>
    </row>
    <row r="34" spans="1:34" ht="26.25" outlineLevel="1" thickBot="1" x14ac:dyDescent="0.3">
      <c r="A34" s="832" t="s">
        <v>1431</v>
      </c>
      <c r="B34" s="56" t="s">
        <v>87</v>
      </c>
      <c r="C34" s="1336" t="s">
        <v>1432</v>
      </c>
      <c r="D34" s="98" t="s">
        <v>1722</v>
      </c>
      <c r="E34" s="502" t="s">
        <v>7</v>
      </c>
      <c r="F34" s="502" t="s">
        <v>7</v>
      </c>
      <c r="G34" s="15">
        <v>17000</v>
      </c>
      <c r="H34" s="180">
        <v>0</v>
      </c>
      <c r="I34" s="1609">
        <v>0</v>
      </c>
      <c r="J34" s="686">
        <v>0</v>
      </c>
      <c r="K34" s="1610">
        <v>0</v>
      </c>
      <c r="L34" s="330">
        <v>0</v>
      </c>
      <c r="M34" s="101">
        <v>0</v>
      </c>
      <c r="N34" s="16">
        <v>0</v>
      </c>
      <c r="O34" s="842">
        <v>0</v>
      </c>
      <c r="P34" s="825">
        <v>0</v>
      </c>
      <c r="Q34" s="531">
        <f t="shared" si="2"/>
        <v>0</v>
      </c>
      <c r="R34" s="18">
        <v>17000</v>
      </c>
      <c r="S34" s="39">
        <v>0</v>
      </c>
      <c r="T34" s="330">
        <v>0</v>
      </c>
      <c r="U34" s="101">
        <v>0</v>
      </c>
      <c r="V34" s="39">
        <v>0</v>
      </c>
      <c r="W34" s="870">
        <v>0</v>
      </c>
      <c r="X34" s="697">
        <v>0</v>
      </c>
      <c r="Y34" s="697">
        <v>0</v>
      </c>
      <c r="Z34" s="697">
        <v>0</v>
      </c>
      <c r="AA34" s="217">
        <v>0</v>
      </c>
      <c r="AB34" s="98" t="s">
        <v>84</v>
      </c>
      <c r="AC34" s="156" t="s">
        <v>11</v>
      </c>
      <c r="AD34" s="1278" t="s">
        <v>750</v>
      </c>
      <c r="AE34" s="1278" t="s">
        <v>91</v>
      </c>
      <c r="AF34" s="125" t="s">
        <v>101</v>
      </c>
      <c r="AG34" s="502" t="s">
        <v>87</v>
      </c>
      <c r="AH34" s="502" t="s">
        <v>84</v>
      </c>
    </row>
    <row r="35" spans="1:34" outlineLevel="1" x14ac:dyDescent="0.25">
      <c r="A35" s="1929" t="s">
        <v>1679</v>
      </c>
      <c r="B35" s="2108" t="s">
        <v>87</v>
      </c>
      <c r="C35" s="2464" t="s">
        <v>1682</v>
      </c>
      <c r="D35" s="197" t="s">
        <v>84</v>
      </c>
      <c r="E35" s="1945" t="s">
        <v>7</v>
      </c>
      <c r="F35" s="1945" t="s">
        <v>7</v>
      </c>
      <c r="G35" s="211">
        <v>30000</v>
      </c>
      <c r="H35" s="225">
        <v>0</v>
      </c>
      <c r="I35" s="2465">
        <v>0</v>
      </c>
      <c r="J35" s="2466">
        <v>0</v>
      </c>
      <c r="K35" s="2467">
        <v>0</v>
      </c>
      <c r="L35" s="365">
        <v>0</v>
      </c>
      <c r="M35" s="366">
        <v>0</v>
      </c>
      <c r="N35" s="367">
        <v>0</v>
      </c>
      <c r="O35" s="1936">
        <v>0</v>
      </c>
      <c r="P35" s="1937">
        <v>0</v>
      </c>
      <c r="Q35" s="1937">
        <f t="shared" si="2"/>
        <v>0</v>
      </c>
      <c r="R35" s="287">
        <v>0</v>
      </c>
      <c r="S35" s="364">
        <v>30000</v>
      </c>
      <c r="T35" s="365">
        <v>0</v>
      </c>
      <c r="U35" s="366">
        <v>0</v>
      </c>
      <c r="V35" s="364">
        <v>0</v>
      </c>
      <c r="W35" s="2028">
        <v>0</v>
      </c>
      <c r="X35" s="2031">
        <v>0</v>
      </c>
      <c r="Y35" s="2031">
        <v>0</v>
      </c>
      <c r="Z35" s="2031">
        <v>0</v>
      </c>
      <c r="AA35" s="2112">
        <v>0</v>
      </c>
      <c r="AB35" s="197" t="s">
        <v>1680</v>
      </c>
      <c r="AC35" s="710" t="s">
        <v>11</v>
      </c>
      <c r="AD35" s="1943" t="s">
        <v>750</v>
      </c>
      <c r="AE35" s="1943" t="s">
        <v>91</v>
      </c>
      <c r="AF35" s="1223" t="s">
        <v>101</v>
      </c>
      <c r="AG35" s="1945" t="s">
        <v>87</v>
      </c>
      <c r="AH35" s="1945" t="s">
        <v>84</v>
      </c>
    </row>
    <row r="36" spans="1:34" ht="16.5" outlineLevel="1" thickBot="1" x14ac:dyDescent="0.3">
      <c r="A36" s="84" t="s">
        <v>96</v>
      </c>
      <c r="B36" s="1066" t="s">
        <v>96</v>
      </c>
      <c r="C36" s="1303" t="s">
        <v>96</v>
      </c>
      <c r="D36" s="311" t="s">
        <v>96</v>
      </c>
      <c r="E36" s="611" t="s">
        <v>96</v>
      </c>
      <c r="F36" s="611" t="s">
        <v>96</v>
      </c>
      <c r="G36" s="492" t="s">
        <v>96</v>
      </c>
      <c r="H36" s="1523" t="s">
        <v>96</v>
      </c>
      <c r="I36" s="1524" t="s">
        <v>96</v>
      </c>
      <c r="J36" s="1357" t="s">
        <v>96</v>
      </c>
      <c r="K36" s="1603" t="s">
        <v>96</v>
      </c>
      <c r="L36" s="388" t="s">
        <v>96</v>
      </c>
      <c r="M36" s="334" t="s">
        <v>96</v>
      </c>
      <c r="N36" s="318" t="s">
        <v>96</v>
      </c>
      <c r="O36" s="215" t="s">
        <v>96</v>
      </c>
      <c r="P36" s="318" t="s">
        <v>96</v>
      </c>
      <c r="Q36" s="215" t="s">
        <v>96</v>
      </c>
      <c r="R36" s="215" t="s">
        <v>96</v>
      </c>
      <c r="S36" s="332" t="s">
        <v>96</v>
      </c>
      <c r="T36" s="388" t="s">
        <v>96</v>
      </c>
      <c r="U36" s="334" t="s">
        <v>96</v>
      </c>
      <c r="V36" s="332" t="s">
        <v>96</v>
      </c>
      <c r="W36" s="388" t="s">
        <v>96</v>
      </c>
      <c r="X36" s="336" t="s">
        <v>96</v>
      </c>
      <c r="Y36" s="336" t="s">
        <v>96</v>
      </c>
      <c r="Z36" s="336" t="s">
        <v>96</v>
      </c>
      <c r="AA36" s="318" t="s">
        <v>96</v>
      </c>
      <c r="AB36" s="215" t="s">
        <v>96</v>
      </c>
      <c r="AC36" s="67" t="s">
        <v>96</v>
      </c>
      <c r="AD36" s="1275" t="s">
        <v>96</v>
      </c>
      <c r="AE36" s="1275" t="s">
        <v>96</v>
      </c>
      <c r="AF36" s="432" t="s">
        <v>96</v>
      </c>
      <c r="AG36" s="611" t="s">
        <v>96</v>
      </c>
      <c r="AH36" s="611" t="s">
        <v>96</v>
      </c>
    </row>
    <row r="37" spans="1:34" s="1495" customFormat="1" ht="18.75" thickBot="1" x14ac:dyDescent="0.3">
      <c r="A37" s="1078" t="s">
        <v>110</v>
      </c>
      <c r="B37" s="1079"/>
      <c r="C37" s="1093"/>
      <c r="D37" s="38" t="s">
        <v>84</v>
      </c>
      <c r="E37" s="38" t="s">
        <v>84</v>
      </c>
      <c r="F37" s="38" t="s">
        <v>84</v>
      </c>
      <c r="G37" s="504">
        <f>SUM(G27:G36)</f>
        <v>160103.75323999999</v>
      </c>
      <c r="H37" s="504">
        <f t="shared" ref="H37:AA37" si="3">SUM(H27:H36)</f>
        <v>69329.011440000002</v>
      </c>
      <c r="I37" s="504">
        <f t="shared" si="3"/>
        <v>8883.9614199999996</v>
      </c>
      <c r="J37" s="504">
        <f t="shared" si="3"/>
        <v>879.55764000000011</v>
      </c>
      <c r="K37" s="504">
        <v>2760.30645</v>
      </c>
      <c r="L37" s="504">
        <f t="shared" si="3"/>
        <v>8883.9614199999996</v>
      </c>
      <c r="M37" s="504">
        <f t="shared" si="3"/>
        <v>879.55764000000011</v>
      </c>
      <c r="N37" s="504">
        <f t="shared" si="3"/>
        <v>8647.1026199999997</v>
      </c>
      <c r="O37" s="504">
        <f t="shared" si="3"/>
        <v>23227.413260000001</v>
      </c>
      <c r="P37" s="504">
        <f t="shared" si="3"/>
        <v>-4816.7915800000001</v>
      </c>
      <c r="Q37" s="504">
        <f t="shared" si="3"/>
        <v>18410.62168</v>
      </c>
      <c r="R37" s="504">
        <f t="shared" si="3"/>
        <v>32364.12012</v>
      </c>
      <c r="S37" s="504">
        <f t="shared" si="3"/>
        <v>40000</v>
      </c>
      <c r="T37" s="504">
        <f t="shared" si="3"/>
        <v>0</v>
      </c>
      <c r="U37" s="504">
        <f t="shared" si="3"/>
        <v>0</v>
      </c>
      <c r="V37" s="504">
        <f t="shared" si="3"/>
        <v>0</v>
      </c>
      <c r="W37" s="504">
        <f t="shared" si="3"/>
        <v>0</v>
      </c>
      <c r="X37" s="504">
        <f t="shared" si="3"/>
        <v>0</v>
      </c>
      <c r="Y37" s="504">
        <v>0</v>
      </c>
      <c r="Z37" s="504">
        <f t="shared" si="3"/>
        <v>0</v>
      </c>
      <c r="AA37" s="504">
        <f t="shared" si="3"/>
        <v>0</v>
      </c>
      <c r="AB37" s="1498" t="s">
        <v>993</v>
      </c>
      <c r="AC37" s="38" t="s">
        <v>84</v>
      </c>
      <c r="AD37" s="1498" t="s">
        <v>84</v>
      </c>
      <c r="AE37" s="1498" t="s">
        <v>84</v>
      </c>
      <c r="AF37" s="38" t="s">
        <v>84</v>
      </c>
      <c r="AG37" s="38" t="s">
        <v>84</v>
      </c>
      <c r="AH37" s="38" t="s">
        <v>84</v>
      </c>
    </row>
    <row r="38" spans="1:34" ht="25.5" outlineLevel="1" x14ac:dyDescent="0.25">
      <c r="A38" s="1568" t="s">
        <v>256</v>
      </c>
      <c r="B38" s="1569" t="s">
        <v>408</v>
      </c>
      <c r="C38" s="1334" t="s">
        <v>185</v>
      </c>
      <c r="D38" s="93" t="s">
        <v>1606</v>
      </c>
      <c r="E38" s="93" t="s">
        <v>7</v>
      </c>
      <c r="F38" s="503" t="s">
        <v>7</v>
      </c>
      <c r="G38" s="511">
        <f>219905+250000</f>
        <v>469905</v>
      </c>
      <c r="H38" s="209">
        <v>231818.37919000007</v>
      </c>
      <c r="I38" s="1590">
        <v>17527.531999999999</v>
      </c>
      <c r="J38" s="1611">
        <v>12397.153</v>
      </c>
      <c r="K38" s="499">
        <v>790.21500000000003</v>
      </c>
      <c r="L38" s="1285">
        <f>62086.62081-44000-559.08881</f>
        <v>17527.531999999999</v>
      </c>
      <c r="M38" s="801">
        <f>7000+559.08881+7000-2161.93581</f>
        <v>12397.153000000002</v>
      </c>
      <c r="N38" s="1188">
        <f>23000+2161.93581</f>
        <v>25161.935809999999</v>
      </c>
      <c r="O38" s="838">
        <v>55086.620809999993</v>
      </c>
      <c r="P38" s="849">
        <v>0</v>
      </c>
      <c r="Q38" s="534">
        <f t="shared" ref="Q38:Q102" si="4">O38+P38</f>
        <v>55086.620809999993</v>
      </c>
      <c r="R38" s="443">
        <v>45000</v>
      </c>
      <c r="S38" s="746">
        <v>138000</v>
      </c>
      <c r="T38" s="1285">
        <v>0</v>
      </c>
      <c r="U38" s="801">
        <v>0</v>
      </c>
      <c r="V38" s="746">
        <v>0</v>
      </c>
      <c r="W38" s="1285">
        <v>0</v>
      </c>
      <c r="X38" s="865">
        <v>0</v>
      </c>
      <c r="Y38" s="865">
        <v>0</v>
      </c>
      <c r="Z38" s="865">
        <v>0</v>
      </c>
      <c r="AA38" s="500">
        <v>0</v>
      </c>
      <c r="AB38" s="60" t="s">
        <v>84</v>
      </c>
      <c r="AC38" s="501" t="s">
        <v>13</v>
      </c>
      <c r="AD38" s="829" t="s">
        <v>90</v>
      </c>
      <c r="AE38" s="829" t="s">
        <v>92</v>
      </c>
      <c r="AF38" s="484" t="s">
        <v>101</v>
      </c>
      <c r="AG38" s="503" t="s">
        <v>87</v>
      </c>
      <c r="AH38" s="503"/>
    </row>
    <row r="39" spans="1:34" ht="31.5" outlineLevel="1" x14ac:dyDescent="0.25">
      <c r="A39" s="1192" t="s">
        <v>257</v>
      </c>
      <c r="B39" s="1193" t="s">
        <v>409</v>
      </c>
      <c r="C39" s="1335" t="s">
        <v>17</v>
      </c>
      <c r="D39" s="95" t="s">
        <v>1607</v>
      </c>
      <c r="E39" s="95" t="s">
        <v>7</v>
      </c>
      <c r="F39" s="514" t="s">
        <v>7</v>
      </c>
      <c r="G39" s="96">
        <f>393116.17+102000+10000+18000+140000</f>
        <v>663116.16999999993</v>
      </c>
      <c r="H39" s="163">
        <v>540416.96050999989</v>
      </c>
      <c r="I39" s="1593">
        <v>10964.070599999999</v>
      </c>
      <c r="J39" s="516">
        <v>11015.55046</v>
      </c>
      <c r="K39" s="499">
        <v>2167.2654499999999</v>
      </c>
      <c r="L39" s="803">
        <f>8000+1443+1521.0706</f>
        <v>10964.070599999999</v>
      </c>
      <c r="M39" s="470">
        <f>3699.20949-1521.0706+10000-1162.58843</f>
        <v>11015.55046</v>
      </c>
      <c r="N39" s="513">
        <f>25000-1443-10000+1162.58843</f>
        <v>14719.58843</v>
      </c>
      <c r="O39" s="1221">
        <v>36699.209490000001</v>
      </c>
      <c r="P39" s="851">
        <v>0</v>
      </c>
      <c r="Q39" s="613">
        <f t="shared" si="4"/>
        <v>36699.209490000001</v>
      </c>
      <c r="R39" s="513">
        <v>40000</v>
      </c>
      <c r="S39" s="507">
        <v>46000</v>
      </c>
      <c r="T39" s="803">
        <v>0</v>
      </c>
      <c r="U39" s="470">
        <v>0</v>
      </c>
      <c r="V39" s="513">
        <v>0</v>
      </c>
      <c r="W39" s="803">
        <v>0</v>
      </c>
      <c r="X39" s="865">
        <v>0</v>
      </c>
      <c r="Y39" s="865">
        <v>0</v>
      </c>
      <c r="Z39" s="698">
        <v>0</v>
      </c>
      <c r="AA39" s="513">
        <v>0</v>
      </c>
      <c r="AB39" s="61" t="s">
        <v>84</v>
      </c>
      <c r="AC39" s="95" t="s">
        <v>13</v>
      </c>
      <c r="AD39" s="685" t="s">
        <v>90</v>
      </c>
      <c r="AE39" s="1277" t="s">
        <v>92</v>
      </c>
      <c r="AF39" s="515" t="s">
        <v>101</v>
      </c>
      <c r="AG39" s="514" t="s">
        <v>87</v>
      </c>
      <c r="AH39" s="514"/>
    </row>
    <row r="40" spans="1:34" s="1509" customFormat="1" ht="32.25" outlineLevel="1" thickBot="1" x14ac:dyDescent="0.3">
      <c r="A40" s="832" t="s">
        <v>258</v>
      </c>
      <c r="B40" s="56" t="s">
        <v>87</v>
      </c>
      <c r="C40" s="1336" t="s">
        <v>21</v>
      </c>
      <c r="D40" s="98" t="s">
        <v>1608</v>
      </c>
      <c r="E40" s="502" t="s">
        <v>18</v>
      </c>
      <c r="F40" s="502" t="s">
        <v>18</v>
      </c>
      <c r="G40" s="15">
        <v>13323</v>
      </c>
      <c r="H40" s="208">
        <v>0</v>
      </c>
      <c r="I40" s="1600">
        <v>0</v>
      </c>
      <c r="J40" s="1601">
        <v>0</v>
      </c>
      <c r="K40" s="1321">
        <v>0</v>
      </c>
      <c r="L40" s="870">
        <v>0</v>
      </c>
      <c r="M40" s="880">
        <v>0</v>
      </c>
      <c r="N40" s="217">
        <v>0</v>
      </c>
      <c r="O40" s="839">
        <v>0</v>
      </c>
      <c r="P40" s="555">
        <v>0</v>
      </c>
      <c r="Q40" s="630">
        <f t="shared" si="4"/>
        <v>0</v>
      </c>
      <c r="R40" s="391">
        <v>13323</v>
      </c>
      <c r="S40" s="391">
        <v>0</v>
      </c>
      <c r="T40" s="870">
        <v>0</v>
      </c>
      <c r="U40" s="880">
        <v>0</v>
      </c>
      <c r="V40" s="217">
        <v>0</v>
      </c>
      <c r="W40" s="962">
        <v>0</v>
      </c>
      <c r="X40" s="1293">
        <v>0</v>
      </c>
      <c r="Y40" s="1293">
        <v>0</v>
      </c>
      <c r="Z40" s="1293">
        <v>0</v>
      </c>
      <c r="AA40" s="745">
        <v>0</v>
      </c>
      <c r="AB40" s="156" t="s">
        <v>84</v>
      </c>
      <c r="AC40" s="98" t="s">
        <v>11</v>
      </c>
      <c r="AD40" s="89" t="s">
        <v>707</v>
      </c>
      <c r="AE40" s="89" t="s">
        <v>91</v>
      </c>
      <c r="AF40" s="58" t="s">
        <v>101</v>
      </c>
      <c r="AG40" s="502" t="s">
        <v>307</v>
      </c>
      <c r="AH40" s="502" t="s">
        <v>972</v>
      </c>
    </row>
    <row r="41" spans="1:34" ht="31.5" outlineLevel="1" x14ac:dyDescent="0.25">
      <c r="A41" s="1570" t="s">
        <v>81</v>
      </c>
      <c r="B41" s="1571" t="s">
        <v>410</v>
      </c>
      <c r="C41" s="1334" t="s">
        <v>98</v>
      </c>
      <c r="D41" s="93" t="s">
        <v>1609</v>
      </c>
      <c r="E41" s="24" t="s">
        <v>18</v>
      </c>
      <c r="F41" s="24" t="s">
        <v>18</v>
      </c>
      <c r="G41" s="511">
        <v>171855</v>
      </c>
      <c r="H41" s="209">
        <v>75519.248200000002</v>
      </c>
      <c r="I41" s="1590">
        <v>0</v>
      </c>
      <c r="J41" s="1591">
        <v>0</v>
      </c>
      <c r="K41" s="1592">
        <v>2815.0838800000001</v>
      </c>
      <c r="L41" s="864">
        <v>0</v>
      </c>
      <c r="M41" s="865">
        <f>5000.7518-5000.7518</f>
        <v>0</v>
      </c>
      <c r="N41" s="500">
        <f>15000+5000.7518</f>
        <v>20000.751799999998</v>
      </c>
      <c r="O41" s="1580">
        <v>20000.751799999998</v>
      </c>
      <c r="P41" s="849">
        <v>0</v>
      </c>
      <c r="Q41" s="612">
        <f t="shared" si="4"/>
        <v>20000.751799999998</v>
      </c>
      <c r="R41" s="510">
        <v>20000</v>
      </c>
      <c r="S41" s="510">
        <v>56335</v>
      </c>
      <c r="T41" s="864">
        <v>0</v>
      </c>
      <c r="U41" s="319">
        <v>0</v>
      </c>
      <c r="V41" s="500">
        <v>0</v>
      </c>
      <c r="W41" s="864">
        <v>0</v>
      </c>
      <c r="X41" s="865">
        <v>0</v>
      </c>
      <c r="Y41" s="865">
        <v>0</v>
      </c>
      <c r="Z41" s="865">
        <v>0</v>
      </c>
      <c r="AA41" s="500">
        <v>0</v>
      </c>
      <c r="AB41" s="61" t="s">
        <v>1147</v>
      </c>
      <c r="AC41" s="93" t="s">
        <v>13</v>
      </c>
      <c r="AD41" s="1273" t="s">
        <v>90</v>
      </c>
      <c r="AE41" s="1273" t="s">
        <v>92</v>
      </c>
      <c r="AF41" s="484" t="s">
        <v>101</v>
      </c>
      <c r="AG41" s="24" t="s">
        <v>87</v>
      </c>
      <c r="AH41" s="24"/>
    </row>
    <row r="42" spans="1:34" s="1509" customFormat="1" ht="26.25" outlineLevel="1" thickBot="1" x14ac:dyDescent="0.3">
      <c r="A42" s="832" t="s">
        <v>82</v>
      </c>
      <c r="B42" s="56" t="s">
        <v>87</v>
      </c>
      <c r="C42" s="1336" t="s">
        <v>78</v>
      </c>
      <c r="D42" s="98" t="s">
        <v>1609</v>
      </c>
      <c r="E42" s="502" t="s">
        <v>18</v>
      </c>
      <c r="F42" s="502" t="s">
        <v>18</v>
      </c>
      <c r="G42" s="15">
        <v>10599.735420000001</v>
      </c>
      <c r="H42" s="416">
        <v>0</v>
      </c>
      <c r="I42" s="1613">
        <v>0</v>
      </c>
      <c r="J42" s="1614">
        <v>0</v>
      </c>
      <c r="K42" s="1615">
        <v>0</v>
      </c>
      <c r="L42" s="870">
        <v>0</v>
      </c>
      <c r="M42" s="697">
        <v>0</v>
      </c>
      <c r="N42" s="697">
        <f>605-0.26458</f>
        <v>604.73541999999998</v>
      </c>
      <c r="O42" s="842">
        <v>604.73541999999998</v>
      </c>
      <c r="P42" s="555">
        <v>0</v>
      </c>
      <c r="Q42" s="630">
        <f t="shared" si="4"/>
        <v>604.73541999999998</v>
      </c>
      <c r="R42" s="391">
        <f>9800+195</f>
        <v>9995</v>
      </c>
      <c r="S42" s="967">
        <v>0</v>
      </c>
      <c r="T42" s="962">
        <v>0</v>
      </c>
      <c r="U42" s="963">
        <v>0</v>
      </c>
      <c r="V42" s="217">
        <v>0</v>
      </c>
      <c r="W42" s="962">
        <v>0</v>
      </c>
      <c r="X42" s="1293">
        <v>0</v>
      </c>
      <c r="Y42" s="1293">
        <v>0</v>
      </c>
      <c r="Z42" s="1293">
        <v>0</v>
      </c>
      <c r="AA42" s="745">
        <v>0</v>
      </c>
      <c r="AB42" s="67" t="s">
        <v>84</v>
      </c>
      <c r="AC42" s="98" t="s">
        <v>11</v>
      </c>
      <c r="AD42" s="89" t="s">
        <v>191</v>
      </c>
      <c r="AE42" s="89" t="s">
        <v>91</v>
      </c>
      <c r="AF42" s="58" t="s">
        <v>100</v>
      </c>
      <c r="AG42" s="502" t="s">
        <v>212</v>
      </c>
      <c r="AH42" s="502" t="s">
        <v>972</v>
      </c>
    </row>
    <row r="43" spans="1:34" ht="25.5" outlineLevel="1" x14ac:dyDescent="0.25">
      <c r="A43" s="831" t="s">
        <v>125</v>
      </c>
      <c r="B43" s="799" t="s">
        <v>2066</v>
      </c>
      <c r="C43" s="1334" t="s">
        <v>122</v>
      </c>
      <c r="D43" s="93" t="s">
        <v>150</v>
      </c>
      <c r="E43" s="24" t="s">
        <v>18</v>
      </c>
      <c r="F43" s="24" t="s">
        <v>18</v>
      </c>
      <c r="G43" s="511">
        <v>16180</v>
      </c>
      <c r="H43" s="209">
        <v>659.45755999999994</v>
      </c>
      <c r="I43" s="1590">
        <v>0</v>
      </c>
      <c r="J43" s="1591">
        <v>0</v>
      </c>
      <c r="K43" s="1592">
        <v>0</v>
      </c>
      <c r="L43" s="864">
        <v>0</v>
      </c>
      <c r="M43" s="865">
        <v>0</v>
      </c>
      <c r="N43" s="500">
        <v>0</v>
      </c>
      <c r="O43" s="838">
        <v>0</v>
      </c>
      <c r="P43" s="849">
        <v>0</v>
      </c>
      <c r="Q43" s="612">
        <f t="shared" si="4"/>
        <v>0</v>
      </c>
      <c r="R43" s="510">
        <v>1000.5424400000001</v>
      </c>
      <c r="S43" s="510">
        <v>14520</v>
      </c>
      <c r="T43" s="864">
        <v>0</v>
      </c>
      <c r="U43" s="319">
        <v>0</v>
      </c>
      <c r="V43" s="500">
        <v>0</v>
      </c>
      <c r="W43" s="864">
        <v>0</v>
      </c>
      <c r="X43" s="865">
        <v>0</v>
      </c>
      <c r="Y43" s="865">
        <v>0</v>
      </c>
      <c r="Z43" s="865">
        <v>0</v>
      </c>
      <c r="AA43" s="500">
        <v>0</v>
      </c>
      <c r="AB43" s="61" t="s">
        <v>84</v>
      </c>
      <c r="AC43" s="93" t="s">
        <v>13</v>
      </c>
      <c r="AD43" s="1272" t="s">
        <v>1121</v>
      </c>
      <c r="AE43" s="1273" t="s">
        <v>92</v>
      </c>
      <c r="AF43" s="484" t="s">
        <v>101</v>
      </c>
      <c r="AG43" s="24" t="s">
        <v>87</v>
      </c>
      <c r="AH43" s="24"/>
    </row>
    <row r="44" spans="1:34" ht="47.25" outlineLevel="1" x14ac:dyDescent="0.25">
      <c r="A44" s="802" t="s">
        <v>126</v>
      </c>
      <c r="B44" s="798" t="s">
        <v>411</v>
      </c>
      <c r="C44" s="1335" t="s">
        <v>123</v>
      </c>
      <c r="D44" s="93" t="s">
        <v>150</v>
      </c>
      <c r="E44" s="514" t="s">
        <v>18</v>
      </c>
      <c r="F44" s="514" t="s">
        <v>18</v>
      </c>
      <c r="G44" s="96">
        <v>37406</v>
      </c>
      <c r="H44" s="209">
        <v>36719.33464999999</v>
      </c>
      <c r="I44" s="1590">
        <v>404.44734</v>
      </c>
      <c r="J44" s="1591">
        <v>82.201830000000001</v>
      </c>
      <c r="K44" s="1592">
        <v>70.650210000000001</v>
      </c>
      <c r="L44" s="803">
        <f>405-0.55266</f>
        <v>404.44734</v>
      </c>
      <c r="M44" s="698">
        <v>82.201830000000001</v>
      </c>
      <c r="N44" s="698">
        <f>591.66535-155-250-81.64917</f>
        <v>105.01617999999999</v>
      </c>
      <c r="O44" s="838">
        <v>591.66534999999999</v>
      </c>
      <c r="P44" s="849">
        <v>0</v>
      </c>
      <c r="Q44" s="613">
        <f t="shared" si="4"/>
        <v>591.66534999999999</v>
      </c>
      <c r="R44" s="519">
        <v>95</v>
      </c>
      <c r="S44" s="878">
        <v>0</v>
      </c>
      <c r="T44" s="803">
        <v>0</v>
      </c>
      <c r="U44" s="470">
        <v>0</v>
      </c>
      <c r="V44" s="513">
        <v>0</v>
      </c>
      <c r="W44" s="803">
        <v>0</v>
      </c>
      <c r="X44" s="865">
        <v>0</v>
      </c>
      <c r="Y44" s="865">
        <v>0</v>
      </c>
      <c r="Z44" s="698">
        <v>0</v>
      </c>
      <c r="AA44" s="513">
        <v>0</v>
      </c>
      <c r="AB44" s="60" t="s">
        <v>705</v>
      </c>
      <c r="AC44" s="95" t="s">
        <v>13</v>
      </c>
      <c r="AD44" s="789" t="s">
        <v>1023</v>
      </c>
      <c r="AE44" s="685" t="s">
        <v>92</v>
      </c>
      <c r="AF44" s="515" t="s">
        <v>101</v>
      </c>
      <c r="AG44" s="514" t="s">
        <v>671</v>
      </c>
      <c r="AH44" s="514" t="s">
        <v>973</v>
      </c>
    </row>
    <row r="45" spans="1:34" s="1509" customFormat="1" ht="32.25" outlineLevel="1" thickBot="1" x14ac:dyDescent="0.3">
      <c r="A45" s="832" t="s">
        <v>127</v>
      </c>
      <c r="B45" s="56" t="s">
        <v>412</v>
      </c>
      <c r="C45" s="1336" t="s">
        <v>124</v>
      </c>
      <c r="D45" s="311" t="s">
        <v>150</v>
      </c>
      <c r="E45" s="502" t="s">
        <v>18</v>
      </c>
      <c r="F45" s="502" t="s">
        <v>18</v>
      </c>
      <c r="G45" s="15">
        <v>250000</v>
      </c>
      <c r="H45" s="416">
        <v>152878.22009999998</v>
      </c>
      <c r="I45" s="1613">
        <v>8631.6963399999986</v>
      </c>
      <c r="J45" s="1614">
        <v>12629.047699999999</v>
      </c>
      <c r="K45" s="1615">
        <v>12288.331820000001</v>
      </c>
      <c r="L45" s="870">
        <v>8631.6963400000004</v>
      </c>
      <c r="M45" s="697">
        <f>7802.3837+1373.384+3453.28</f>
        <v>12629.047700000001</v>
      </c>
      <c r="N45" s="697">
        <f>27615.7799-1434.08004-1373.384-3453.28</f>
        <v>21355.035860000004</v>
      </c>
      <c r="O45" s="839">
        <v>42615.779900000009</v>
      </c>
      <c r="P45" s="555">
        <v>0</v>
      </c>
      <c r="Q45" s="531">
        <f t="shared" si="4"/>
        <v>42615.779900000009</v>
      </c>
      <c r="R45" s="391">
        <v>44506</v>
      </c>
      <c r="S45" s="391">
        <v>10000</v>
      </c>
      <c r="T45" s="870">
        <v>0</v>
      </c>
      <c r="U45" s="880">
        <v>0</v>
      </c>
      <c r="V45" s="217">
        <v>0</v>
      </c>
      <c r="W45" s="962">
        <v>0</v>
      </c>
      <c r="X45" s="1293">
        <v>0</v>
      </c>
      <c r="Y45" s="1293">
        <v>0</v>
      </c>
      <c r="Z45" s="1293">
        <v>0</v>
      </c>
      <c r="AA45" s="745">
        <v>0</v>
      </c>
      <c r="AB45" s="67" t="s">
        <v>84</v>
      </c>
      <c r="AC45" s="98" t="s">
        <v>13</v>
      </c>
      <c r="AD45" s="1274" t="s">
        <v>90</v>
      </c>
      <c r="AE45" s="89" t="s">
        <v>92</v>
      </c>
      <c r="AF45" s="58" t="s">
        <v>101</v>
      </c>
      <c r="AG45" s="502" t="s">
        <v>87</v>
      </c>
      <c r="AH45" s="502"/>
    </row>
    <row r="46" spans="1:34" s="1510" customFormat="1" ht="26.25" outlineLevel="1" thickBot="1" x14ac:dyDescent="0.3">
      <c r="A46" s="833" t="s">
        <v>128</v>
      </c>
      <c r="B46" s="866" t="s">
        <v>413</v>
      </c>
      <c r="C46" s="1447" t="s">
        <v>129</v>
      </c>
      <c r="D46" s="20" t="s">
        <v>1599</v>
      </c>
      <c r="E46" s="158" t="s">
        <v>18</v>
      </c>
      <c r="F46" s="158" t="s">
        <v>18</v>
      </c>
      <c r="G46" s="59">
        <v>52400</v>
      </c>
      <c r="H46" s="435">
        <v>995.22499999999991</v>
      </c>
      <c r="I46" s="1596">
        <v>0</v>
      </c>
      <c r="J46" s="1597">
        <v>81.674999999999997</v>
      </c>
      <c r="K46" s="1598">
        <v>0</v>
      </c>
      <c r="L46" s="867">
        <v>0</v>
      </c>
      <c r="M46" s="868">
        <f>118+82-118.325</f>
        <v>81.674999999999997</v>
      </c>
      <c r="N46" s="819">
        <f>0+118.325</f>
        <v>118.325</v>
      </c>
      <c r="O46" s="840">
        <v>200.00000000000006</v>
      </c>
      <c r="P46" s="850">
        <v>0</v>
      </c>
      <c r="Q46" s="533">
        <f t="shared" si="4"/>
        <v>200.00000000000006</v>
      </c>
      <c r="R46" s="1290">
        <v>200</v>
      </c>
      <c r="S46" s="1290">
        <v>51004.775000000001</v>
      </c>
      <c r="T46" s="867">
        <v>0</v>
      </c>
      <c r="U46" s="868">
        <v>0</v>
      </c>
      <c r="V46" s="819">
        <v>0</v>
      </c>
      <c r="W46" s="867">
        <v>0</v>
      </c>
      <c r="X46" s="874">
        <v>0</v>
      </c>
      <c r="Y46" s="874">
        <v>0</v>
      </c>
      <c r="Z46" s="874">
        <v>0</v>
      </c>
      <c r="AA46" s="819">
        <v>0</v>
      </c>
      <c r="AB46" s="166" t="s">
        <v>1122</v>
      </c>
      <c r="AC46" s="20" t="s">
        <v>13</v>
      </c>
      <c r="AD46" s="1280" t="s">
        <v>1123</v>
      </c>
      <c r="AE46" s="310" t="s">
        <v>92</v>
      </c>
      <c r="AF46" s="387" t="s">
        <v>101</v>
      </c>
      <c r="AG46" s="158" t="s">
        <v>208</v>
      </c>
      <c r="AH46" s="158" t="s">
        <v>972</v>
      </c>
    </row>
    <row r="47" spans="1:34" ht="25.5" outlineLevel="1" x14ac:dyDescent="0.25">
      <c r="A47" s="831" t="s">
        <v>135</v>
      </c>
      <c r="B47" s="799" t="s">
        <v>414</v>
      </c>
      <c r="C47" s="1334" t="s">
        <v>136</v>
      </c>
      <c r="D47" s="93" t="s">
        <v>1610</v>
      </c>
      <c r="E47" s="24" t="s">
        <v>18</v>
      </c>
      <c r="F47" s="24" t="s">
        <v>18</v>
      </c>
      <c r="G47" s="511">
        <v>200000</v>
      </c>
      <c r="H47" s="209">
        <v>15709.094270000001</v>
      </c>
      <c r="I47" s="1590">
        <v>7777.7651800000003</v>
      </c>
      <c r="J47" s="1591">
        <v>2357.4587299999998</v>
      </c>
      <c r="K47" s="1592">
        <v>16357.052679999999</v>
      </c>
      <c r="L47" s="864">
        <f>1000+6777.76518</f>
        <v>7777.7651800000003</v>
      </c>
      <c r="M47" s="865">
        <f>9000-6777.76518+135.22391</f>
        <v>2357.4587299999998</v>
      </c>
      <c r="N47" s="865">
        <f>13837.21812+8500-135.22391</f>
        <v>22201.994209999997</v>
      </c>
      <c r="O47" s="838">
        <v>32337.218119999998</v>
      </c>
      <c r="P47" s="849">
        <v>0</v>
      </c>
      <c r="Q47" s="612">
        <f t="shared" si="4"/>
        <v>32337.218119999998</v>
      </c>
      <c r="R47" s="476">
        <f>100453.68761-8500-51954</f>
        <v>39999.687609999994</v>
      </c>
      <c r="S47" s="476">
        <f>60000+51954</f>
        <v>111954</v>
      </c>
      <c r="T47" s="864">
        <v>0</v>
      </c>
      <c r="U47" s="319">
        <v>0</v>
      </c>
      <c r="V47" s="500">
        <v>0</v>
      </c>
      <c r="W47" s="864">
        <v>0</v>
      </c>
      <c r="X47" s="865">
        <v>0</v>
      </c>
      <c r="Y47" s="865">
        <v>0</v>
      </c>
      <c r="Z47" s="865">
        <v>0</v>
      </c>
      <c r="AA47" s="500">
        <v>0</v>
      </c>
      <c r="AB47" s="61" t="s">
        <v>84</v>
      </c>
      <c r="AC47" s="93" t="s">
        <v>13</v>
      </c>
      <c r="AD47" s="1272" t="s">
        <v>627</v>
      </c>
      <c r="AE47" s="1273" t="s">
        <v>92</v>
      </c>
      <c r="AF47" s="484" t="s">
        <v>101</v>
      </c>
      <c r="AG47" s="24" t="s">
        <v>87</v>
      </c>
      <c r="AH47" s="24"/>
    </row>
    <row r="48" spans="1:34" ht="25.5" outlineLevel="1" x14ac:dyDescent="0.25">
      <c r="A48" s="802" t="s">
        <v>137</v>
      </c>
      <c r="B48" s="798" t="s">
        <v>466</v>
      </c>
      <c r="C48" s="1305" t="s">
        <v>281</v>
      </c>
      <c r="D48" s="95" t="s">
        <v>1610</v>
      </c>
      <c r="E48" s="514" t="s">
        <v>18</v>
      </c>
      <c r="F48" s="514" t="s">
        <v>18</v>
      </c>
      <c r="G48" s="96">
        <f>90000-0.075</f>
        <v>89999.925000000003</v>
      </c>
      <c r="H48" s="209">
        <v>716.92499999999995</v>
      </c>
      <c r="I48" s="1590">
        <v>0</v>
      </c>
      <c r="J48" s="1591">
        <v>0</v>
      </c>
      <c r="K48" s="1592">
        <v>0</v>
      </c>
      <c r="L48" s="803">
        <v>0</v>
      </c>
      <c r="M48" s="698">
        <f>7000-7000</f>
        <v>0</v>
      </c>
      <c r="N48" s="698">
        <f>23000+7000</f>
        <v>30000</v>
      </c>
      <c r="O48" s="838">
        <v>30000</v>
      </c>
      <c r="P48" s="849">
        <v>0</v>
      </c>
      <c r="Q48" s="613">
        <f t="shared" si="4"/>
        <v>30000</v>
      </c>
      <c r="R48" s="878">
        <f>20000+39283</f>
        <v>59283</v>
      </c>
      <c r="S48" s="878">
        <v>0</v>
      </c>
      <c r="T48" s="803">
        <v>0</v>
      </c>
      <c r="U48" s="470">
        <v>0</v>
      </c>
      <c r="V48" s="513">
        <v>0</v>
      </c>
      <c r="W48" s="864">
        <v>0</v>
      </c>
      <c r="X48" s="865">
        <v>0</v>
      </c>
      <c r="Y48" s="865">
        <v>0</v>
      </c>
      <c r="Z48" s="865">
        <v>0</v>
      </c>
      <c r="AA48" s="500">
        <v>0</v>
      </c>
      <c r="AB48" s="60" t="s">
        <v>1425</v>
      </c>
      <c r="AC48" s="95" t="s">
        <v>13</v>
      </c>
      <c r="AD48" s="789" t="s">
        <v>628</v>
      </c>
      <c r="AE48" s="685" t="s">
        <v>92</v>
      </c>
      <c r="AF48" s="515" t="s">
        <v>101</v>
      </c>
      <c r="AG48" s="514" t="s">
        <v>87</v>
      </c>
      <c r="AH48" s="514"/>
    </row>
    <row r="49" spans="1:34" ht="25.5" outlineLevel="1" x14ac:dyDescent="0.25">
      <c r="A49" s="802" t="s">
        <v>138</v>
      </c>
      <c r="B49" s="798" t="s">
        <v>415</v>
      </c>
      <c r="C49" s="1335" t="s">
        <v>151</v>
      </c>
      <c r="D49" s="95" t="s">
        <v>1610</v>
      </c>
      <c r="E49" s="514" t="s">
        <v>18</v>
      </c>
      <c r="F49" s="514" t="s">
        <v>18</v>
      </c>
      <c r="G49" s="96">
        <v>110000</v>
      </c>
      <c r="H49" s="209">
        <v>9472.9888599999995</v>
      </c>
      <c r="I49" s="1590">
        <v>0</v>
      </c>
      <c r="J49" s="1591">
        <v>0</v>
      </c>
      <c r="K49" s="1592">
        <v>0</v>
      </c>
      <c r="L49" s="864">
        <v>0</v>
      </c>
      <c r="M49" s="865">
        <f>5000-5000</f>
        <v>0</v>
      </c>
      <c r="N49" s="865">
        <f>8001.01114+5000</f>
        <v>13001.011139999999</v>
      </c>
      <c r="O49" s="838">
        <v>13001.011140000001</v>
      </c>
      <c r="P49" s="849">
        <v>0</v>
      </c>
      <c r="Q49" s="613">
        <f t="shared" si="4"/>
        <v>13001.011140000001</v>
      </c>
      <c r="R49" s="1617">
        <f>87526-71526</f>
        <v>16000</v>
      </c>
      <c r="S49" s="1617">
        <v>71526</v>
      </c>
      <c r="T49" s="803">
        <v>0</v>
      </c>
      <c r="U49" s="470">
        <v>0</v>
      </c>
      <c r="V49" s="513">
        <v>0</v>
      </c>
      <c r="W49" s="864">
        <v>0</v>
      </c>
      <c r="X49" s="865">
        <v>0</v>
      </c>
      <c r="Y49" s="865">
        <v>0</v>
      </c>
      <c r="Z49" s="865">
        <v>0</v>
      </c>
      <c r="AA49" s="500">
        <v>0</v>
      </c>
      <c r="AB49" s="61" t="s">
        <v>352</v>
      </c>
      <c r="AC49" s="95" t="s">
        <v>13</v>
      </c>
      <c r="AD49" s="789" t="s">
        <v>629</v>
      </c>
      <c r="AE49" s="685" t="s">
        <v>92</v>
      </c>
      <c r="AF49" s="515" t="s">
        <v>101</v>
      </c>
      <c r="AG49" s="514" t="s">
        <v>87</v>
      </c>
      <c r="AH49" s="514"/>
    </row>
    <row r="50" spans="1:34" ht="25.5" outlineLevel="1" x14ac:dyDescent="0.25">
      <c r="A50" s="1683" t="s">
        <v>139</v>
      </c>
      <c r="B50" s="1684" t="s">
        <v>416</v>
      </c>
      <c r="C50" s="1685" t="s">
        <v>140</v>
      </c>
      <c r="D50" s="220" t="s">
        <v>1610</v>
      </c>
      <c r="E50" s="1686" t="s">
        <v>18</v>
      </c>
      <c r="F50" s="1686" t="s">
        <v>18</v>
      </c>
      <c r="G50" s="251">
        <v>54000</v>
      </c>
      <c r="H50" s="436">
        <v>11940.643</v>
      </c>
      <c r="I50" s="2142">
        <v>0</v>
      </c>
      <c r="J50" s="2143">
        <v>0</v>
      </c>
      <c r="K50" s="2159">
        <v>0</v>
      </c>
      <c r="L50" s="1693">
        <v>0</v>
      </c>
      <c r="M50" s="1695">
        <v>0</v>
      </c>
      <c r="N50" s="1695">
        <v>0</v>
      </c>
      <c r="O50" s="421">
        <v>499.86200000000002</v>
      </c>
      <c r="P50" s="1691">
        <v>-499.86200000000002</v>
      </c>
      <c r="Q50" s="1692">
        <f t="shared" si="4"/>
        <v>0</v>
      </c>
      <c r="R50" s="2160">
        <v>1500</v>
      </c>
      <c r="S50" s="2160">
        <f>32059.495+4500+499.862+3500</f>
        <v>40559.356999999996</v>
      </c>
      <c r="T50" s="1693">
        <v>0</v>
      </c>
      <c r="U50" s="1728">
        <v>0</v>
      </c>
      <c r="V50" s="1696">
        <v>0</v>
      </c>
      <c r="W50" s="2136">
        <v>0</v>
      </c>
      <c r="X50" s="1694">
        <v>0</v>
      </c>
      <c r="Y50" s="1694">
        <v>0</v>
      </c>
      <c r="Z50" s="1694">
        <v>0</v>
      </c>
      <c r="AA50" s="2138">
        <v>0</v>
      </c>
      <c r="AB50" s="2373" t="s">
        <v>1777</v>
      </c>
      <c r="AC50" s="386" t="s">
        <v>13</v>
      </c>
      <c r="AD50" s="2161" t="s">
        <v>524</v>
      </c>
      <c r="AE50" s="2162" t="s">
        <v>92</v>
      </c>
      <c r="AF50" s="252" t="s">
        <v>101</v>
      </c>
      <c r="AG50" s="1686" t="s">
        <v>87</v>
      </c>
      <c r="AH50" s="1686"/>
    </row>
    <row r="51" spans="1:34" ht="25.5" outlineLevel="1" x14ac:dyDescent="0.25">
      <c r="A51" s="929" t="s">
        <v>141</v>
      </c>
      <c r="B51" s="733" t="s">
        <v>417</v>
      </c>
      <c r="C51" s="1235" t="s">
        <v>142</v>
      </c>
      <c r="D51" s="204" t="s">
        <v>1610</v>
      </c>
      <c r="E51" s="718" t="s">
        <v>18</v>
      </c>
      <c r="F51" s="718" t="s">
        <v>18</v>
      </c>
      <c r="G51" s="747">
        <f>45000+363-1135+1134.95+445.9-0.00122-138.77937</f>
        <v>45670.069410000004</v>
      </c>
      <c r="H51" s="1058">
        <v>45362.948779999999</v>
      </c>
      <c r="I51" s="952">
        <v>307.12063000000001</v>
      </c>
      <c r="J51" s="953">
        <v>0</v>
      </c>
      <c r="K51" s="2308">
        <v>0</v>
      </c>
      <c r="L51" s="734">
        <f>445.9-138.77937</f>
        <v>307.12063000000001</v>
      </c>
      <c r="M51" s="744">
        <v>0</v>
      </c>
      <c r="N51" s="728">
        <v>0</v>
      </c>
      <c r="O51" s="729">
        <v>445.9</v>
      </c>
      <c r="P51" s="715">
        <v>-138.77937</v>
      </c>
      <c r="Q51" s="716">
        <f>O51+P51</f>
        <v>307.12063000000001</v>
      </c>
      <c r="R51" s="2163">
        <v>0</v>
      </c>
      <c r="S51" s="738">
        <v>0</v>
      </c>
      <c r="T51" s="734">
        <v>0</v>
      </c>
      <c r="U51" s="736">
        <v>0</v>
      </c>
      <c r="V51" s="739">
        <v>0</v>
      </c>
      <c r="W51" s="744">
        <v>45362.948780000006</v>
      </c>
      <c r="X51" s="744">
        <v>45362.948780000006</v>
      </c>
      <c r="Y51" s="744">
        <v>0</v>
      </c>
      <c r="Z51" s="735">
        <v>0</v>
      </c>
      <c r="AA51" s="739">
        <v>0</v>
      </c>
      <c r="AB51" s="1069" t="s">
        <v>1778</v>
      </c>
      <c r="AC51" s="204" t="s">
        <v>95</v>
      </c>
      <c r="AD51" s="740" t="s">
        <v>706</v>
      </c>
      <c r="AE51" s="717" t="s">
        <v>92</v>
      </c>
      <c r="AF51" s="253" t="s">
        <v>101</v>
      </c>
      <c r="AG51" s="718" t="s">
        <v>209</v>
      </c>
      <c r="AH51" s="718" t="s">
        <v>973</v>
      </c>
    </row>
    <row r="52" spans="1:34" ht="25.5" outlineLevel="1" x14ac:dyDescent="0.25">
      <c r="A52" s="929" t="s">
        <v>143</v>
      </c>
      <c r="B52" s="733" t="s">
        <v>418</v>
      </c>
      <c r="C52" s="1235" t="s">
        <v>192</v>
      </c>
      <c r="D52" s="204" t="s">
        <v>1610</v>
      </c>
      <c r="E52" s="718" t="s">
        <v>18</v>
      </c>
      <c r="F52" s="718" t="s">
        <v>18</v>
      </c>
      <c r="G52" s="747">
        <f>37937+349-0.02459+350-6.55239</f>
        <v>38629.423020000002</v>
      </c>
      <c r="H52" s="1058">
        <f>37935.97541+350</f>
        <v>38285.975409999999</v>
      </c>
      <c r="I52" s="952">
        <v>0</v>
      </c>
      <c r="J52" s="953">
        <v>343.44761</v>
      </c>
      <c r="K52" s="2308">
        <v>0</v>
      </c>
      <c r="L52" s="734">
        <v>0</v>
      </c>
      <c r="M52" s="735">
        <v>343.44761</v>
      </c>
      <c r="N52" s="739">
        <v>0</v>
      </c>
      <c r="O52" s="729">
        <v>350</v>
      </c>
      <c r="P52" s="715">
        <f>-(350-343.44761)</f>
        <v>-6.5523900000000026</v>
      </c>
      <c r="Q52" s="716">
        <f t="shared" ref="Q52:Q53" si="5">O52+P52</f>
        <v>343.44761</v>
      </c>
      <c r="R52" s="738">
        <v>0</v>
      </c>
      <c r="S52" s="737">
        <v>0</v>
      </c>
      <c r="T52" s="734">
        <v>0</v>
      </c>
      <c r="U52" s="736">
        <v>0</v>
      </c>
      <c r="V52" s="739">
        <v>0</v>
      </c>
      <c r="W52" s="2164">
        <f>39000-1063+349-0.02459</f>
        <v>38285.975409999999</v>
      </c>
      <c r="X52" s="2165">
        <f>37935.97541+350</f>
        <v>38285.975409999999</v>
      </c>
      <c r="Y52" s="2166">
        <v>0</v>
      </c>
      <c r="Z52" s="2167">
        <v>0</v>
      </c>
      <c r="AA52" s="2168">
        <v>0</v>
      </c>
      <c r="AB52" s="1069" t="s">
        <v>1779</v>
      </c>
      <c r="AC52" s="204" t="s">
        <v>95</v>
      </c>
      <c r="AD52" s="740" t="s">
        <v>706</v>
      </c>
      <c r="AE52" s="253" t="s">
        <v>92</v>
      </c>
      <c r="AF52" s="253" t="s">
        <v>101</v>
      </c>
      <c r="AG52" s="718" t="s">
        <v>209</v>
      </c>
      <c r="AH52" s="718"/>
    </row>
    <row r="53" spans="1:34" s="2141" customFormat="1" ht="25.5" outlineLevel="1" x14ac:dyDescent="0.25">
      <c r="A53" s="929" t="s">
        <v>144</v>
      </c>
      <c r="B53" s="733" t="s">
        <v>419</v>
      </c>
      <c r="C53" s="1235" t="s">
        <v>145</v>
      </c>
      <c r="D53" s="204" t="s">
        <v>1610</v>
      </c>
      <c r="E53" s="718" t="s">
        <v>18</v>
      </c>
      <c r="F53" s="718" t="s">
        <v>18</v>
      </c>
      <c r="G53" s="747">
        <f>111526-41526-5000-461.40158</f>
        <v>64538.598420000002</v>
      </c>
      <c r="H53" s="1058">
        <v>57335.770910000007</v>
      </c>
      <c r="I53" s="952">
        <v>7202.827510000001</v>
      </c>
      <c r="J53" s="953">
        <v>0</v>
      </c>
      <c r="K53" s="2308">
        <v>0</v>
      </c>
      <c r="L53" s="734">
        <f>0+7202.82751</f>
        <v>7202.8275100000001</v>
      </c>
      <c r="M53" s="735">
        <v>0</v>
      </c>
      <c r="N53" s="739">
        <v>0</v>
      </c>
      <c r="O53" s="729">
        <v>7202.8275100000001</v>
      </c>
      <c r="P53" s="715">
        <v>0</v>
      </c>
      <c r="Q53" s="716">
        <f t="shared" si="5"/>
        <v>7202.8275100000001</v>
      </c>
      <c r="R53" s="738">
        <f>461+0.40158-461.40158</f>
        <v>0</v>
      </c>
      <c r="S53" s="737">
        <v>0</v>
      </c>
      <c r="T53" s="734">
        <v>0</v>
      </c>
      <c r="U53" s="736">
        <v>0</v>
      </c>
      <c r="V53" s="739">
        <v>0</v>
      </c>
      <c r="W53" s="734">
        <v>39250</v>
      </c>
      <c r="X53" s="744">
        <v>34579.400349999996</v>
      </c>
      <c r="Y53" s="744">
        <v>4464.7749000000003</v>
      </c>
      <c r="Z53" s="744">
        <v>4670.5996500000037</v>
      </c>
      <c r="AA53" s="728">
        <v>0</v>
      </c>
      <c r="AB53" s="1069" t="s">
        <v>2060</v>
      </c>
      <c r="AC53" s="204" t="s">
        <v>95</v>
      </c>
      <c r="AD53" s="740" t="s">
        <v>1023</v>
      </c>
      <c r="AE53" s="717" t="s">
        <v>92</v>
      </c>
      <c r="AF53" s="253" t="s">
        <v>101</v>
      </c>
      <c r="AG53" s="718" t="s">
        <v>216</v>
      </c>
      <c r="AH53" s="718" t="s">
        <v>973</v>
      </c>
    </row>
    <row r="54" spans="1:34" s="1509" customFormat="1" ht="26.25" outlineLevel="1" thickBot="1" x14ac:dyDescent="0.3">
      <c r="A54" s="579" t="s">
        <v>146</v>
      </c>
      <c r="B54" s="85" t="s">
        <v>420</v>
      </c>
      <c r="C54" s="1303" t="s">
        <v>147</v>
      </c>
      <c r="D54" s="311" t="s">
        <v>1610</v>
      </c>
      <c r="E54" s="611" t="s">
        <v>18</v>
      </c>
      <c r="F54" s="611" t="s">
        <v>18</v>
      </c>
      <c r="G54" s="68">
        <v>2000</v>
      </c>
      <c r="H54" s="416">
        <v>218.19192000000021</v>
      </c>
      <c r="I54" s="1613">
        <v>0</v>
      </c>
      <c r="J54" s="1614">
        <v>0</v>
      </c>
      <c r="K54" s="1615">
        <v>0</v>
      </c>
      <c r="L54" s="962">
        <v>0</v>
      </c>
      <c r="M54" s="963">
        <v>0</v>
      </c>
      <c r="N54" s="745">
        <v>0</v>
      </c>
      <c r="O54" s="839">
        <v>0</v>
      </c>
      <c r="P54" s="555">
        <v>0</v>
      </c>
      <c r="Q54" s="630">
        <f t="shared" si="4"/>
        <v>0</v>
      </c>
      <c r="R54" s="967">
        <v>1500</v>
      </c>
      <c r="S54" s="967">
        <f>131.80808+150</f>
        <v>281.80808000000002</v>
      </c>
      <c r="T54" s="962">
        <v>0</v>
      </c>
      <c r="U54" s="963">
        <v>0</v>
      </c>
      <c r="V54" s="745">
        <v>0</v>
      </c>
      <c r="W54" s="962">
        <v>0</v>
      </c>
      <c r="X54" s="1293">
        <v>0</v>
      </c>
      <c r="Y54" s="1293">
        <v>0</v>
      </c>
      <c r="Z54" s="1293">
        <v>0</v>
      </c>
      <c r="AA54" s="745">
        <v>0</v>
      </c>
      <c r="AB54" s="67" t="s">
        <v>84</v>
      </c>
      <c r="AC54" s="311" t="s">
        <v>13</v>
      </c>
      <c r="AD54" s="292" t="s">
        <v>1150</v>
      </c>
      <c r="AE54" s="90" t="s">
        <v>92</v>
      </c>
      <c r="AF54" s="84" t="s">
        <v>100</v>
      </c>
      <c r="AG54" s="611" t="s">
        <v>87</v>
      </c>
      <c r="AH54" s="611"/>
    </row>
    <row r="55" spans="1:34" ht="25.5" outlineLevel="1" x14ac:dyDescent="0.25">
      <c r="A55" s="72" t="s">
        <v>160</v>
      </c>
      <c r="B55" s="50" t="s">
        <v>87</v>
      </c>
      <c r="C55" s="1177" t="s">
        <v>161</v>
      </c>
      <c r="D55" s="247" t="s">
        <v>1600</v>
      </c>
      <c r="E55" s="30" t="s">
        <v>18</v>
      </c>
      <c r="F55" s="33" t="s">
        <v>18</v>
      </c>
      <c r="G55" s="32">
        <f>841-841</f>
        <v>0</v>
      </c>
      <c r="H55" s="1030">
        <v>0</v>
      </c>
      <c r="I55" s="805">
        <v>0</v>
      </c>
      <c r="J55" s="806">
        <v>0</v>
      </c>
      <c r="K55" s="1213">
        <v>0</v>
      </c>
      <c r="L55" s="491">
        <v>0</v>
      </c>
      <c r="M55" s="472">
        <v>0</v>
      </c>
      <c r="N55" s="279">
        <v>0</v>
      </c>
      <c r="O55" s="691">
        <v>0</v>
      </c>
      <c r="P55" s="557">
        <v>0</v>
      </c>
      <c r="Q55" s="536">
        <f t="shared" si="4"/>
        <v>0</v>
      </c>
      <c r="R55" s="1175">
        <v>0</v>
      </c>
      <c r="S55" s="1175">
        <f>841-841</f>
        <v>0</v>
      </c>
      <c r="T55" s="491">
        <v>0</v>
      </c>
      <c r="U55" s="472">
        <v>0</v>
      </c>
      <c r="V55" s="279">
        <v>0</v>
      </c>
      <c r="W55" s="491">
        <v>0</v>
      </c>
      <c r="X55" s="471">
        <v>0</v>
      </c>
      <c r="Y55" s="471">
        <v>0</v>
      </c>
      <c r="Z55" s="471">
        <v>0</v>
      </c>
      <c r="AA55" s="279">
        <v>0</v>
      </c>
      <c r="AB55" s="247" t="s">
        <v>2058</v>
      </c>
      <c r="AC55" s="30" t="s">
        <v>93</v>
      </c>
      <c r="AD55" s="187" t="s">
        <v>750</v>
      </c>
      <c r="AE55" s="282" t="s">
        <v>91</v>
      </c>
      <c r="AF55" s="228" t="s">
        <v>100</v>
      </c>
      <c r="AG55" s="33" t="s">
        <v>208</v>
      </c>
      <c r="AH55" s="33" t="s">
        <v>972</v>
      </c>
    </row>
    <row r="56" spans="1:34" s="1509" customFormat="1" ht="26.25" outlineLevel="1" thickBot="1" x14ac:dyDescent="0.3">
      <c r="A56" s="955" t="s">
        <v>162</v>
      </c>
      <c r="B56" s="700" t="s">
        <v>955</v>
      </c>
      <c r="C56" s="1379" t="s">
        <v>163</v>
      </c>
      <c r="D56" s="2169" t="s">
        <v>1600</v>
      </c>
      <c r="E56" s="203" t="s">
        <v>18</v>
      </c>
      <c r="F56" s="701" t="s">
        <v>18</v>
      </c>
      <c r="G56" s="702">
        <f>3544+73-73.10744</f>
        <v>3543.8925600000002</v>
      </c>
      <c r="H56" s="1060">
        <v>3543.8925599999998</v>
      </c>
      <c r="I56" s="956">
        <v>0</v>
      </c>
      <c r="J56" s="957">
        <v>0</v>
      </c>
      <c r="K56" s="2309">
        <v>0</v>
      </c>
      <c r="L56" s="741">
        <v>0</v>
      </c>
      <c r="M56" s="742">
        <f>3544-3544</f>
        <v>0</v>
      </c>
      <c r="N56" s="720">
        <v>0</v>
      </c>
      <c r="O56" s="721">
        <v>0</v>
      </c>
      <c r="P56" s="647">
        <v>0</v>
      </c>
      <c r="Q56" s="713">
        <f t="shared" si="4"/>
        <v>0</v>
      </c>
      <c r="R56" s="722">
        <v>0</v>
      </c>
      <c r="S56" s="958">
        <v>0</v>
      </c>
      <c r="T56" s="741">
        <v>0</v>
      </c>
      <c r="U56" s="742">
        <v>0</v>
      </c>
      <c r="V56" s="720">
        <v>0</v>
      </c>
      <c r="W56" s="703">
        <v>0</v>
      </c>
      <c r="X56" s="704">
        <v>0</v>
      </c>
      <c r="Y56" s="704">
        <v>0</v>
      </c>
      <c r="Z56" s="704">
        <v>0</v>
      </c>
      <c r="AA56" s="705">
        <v>0</v>
      </c>
      <c r="AB56" s="1073" t="s">
        <v>1780</v>
      </c>
      <c r="AC56" s="203" t="s">
        <v>95</v>
      </c>
      <c r="AD56" s="959" t="s">
        <v>1023</v>
      </c>
      <c r="AE56" s="706" t="s">
        <v>92</v>
      </c>
      <c r="AF56" s="291" t="s">
        <v>101</v>
      </c>
      <c r="AG56" s="701" t="s">
        <v>216</v>
      </c>
      <c r="AH56" s="701" t="s">
        <v>972</v>
      </c>
    </row>
    <row r="57" spans="1:34" s="1510" customFormat="1" ht="48" outlineLevel="1" thickBot="1" x14ac:dyDescent="0.3">
      <c r="A57" s="833" t="s">
        <v>183</v>
      </c>
      <c r="B57" s="866" t="s">
        <v>421</v>
      </c>
      <c r="C57" s="1433" t="s">
        <v>182</v>
      </c>
      <c r="D57" s="20" t="s">
        <v>187</v>
      </c>
      <c r="E57" s="20" t="s">
        <v>18</v>
      </c>
      <c r="F57" s="158" t="s">
        <v>18</v>
      </c>
      <c r="G57" s="59">
        <f>79939-0.73236+5062+2710+2390</f>
        <v>90100.267640000005</v>
      </c>
      <c r="H57" s="435">
        <v>79910.006530000013</v>
      </c>
      <c r="I57" s="1596">
        <v>0</v>
      </c>
      <c r="J57" s="1597">
        <v>7129.1188300000013</v>
      </c>
      <c r="K57" s="1598">
        <v>2410.3198400000001</v>
      </c>
      <c r="L57" s="867">
        <f>5090.26111-5090.26111</f>
        <v>0</v>
      </c>
      <c r="M57" s="868">
        <f>2710+5090.26111-671.14228</f>
        <v>7129.1188300000003</v>
      </c>
      <c r="N57" s="819">
        <f>2390+671.14228</f>
        <v>3061.14228</v>
      </c>
      <c r="O57" s="840">
        <v>10190.261109999999</v>
      </c>
      <c r="P57" s="850">
        <v>0</v>
      </c>
      <c r="Q57" s="533">
        <f>O57+P57</f>
        <v>10190.261109999999</v>
      </c>
      <c r="R57" s="442">
        <v>0</v>
      </c>
      <c r="S57" s="1290">
        <v>0</v>
      </c>
      <c r="T57" s="867">
        <v>0</v>
      </c>
      <c r="U57" s="868">
        <v>0</v>
      </c>
      <c r="V57" s="819">
        <v>0</v>
      </c>
      <c r="W57" s="867">
        <f>79939-0.73236</f>
        <v>79938.267640000005</v>
      </c>
      <c r="X57" s="874">
        <v>79910.006529999999</v>
      </c>
      <c r="Y57" s="874">
        <v>28.261109999999999</v>
      </c>
      <c r="Z57" s="874">
        <v>28.261110000006738</v>
      </c>
      <c r="AA57" s="818">
        <v>0</v>
      </c>
      <c r="AB57" s="166" t="s">
        <v>1670</v>
      </c>
      <c r="AC57" s="20" t="s">
        <v>186</v>
      </c>
      <c r="AD57" s="1280" t="s">
        <v>191</v>
      </c>
      <c r="AE57" s="310" t="s">
        <v>92</v>
      </c>
      <c r="AF57" s="387" t="s">
        <v>101</v>
      </c>
      <c r="AG57" s="158" t="s">
        <v>212</v>
      </c>
      <c r="AH57" s="158" t="s">
        <v>973</v>
      </c>
    </row>
    <row r="58" spans="1:34" s="1510" customFormat="1" ht="26.25" outlineLevel="1" thickBot="1" x14ac:dyDescent="0.3">
      <c r="A58" s="2170" t="s">
        <v>193</v>
      </c>
      <c r="B58" s="2348" t="s">
        <v>1941</v>
      </c>
      <c r="C58" s="2171" t="s">
        <v>194</v>
      </c>
      <c r="D58" s="618" t="s">
        <v>1611</v>
      </c>
      <c r="E58" s="618" t="s">
        <v>18</v>
      </c>
      <c r="F58" s="2172" t="s">
        <v>18</v>
      </c>
      <c r="G58" s="2173">
        <f>10878+1856+2900+3366</f>
        <v>19000</v>
      </c>
      <c r="H58" s="2310">
        <v>0</v>
      </c>
      <c r="I58" s="2311">
        <v>0</v>
      </c>
      <c r="J58" s="2312">
        <v>0</v>
      </c>
      <c r="K58" s="2313">
        <v>994.51777000000004</v>
      </c>
      <c r="L58" s="2174">
        <v>0</v>
      </c>
      <c r="M58" s="2175">
        <f>5000-5000</f>
        <v>0</v>
      </c>
      <c r="N58" s="2176">
        <f>7734+2900+5000</f>
        <v>15634</v>
      </c>
      <c r="O58" s="2177">
        <v>12734</v>
      </c>
      <c r="P58" s="2178">
        <v>2900</v>
      </c>
      <c r="Q58" s="2179">
        <f t="shared" ref="Q58" si="6">O58+P58</f>
        <v>15634</v>
      </c>
      <c r="R58" s="2180">
        <v>3366</v>
      </c>
      <c r="S58" s="2181">
        <v>0</v>
      </c>
      <c r="T58" s="2174">
        <v>0</v>
      </c>
      <c r="U58" s="2182">
        <v>0</v>
      </c>
      <c r="V58" s="2176">
        <v>0</v>
      </c>
      <c r="W58" s="2174">
        <v>0</v>
      </c>
      <c r="X58" s="2175">
        <v>0</v>
      </c>
      <c r="Y58" s="2175">
        <v>0</v>
      </c>
      <c r="Z58" s="2175">
        <v>0</v>
      </c>
      <c r="AA58" s="2176">
        <v>0</v>
      </c>
      <c r="AB58" s="2747" t="s">
        <v>2087</v>
      </c>
      <c r="AC58" s="618" t="s">
        <v>13</v>
      </c>
      <c r="AD58" s="635" t="s">
        <v>321</v>
      </c>
      <c r="AE58" s="2183" t="s">
        <v>92</v>
      </c>
      <c r="AF58" s="635" t="s">
        <v>101</v>
      </c>
      <c r="AG58" s="2172" t="s">
        <v>208</v>
      </c>
      <c r="AH58" s="2172" t="s">
        <v>972</v>
      </c>
    </row>
    <row r="59" spans="1:34" s="1510" customFormat="1" ht="26.25" outlineLevel="1" thickBot="1" x14ac:dyDescent="0.3">
      <c r="A59" s="833" t="s">
        <v>238</v>
      </c>
      <c r="B59" s="1143" t="s">
        <v>87</v>
      </c>
      <c r="C59" s="1433" t="s">
        <v>239</v>
      </c>
      <c r="D59" s="20" t="s">
        <v>282</v>
      </c>
      <c r="E59" s="20" t="s">
        <v>18</v>
      </c>
      <c r="F59" s="158" t="s">
        <v>18</v>
      </c>
      <c r="G59" s="59">
        <v>2000</v>
      </c>
      <c r="H59" s="435">
        <v>0</v>
      </c>
      <c r="I59" s="1596">
        <v>0</v>
      </c>
      <c r="J59" s="1597">
        <v>0</v>
      </c>
      <c r="K59" s="1598">
        <v>0</v>
      </c>
      <c r="L59" s="867">
        <v>0</v>
      </c>
      <c r="M59" s="874">
        <v>0</v>
      </c>
      <c r="N59" s="819">
        <v>2000</v>
      </c>
      <c r="O59" s="840">
        <v>2000</v>
      </c>
      <c r="P59" s="850">
        <v>0</v>
      </c>
      <c r="Q59" s="533">
        <f t="shared" si="4"/>
        <v>2000</v>
      </c>
      <c r="R59" s="442">
        <v>0</v>
      </c>
      <c r="S59" s="1290">
        <v>0</v>
      </c>
      <c r="T59" s="867">
        <v>0</v>
      </c>
      <c r="U59" s="868">
        <v>0</v>
      </c>
      <c r="V59" s="819">
        <v>0</v>
      </c>
      <c r="W59" s="867">
        <v>0</v>
      </c>
      <c r="X59" s="874">
        <v>0</v>
      </c>
      <c r="Y59" s="874">
        <v>0</v>
      </c>
      <c r="Z59" s="874">
        <v>0</v>
      </c>
      <c r="AA59" s="819">
        <v>0</v>
      </c>
      <c r="AB59" s="1070" t="s">
        <v>84</v>
      </c>
      <c r="AC59" s="20" t="s">
        <v>9</v>
      </c>
      <c r="AD59" s="1280" t="s">
        <v>191</v>
      </c>
      <c r="AE59" s="310" t="s">
        <v>91</v>
      </c>
      <c r="AF59" s="387" t="s">
        <v>101</v>
      </c>
      <c r="AG59" s="158" t="s">
        <v>218</v>
      </c>
      <c r="AH59" s="158" t="s">
        <v>972</v>
      </c>
    </row>
    <row r="60" spans="1:34" ht="25.5" outlineLevel="1" x14ac:dyDescent="0.25">
      <c r="A60" s="831" t="s">
        <v>283</v>
      </c>
      <c r="B60" s="1561" t="s">
        <v>87</v>
      </c>
      <c r="C60" s="1572" t="s">
        <v>284</v>
      </c>
      <c r="D60" s="93" t="s">
        <v>1612</v>
      </c>
      <c r="E60" s="93" t="s">
        <v>18</v>
      </c>
      <c r="F60" s="24" t="s">
        <v>18</v>
      </c>
      <c r="G60" s="511">
        <v>30000</v>
      </c>
      <c r="H60" s="209">
        <v>0</v>
      </c>
      <c r="I60" s="1590">
        <v>0</v>
      </c>
      <c r="J60" s="1591">
        <v>0</v>
      </c>
      <c r="K60" s="1592">
        <v>0</v>
      </c>
      <c r="L60" s="864">
        <v>0</v>
      </c>
      <c r="M60" s="865">
        <f>2000-2000</f>
        <v>0</v>
      </c>
      <c r="N60" s="865">
        <f>10000+2000</f>
        <v>12000</v>
      </c>
      <c r="O60" s="838">
        <v>12000</v>
      </c>
      <c r="P60" s="849">
        <v>0</v>
      </c>
      <c r="Q60" s="612">
        <f t="shared" si="4"/>
        <v>12000</v>
      </c>
      <c r="R60" s="500">
        <v>18000</v>
      </c>
      <c r="S60" s="506">
        <v>0</v>
      </c>
      <c r="T60" s="864">
        <v>0</v>
      </c>
      <c r="U60" s="319">
        <v>0</v>
      </c>
      <c r="V60" s="500">
        <v>0</v>
      </c>
      <c r="W60" s="864">
        <v>0</v>
      </c>
      <c r="X60" s="865">
        <v>0</v>
      </c>
      <c r="Y60" s="865">
        <v>0</v>
      </c>
      <c r="Z60" s="865">
        <v>0</v>
      </c>
      <c r="AA60" s="500">
        <v>0</v>
      </c>
      <c r="AB60" s="2733" t="s">
        <v>84</v>
      </c>
      <c r="AC60" s="93" t="s">
        <v>11</v>
      </c>
      <c r="AD60" s="1272" t="s">
        <v>191</v>
      </c>
      <c r="AE60" s="1273" t="s">
        <v>91</v>
      </c>
      <c r="AF60" s="484" t="s">
        <v>101</v>
      </c>
      <c r="AG60" s="24" t="s">
        <v>206</v>
      </c>
      <c r="AH60" s="24"/>
    </row>
    <row r="61" spans="1:34" s="1378" customFormat="1" ht="25.5" outlineLevel="1" x14ac:dyDescent="0.25">
      <c r="A61" s="909" t="s">
        <v>285</v>
      </c>
      <c r="B61" s="2301" t="s">
        <v>804</v>
      </c>
      <c r="C61" s="2302" t="s">
        <v>286</v>
      </c>
      <c r="D61" s="768" t="s">
        <v>1612</v>
      </c>
      <c r="E61" s="910" t="s">
        <v>18</v>
      </c>
      <c r="F61" s="946" t="s">
        <v>18</v>
      </c>
      <c r="G61" s="1267">
        <f>36602.58343</f>
        <v>36602.583429999999</v>
      </c>
      <c r="H61" s="2314">
        <v>36111.048139999999</v>
      </c>
      <c r="I61" s="2315">
        <v>0</v>
      </c>
      <c r="J61" s="2316">
        <v>261.15008</v>
      </c>
      <c r="K61" s="2317">
        <v>230.38521</v>
      </c>
      <c r="L61" s="914">
        <v>0</v>
      </c>
      <c r="M61" s="2304">
        <v>261.15008</v>
      </c>
      <c r="N61" s="916">
        <f>0+230.38521</f>
        <v>230.38521</v>
      </c>
      <c r="O61" s="917">
        <v>599.9518599999999</v>
      </c>
      <c r="P61" s="2323">
        <f>-109+0.58343</f>
        <v>-108.41656999999999</v>
      </c>
      <c r="Q61" s="918">
        <f t="shared" si="4"/>
        <v>491.53528999999992</v>
      </c>
      <c r="R61" s="916">
        <v>0</v>
      </c>
      <c r="S61" s="2303">
        <v>0</v>
      </c>
      <c r="T61" s="914">
        <v>0</v>
      </c>
      <c r="U61" s="915">
        <v>0</v>
      </c>
      <c r="V61" s="916">
        <v>0</v>
      </c>
      <c r="W61" s="914">
        <v>0</v>
      </c>
      <c r="X61" s="2304">
        <v>0</v>
      </c>
      <c r="Y61" s="2304">
        <v>0</v>
      </c>
      <c r="Z61" s="2304">
        <v>0</v>
      </c>
      <c r="AA61" s="916">
        <v>0</v>
      </c>
      <c r="AB61" s="1069" t="s">
        <v>1837</v>
      </c>
      <c r="AC61" s="910" t="s">
        <v>95</v>
      </c>
      <c r="AD61" s="1240" t="s">
        <v>191</v>
      </c>
      <c r="AE61" s="1241" t="s">
        <v>92</v>
      </c>
      <c r="AF61" s="1044" t="s">
        <v>101</v>
      </c>
      <c r="AG61" s="946" t="s">
        <v>209</v>
      </c>
      <c r="AH61" s="946" t="s">
        <v>972</v>
      </c>
    </row>
    <row r="62" spans="1:34" s="1508" customFormat="1" ht="32.25" outlineLevel="1" thickBot="1" x14ac:dyDescent="0.3">
      <c r="A62" s="955" t="s">
        <v>312</v>
      </c>
      <c r="B62" s="2184" t="s">
        <v>800</v>
      </c>
      <c r="C62" s="2185" t="s">
        <v>313</v>
      </c>
      <c r="D62" s="203" t="s">
        <v>1613</v>
      </c>
      <c r="E62" s="203" t="s">
        <v>18</v>
      </c>
      <c r="F62" s="701" t="s">
        <v>18</v>
      </c>
      <c r="G62" s="702">
        <f>8610+675+240+191-259.16573</f>
        <v>9456.8342699999994</v>
      </c>
      <c r="H62" s="2318">
        <v>4760</v>
      </c>
      <c r="I62" s="2319">
        <v>171.83427</v>
      </c>
      <c r="J62" s="2320">
        <v>0</v>
      </c>
      <c r="K62" s="2321">
        <v>0</v>
      </c>
      <c r="L62" s="741">
        <f>240+191-259.16573</f>
        <v>171.83427</v>
      </c>
      <c r="M62" s="742">
        <v>0</v>
      </c>
      <c r="N62" s="720">
        <v>0</v>
      </c>
      <c r="O62" s="1380">
        <v>431</v>
      </c>
      <c r="P62" s="2186">
        <f>-(431-171.83427)</f>
        <v>-259.16573</v>
      </c>
      <c r="Q62" s="713">
        <f t="shared" si="4"/>
        <v>171.83427</v>
      </c>
      <c r="R62" s="722">
        <v>0</v>
      </c>
      <c r="S62" s="958">
        <v>0</v>
      </c>
      <c r="T62" s="741">
        <v>0</v>
      </c>
      <c r="U62" s="742">
        <f>4041+484</f>
        <v>4525</v>
      </c>
      <c r="V62" s="720">
        <v>0</v>
      </c>
      <c r="W62" s="741">
        <v>0</v>
      </c>
      <c r="X62" s="743">
        <v>0</v>
      </c>
      <c r="Y62" s="743">
        <v>0</v>
      </c>
      <c r="Z62" s="743">
        <v>0</v>
      </c>
      <c r="AA62" s="720">
        <v>0</v>
      </c>
      <c r="AB62" s="2169" t="s">
        <v>1781</v>
      </c>
      <c r="AC62" s="203" t="s">
        <v>95</v>
      </c>
      <c r="AD62" s="959" t="s">
        <v>706</v>
      </c>
      <c r="AE62" s="706" t="s">
        <v>92</v>
      </c>
      <c r="AF62" s="291" t="s">
        <v>101</v>
      </c>
      <c r="AG62" s="701" t="s">
        <v>210</v>
      </c>
      <c r="AH62" s="701" t="s">
        <v>972</v>
      </c>
    </row>
    <row r="63" spans="1:34" ht="25.5" outlineLevel="1" x14ac:dyDescent="0.25">
      <c r="A63" s="831" t="s">
        <v>347</v>
      </c>
      <c r="B63" s="1561" t="s">
        <v>949</v>
      </c>
      <c r="C63" s="1572" t="s">
        <v>348</v>
      </c>
      <c r="D63" s="93" t="s">
        <v>1614</v>
      </c>
      <c r="E63" s="93" t="s">
        <v>18</v>
      </c>
      <c r="F63" s="24" t="s">
        <v>18</v>
      </c>
      <c r="G63" s="511">
        <f>16300-4700</f>
        <v>11600</v>
      </c>
      <c r="H63" s="209">
        <v>7178.5974900000001</v>
      </c>
      <c r="I63" s="1590">
        <v>0</v>
      </c>
      <c r="J63" s="1591">
        <v>0</v>
      </c>
      <c r="K63" s="1592">
        <v>0</v>
      </c>
      <c r="L63" s="865">
        <v>0</v>
      </c>
      <c r="M63" s="865">
        <f>9121.40251-4700-1009-3412.40251</f>
        <v>0</v>
      </c>
      <c r="N63" s="500">
        <f>0+3412.40251</f>
        <v>3412.4025099999999</v>
      </c>
      <c r="O63" s="838">
        <v>3412.4025099999999</v>
      </c>
      <c r="P63" s="849">
        <v>0</v>
      </c>
      <c r="Q63" s="612">
        <f t="shared" si="4"/>
        <v>3412.4025099999999</v>
      </c>
      <c r="R63" s="510">
        <v>1009</v>
      </c>
      <c r="S63" s="476">
        <v>0</v>
      </c>
      <c r="T63" s="864">
        <v>0</v>
      </c>
      <c r="U63" s="319">
        <v>0</v>
      </c>
      <c r="V63" s="500">
        <v>0</v>
      </c>
      <c r="W63" s="864">
        <v>0</v>
      </c>
      <c r="X63" s="865">
        <v>0</v>
      </c>
      <c r="Y63" s="865">
        <v>0</v>
      </c>
      <c r="Z63" s="865">
        <v>0</v>
      </c>
      <c r="AA63" s="500">
        <v>0</v>
      </c>
      <c r="AB63" s="2733" t="s">
        <v>84</v>
      </c>
      <c r="AC63" s="93" t="s">
        <v>13</v>
      </c>
      <c r="AD63" s="1272" t="s">
        <v>191</v>
      </c>
      <c r="AE63" s="1273" t="s">
        <v>92</v>
      </c>
      <c r="AF63" s="484" t="s">
        <v>101</v>
      </c>
      <c r="AG63" s="24" t="s">
        <v>212</v>
      </c>
      <c r="AH63" s="24" t="s">
        <v>973</v>
      </c>
    </row>
    <row r="64" spans="1:34" s="1509" customFormat="1" ht="26.25" outlineLevel="1" thickBot="1" x14ac:dyDescent="0.3">
      <c r="A64" s="2187" t="s">
        <v>349</v>
      </c>
      <c r="B64" s="2188" t="s">
        <v>716</v>
      </c>
      <c r="C64" s="2189" t="s">
        <v>350</v>
      </c>
      <c r="D64" s="759" t="s">
        <v>1614</v>
      </c>
      <c r="E64" s="759" t="s">
        <v>18</v>
      </c>
      <c r="F64" s="780" t="s">
        <v>18</v>
      </c>
      <c r="G64" s="782">
        <f>143047-24900</f>
        <v>118147</v>
      </c>
      <c r="H64" s="2190">
        <v>17706.045600000001</v>
      </c>
      <c r="I64" s="2191">
        <v>13853.72956</v>
      </c>
      <c r="J64" s="2192">
        <v>25896.571069999998</v>
      </c>
      <c r="K64" s="2193">
        <v>3713.7006699999997</v>
      </c>
      <c r="L64" s="2194">
        <f>5000+8853.72956</f>
        <v>13853.72956</v>
      </c>
      <c r="M64" s="2194">
        <f>32000-8853.72956+2750.30063</f>
        <v>25896.571070000002</v>
      </c>
      <c r="N64" s="2194">
        <f>38140.9544+300-5000-2750.30063</f>
        <v>30690.653770000001</v>
      </c>
      <c r="O64" s="2195">
        <v>70440.954400000002</v>
      </c>
      <c r="P64" s="2196">
        <v>0</v>
      </c>
      <c r="Q64" s="760">
        <f t="shared" si="4"/>
        <v>70440.954400000002</v>
      </c>
      <c r="R64" s="784">
        <v>0</v>
      </c>
      <c r="S64" s="2197">
        <v>0</v>
      </c>
      <c r="T64" s="2198">
        <v>0</v>
      </c>
      <c r="U64" s="2199">
        <v>30000</v>
      </c>
      <c r="V64" s="779">
        <v>0</v>
      </c>
      <c r="W64" s="2198">
        <v>0</v>
      </c>
      <c r="X64" s="2194">
        <v>0</v>
      </c>
      <c r="Y64" s="2194">
        <v>0</v>
      </c>
      <c r="Z64" s="2194">
        <v>0</v>
      </c>
      <c r="AA64" s="779">
        <v>0</v>
      </c>
      <c r="AB64" s="2169" t="s">
        <v>1782</v>
      </c>
      <c r="AC64" s="759" t="s">
        <v>13</v>
      </c>
      <c r="AD64" s="2200" t="s">
        <v>1783</v>
      </c>
      <c r="AE64" s="2201" t="s">
        <v>92</v>
      </c>
      <c r="AF64" s="761" t="s">
        <v>101</v>
      </c>
      <c r="AG64" s="780" t="s">
        <v>203</v>
      </c>
      <c r="AH64" s="780" t="s">
        <v>973</v>
      </c>
    </row>
    <row r="65" spans="1:34" ht="25.5" outlineLevel="1" x14ac:dyDescent="0.25">
      <c r="A65" s="2650" t="s">
        <v>353</v>
      </c>
      <c r="B65" s="2651" t="s">
        <v>547</v>
      </c>
      <c r="C65" s="2652" t="s">
        <v>354</v>
      </c>
      <c r="D65" s="2703" t="s">
        <v>1615</v>
      </c>
      <c r="E65" s="2703" t="s">
        <v>18</v>
      </c>
      <c r="F65" s="1388" t="s">
        <v>18</v>
      </c>
      <c r="G65" s="2702">
        <f>4122.0927+2037-1529</f>
        <v>4630.0927000000001</v>
      </c>
      <c r="H65" s="2653">
        <v>4122.0927000000001</v>
      </c>
      <c r="I65" s="2654">
        <v>0</v>
      </c>
      <c r="J65" s="2655">
        <v>60.5</v>
      </c>
      <c r="K65" s="2656">
        <v>0</v>
      </c>
      <c r="L65" s="2657">
        <v>0</v>
      </c>
      <c r="M65" s="2658">
        <v>60.5</v>
      </c>
      <c r="N65" s="2659">
        <v>0</v>
      </c>
      <c r="O65" s="2660">
        <v>508</v>
      </c>
      <c r="P65" s="2661">
        <v>-447.5</v>
      </c>
      <c r="Q65" s="2661">
        <f t="shared" si="4"/>
        <v>60.5</v>
      </c>
      <c r="R65" s="2660">
        <f>29+1500-1529</f>
        <v>0</v>
      </c>
      <c r="S65" s="2662">
        <v>0</v>
      </c>
      <c r="T65" s="2657">
        <v>0</v>
      </c>
      <c r="U65" s="2658">
        <v>447.5</v>
      </c>
      <c r="V65" s="2663">
        <v>0</v>
      </c>
      <c r="W65" s="2657">
        <v>0</v>
      </c>
      <c r="X65" s="2658">
        <v>0</v>
      </c>
      <c r="Y65" s="2664">
        <v>0</v>
      </c>
      <c r="Z65" s="2664">
        <v>0</v>
      </c>
      <c r="AA65" s="2663">
        <v>0</v>
      </c>
      <c r="AB65" s="2734" t="s">
        <v>2059</v>
      </c>
      <c r="AC65" s="2703" t="s">
        <v>95</v>
      </c>
      <c r="AD65" s="2665" t="s">
        <v>707</v>
      </c>
      <c r="AE65" s="2666" t="s">
        <v>92</v>
      </c>
      <c r="AF65" s="2667" t="s">
        <v>101</v>
      </c>
      <c r="AG65" s="1388" t="s">
        <v>221</v>
      </c>
      <c r="AH65" s="1388"/>
    </row>
    <row r="66" spans="1:34" s="1176" customFormat="1" ht="38.25" outlineLevel="1" x14ac:dyDescent="0.25">
      <c r="A66" s="1735" t="s">
        <v>355</v>
      </c>
      <c r="B66" s="2215" t="s">
        <v>950</v>
      </c>
      <c r="C66" s="2216" t="s">
        <v>598</v>
      </c>
      <c r="D66" s="157" t="s">
        <v>1615</v>
      </c>
      <c r="E66" s="157" t="s">
        <v>18</v>
      </c>
      <c r="F66" s="1738" t="s">
        <v>18</v>
      </c>
      <c r="G66" s="1048">
        <f>20000-8296-1492.45915+108.37428</f>
        <v>10319.915129999999</v>
      </c>
      <c r="H66" s="2307">
        <v>10211.540849999999</v>
      </c>
      <c r="I66" s="2217">
        <v>0</v>
      </c>
      <c r="J66" s="2218">
        <v>0</v>
      </c>
      <c r="K66" s="2219">
        <v>0</v>
      </c>
      <c r="L66" s="1749">
        <v>0</v>
      </c>
      <c r="M66" s="2223">
        <v>0</v>
      </c>
      <c r="N66" s="1751">
        <v>108.37428</v>
      </c>
      <c r="O66" s="1716">
        <v>0</v>
      </c>
      <c r="P66" s="2220">
        <v>108.37428</v>
      </c>
      <c r="Q66" s="1746">
        <f t="shared" si="4"/>
        <v>108.37428</v>
      </c>
      <c r="R66" s="2221">
        <v>0</v>
      </c>
      <c r="S66" s="2222">
        <v>0</v>
      </c>
      <c r="T66" s="1749">
        <v>0</v>
      </c>
      <c r="U66" s="2223">
        <v>0</v>
      </c>
      <c r="V66" s="1751">
        <v>0</v>
      </c>
      <c r="W66" s="1749">
        <v>0</v>
      </c>
      <c r="X66" s="1750">
        <v>0</v>
      </c>
      <c r="Y66" s="1750">
        <v>0</v>
      </c>
      <c r="Z66" s="1750">
        <v>0</v>
      </c>
      <c r="AA66" s="1751">
        <v>0</v>
      </c>
      <c r="AB66" s="2735" t="s">
        <v>2067</v>
      </c>
      <c r="AC66" s="157" t="s">
        <v>186</v>
      </c>
      <c r="AD66" s="2689" t="s">
        <v>190</v>
      </c>
      <c r="AE66" s="2078" t="s">
        <v>92</v>
      </c>
      <c r="AF66" s="370" t="s">
        <v>101</v>
      </c>
      <c r="AG66" s="1738" t="s">
        <v>216</v>
      </c>
      <c r="AH66" s="1738" t="s">
        <v>972</v>
      </c>
    </row>
    <row r="67" spans="1:34" ht="25.5" outlineLevel="1" x14ac:dyDescent="0.25">
      <c r="A67" s="831" t="s">
        <v>356</v>
      </c>
      <c r="B67" s="799" t="s">
        <v>1533</v>
      </c>
      <c r="C67" s="1338" t="s">
        <v>381</v>
      </c>
      <c r="D67" s="93" t="s">
        <v>1615</v>
      </c>
      <c r="E67" s="93" t="s">
        <v>18</v>
      </c>
      <c r="F67" s="24" t="s">
        <v>18</v>
      </c>
      <c r="G67" s="511">
        <f>7268+583</f>
        <v>7851</v>
      </c>
      <c r="H67" s="209">
        <v>0</v>
      </c>
      <c r="I67" s="1590">
        <v>0</v>
      </c>
      <c r="J67" s="1591">
        <v>4816.6351999999997</v>
      </c>
      <c r="K67" s="1592">
        <v>2261.5463300000001</v>
      </c>
      <c r="L67" s="864">
        <v>0</v>
      </c>
      <c r="M67" s="865">
        <f>7268-448-2003.3648</f>
        <v>4816.6351999999997</v>
      </c>
      <c r="N67" s="500">
        <f>1031+2003.3648</f>
        <v>3034.3648000000003</v>
      </c>
      <c r="O67" s="838">
        <v>7851</v>
      </c>
      <c r="P67" s="849">
        <v>0</v>
      </c>
      <c r="Q67" s="612">
        <f t="shared" si="4"/>
        <v>7851</v>
      </c>
      <c r="R67" s="510">
        <v>0</v>
      </c>
      <c r="S67" s="476">
        <v>0</v>
      </c>
      <c r="T67" s="864">
        <v>0</v>
      </c>
      <c r="U67" s="319">
        <v>0</v>
      </c>
      <c r="V67" s="500">
        <v>0</v>
      </c>
      <c r="W67" s="864">
        <v>0</v>
      </c>
      <c r="X67" s="865">
        <v>0</v>
      </c>
      <c r="Y67" s="865">
        <v>0</v>
      </c>
      <c r="Z67" s="865">
        <v>0</v>
      </c>
      <c r="AA67" s="500">
        <v>0</v>
      </c>
      <c r="AB67" s="2733" t="s">
        <v>84</v>
      </c>
      <c r="AC67" s="93" t="s">
        <v>186</v>
      </c>
      <c r="AD67" s="1272" t="s">
        <v>191</v>
      </c>
      <c r="AE67" s="1273" t="s">
        <v>92</v>
      </c>
      <c r="AF67" s="484" t="s">
        <v>101</v>
      </c>
      <c r="AG67" s="24" t="s">
        <v>211</v>
      </c>
      <c r="AH67" s="24" t="s">
        <v>973</v>
      </c>
    </row>
    <row r="68" spans="1:34" ht="25.5" outlineLevel="1" x14ac:dyDescent="0.25">
      <c r="A68" s="969" t="s">
        <v>358</v>
      </c>
      <c r="B68" s="982" t="s">
        <v>1329</v>
      </c>
      <c r="C68" s="2668" t="s">
        <v>382</v>
      </c>
      <c r="D68" s="245" t="s">
        <v>1615</v>
      </c>
      <c r="E68" s="245" t="s">
        <v>18</v>
      </c>
      <c r="F68" s="723" t="s">
        <v>18</v>
      </c>
      <c r="G68" s="724">
        <f>2350-174-2.83683</f>
        <v>2173.1631699999998</v>
      </c>
      <c r="H68" s="1058">
        <v>0</v>
      </c>
      <c r="I68" s="952">
        <v>2173.1631699999998</v>
      </c>
      <c r="J68" s="953">
        <v>0</v>
      </c>
      <c r="K68" s="2308">
        <v>0</v>
      </c>
      <c r="L68" s="726">
        <f>2176-2.83683</f>
        <v>2173.1631699999998</v>
      </c>
      <c r="M68" s="744">
        <f>0+2.83683-2.83683</f>
        <v>0</v>
      </c>
      <c r="N68" s="728">
        <f>0+2.83683-2.83683</f>
        <v>0</v>
      </c>
      <c r="O68" s="729">
        <v>2176</v>
      </c>
      <c r="P68" s="715">
        <f>0-2.83683</f>
        <v>-2.83683</v>
      </c>
      <c r="Q68" s="971">
        <f t="shared" si="4"/>
        <v>2173.1631699999998</v>
      </c>
      <c r="R68" s="730">
        <v>0</v>
      </c>
      <c r="S68" s="769">
        <v>0</v>
      </c>
      <c r="T68" s="726">
        <v>0</v>
      </c>
      <c r="U68" s="727">
        <v>0</v>
      </c>
      <c r="V68" s="728">
        <v>0</v>
      </c>
      <c r="W68" s="726">
        <v>0</v>
      </c>
      <c r="X68" s="744">
        <v>0</v>
      </c>
      <c r="Y68" s="744">
        <v>0</v>
      </c>
      <c r="Z68" s="744">
        <v>0</v>
      </c>
      <c r="AA68" s="728">
        <v>0</v>
      </c>
      <c r="AB68" s="1075" t="s">
        <v>1314</v>
      </c>
      <c r="AC68" s="245" t="s">
        <v>95</v>
      </c>
      <c r="AD68" s="961" t="s">
        <v>706</v>
      </c>
      <c r="AE68" s="972" t="s">
        <v>92</v>
      </c>
      <c r="AF68" s="286" t="s">
        <v>101</v>
      </c>
      <c r="AG68" s="723" t="s">
        <v>224</v>
      </c>
      <c r="AH68" s="723" t="s">
        <v>972</v>
      </c>
    </row>
    <row r="69" spans="1:34" s="1512" customFormat="1" ht="26.25" outlineLevel="1" thickBot="1" x14ac:dyDescent="0.3">
      <c r="A69" s="1824" t="s">
        <v>359</v>
      </c>
      <c r="B69" s="2284" t="s">
        <v>87</v>
      </c>
      <c r="C69" s="2328" t="s">
        <v>357</v>
      </c>
      <c r="D69" s="643" t="s">
        <v>1615</v>
      </c>
      <c r="E69" s="643" t="s">
        <v>18</v>
      </c>
      <c r="F69" s="1845" t="s">
        <v>18</v>
      </c>
      <c r="G69" s="2286">
        <v>4400</v>
      </c>
      <c r="H69" s="2329">
        <v>0</v>
      </c>
      <c r="I69" s="2288">
        <v>0</v>
      </c>
      <c r="J69" s="2289">
        <v>0</v>
      </c>
      <c r="K69" s="2290">
        <v>0</v>
      </c>
      <c r="L69" s="2291">
        <v>0</v>
      </c>
      <c r="M69" s="1831">
        <v>0</v>
      </c>
      <c r="N69" s="1831">
        <v>4400</v>
      </c>
      <c r="O69" s="1833">
        <v>4000</v>
      </c>
      <c r="P69" s="1925">
        <v>400</v>
      </c>
      <c r="Q69" s="1835">
        <f t="shared" si="4"/>
        <v>4400</v>
      </c>
      <c r="R69" s="2295">
        <v>0</v>
      </c>
      <c r="S69" s="2330">
        <v>0</v>
      </c>
      <c r="T69" s="2291">
        <v>0</v>
      </c>
      <c r="U69" s="2292">
        <v>0</v>
      </c>
      <c r="V69" s="2331">
        <v>0</v>
      </c>
      <c r="W69" s="2291">
        <v>0</v>
      </c>
      <c r="X69" s="1831">
        <v>0</v>
      </c>
      <c r="Y69" s="1831">
        <v>0</v>
      </c>
      <c r="Z69" s="1831">
        <v>0</v>
      </c>
      <c r="AA69" s="2331">
        <v>0</v>
      </c>
      <c r="AB69" s="2736" t="s">
        <v>1784</v>
      </c>
      <c r="AC69" s="643" t="s">
        <v>13</v>
      </c>
      <c r="AD69" s="2332" t="s">
        <v>191</v>
      </c>
      <c r="AE69" s="2333" t="s">
        <v>91</v>
      </c>
      <c r="AF69" s="622" t="s">
        <v>101</v>
      </c>
      <c r="AG69" s="1845" t="s">
        <v>203</v>
      </c>
      <c r="AH69" s="1845" t="s">
        <v>972</v>
      </c>
    </row>
    <row r="70" spans="1:34" ht="25.5" outlineLevel="1" x14ac:dyDescent="0.25">
      <c r="A70" s="831" t="s">
        <v>502</v>
      </c>
      <c r="B70" s="799" t="s">
        <v>1534</v>
      </c>
      <c r="C70" s="1338" t="s">
        <v>503</v>
      </c>
      <c r="D70" s="93" t="s">
        <v>1616</v>
      </c>
      <c r="E70" s="93" t="s">
        <v>18</v>
      </c>
      <c r="F70" s="24" t="s">
        <v>18</v>
      </c>
      <c r="G70" s="511">
        <f>4786+973+301+500</f>
        <v>6560</v>
      </c>
      <c r="H70" s="209">
        <v>0</v>
      </c>
      <c r="I70" s="1590">
        <v>0</v>
      </c>
      <c r="J70" s="1591">
        <v>4927.1434200000003</v>
      </c>
      <c r="K70" s="1592">
        <v>672.15769</v>
      </c>
      <c r="L70" s="864">
        <v>0</v>
      </c>
      <c r="M70" s="865">
        <f>5760+300+500-1632.85658</f>
        <v>4927.1434200000003</v>
      </c>
      <c r="N70" s="500">
        <f>0+1632.85658</f>
        <v>1632.8565799999999</v>
      </c>
      <c r="O70" s="838">
        <v>6560</v>
      </c>
      <c r="P70" s="849">
        <v>0</v>
      </c>
      <c r="Q70" s="612">
        <f t="shared" si="4"/>
        <v>6560</v>
      </c>
      <c r="R70" s="510">
        <v>0</v>
      </c>
      <c r="S70" s="476">
        <v>0</v>
      </c>
      <c r="T70" s="864">
        <v>0</v>
      </c>
      <c r="U70" s="319">
        <v>0</v>
      </c>
      <c r="V70" s="500">
        <v>0</v>
      </c>
      <c r="W70" s="864">
        <v>0</v>
      </c>
      <c r="X70" s="865">
        <v>0</v>
      </c>
      <c r="Y70" s="865">
        <v>0</v>
      </c>
      <c r="Z70" s="865">
        <v>0</v>
      </c>
      <c r="AA70" s="500">
        <v>0</v>
      </c>
      <c r="AB70" s="2733" t="s">
        <v>1671</v>
      </c>
      <c r="AC70" s="93" t="s">
        <v>186</v>
      </c>
      <c r="AD70" s="1272" t="s">
        <v>191</v>
      </c>
      <c r="AE70" s="1273" t="s">
        <v>92</v>
      </c>
      <c r="AF70" s="484" t="s">
        <v>101</v>
      </c>
      <c r="AG70" s="24" t="s">
        <v>205</v>
      </c>
      <c r="AH70" s="24" t="s">
        <v>973</v>
      </c>
    </row>
    <row r="71" spans="1:34" s="657" customFormat="1" ht="25.5" outlineLevel="1" x14ac:dyDescent="0.25">
      <c r="A71" s="929" t="s">
        <v>504</v>
      </c>
      <c r="B71" s="733" t="s">
        <v>946</v>
      </c>
      <c r="C71" s="1395" t="s">
        <v>505</v>
      </c>
      <c r="D71" s="204" t="s">
        <v>1616</v>
      </c>
      <c r="E71" s="204" t="s">
        <v>18</v>
      </c>
      <c r="F71" s="718" t="s">
        <v>18</v>
      </c>
      <c r="G71" s="747">
        <f>4947-0.86576</f>
        <v>4946.1342400000003</v>
      </c>
      <c r="H71" s="1061">
        <v>2976.45946</v>
      </c>
      <c r="I71" s="974">
        <v>0</v>
      </c>
      <c r="J71" s="975">
        <v>1969.6747800000001</v>
      </c>
      <c r="K71" s="1236">
        <v>0</v>
      </c>
      <c r="L71" s="734">
        <v>0</v>
      </c>
      <c r="M71" s="735">
        <v>1969.6747800000001</v>
      </c>
      <c r="N71" s="739">
        <v>0</v>
      </c>
      <c r="O71" s="935">
        <v>1970.54054</v>
      </c>
      <c r="P71" s="936">
        <v>-0.86575999999999997</v>
      </c>
      <c r="Q71" s="716">
        <f t="shared" si="4"/>
        <v>1969.6747800000001</v>
      </c>
      <c r="R71" s="104">
        <v>0</v>
      </c>
      <c r="S71" s="524">
        <v>0</v>
      </c>
      <c r="T71" s="498">
        <v>0</v>
      </c>
      <c r="U71" s="235">
        <v>0</v>
      </c>
      <c r="V71" s="105">
        <v>0</v>
      </c>
      <c r="W71" s="498">
        <v>0</v>
      </c>
      <c r="X71" s="469">
        <v>0</v>
      </c>
      <c r="Y71" s="469">
        <v>0</v>
      </c>
      <c r="Z71" s="469">
        <v>0</v>
      </c>
      <c r="AA71" s="105">
        <v>0</v>
      </c>
      <c r="AB71" s="1916" t="s">
        <v>131</v>
      </c>
      <c r="AC71" s="204" t="s">
        <v>95</v>
      </c>
      <c r="AD71" s="165" t="s">
        <v>706</v>
      </c>
      <c r="AE71" s="106" t="s">
        <v>92</v>
      </c>
      <c r="AF71" s="26" t="s">
        <v>101</v>
      </c>
      <c r="AG71" s="28" t="s">
        <v>222</v>
      </c>
      <c r="AH71" s="28" t="s">
        <v>973</v>
      </c>
    </row>
    <row r="72" spans="1:34" ht="31.5" outlineLevel="1" x14ac:dyDescent="0.25">
      <c r="A72" s="802" t="s">
        <v>506</v>
      </c>
      <c r="B72" s="798" t="s">
        <v>1328</v>
      </c>
      <c r="C72" s="1337" t="s">
        <v>672</v>
      </c>
      <c r="D72" s="95" t="s">
        <v>1616</v>
      </c>
      <c r="E72" s="95" t="s">
        <v>18</v>
      </c>
      <c r="F72" s="514" t="s">
        <v>18</v>
      </c>
      <c r="G72" s="96">
        <f>15716-51</f>
        <v>15665</v>
      </c>
      <c r="H72" s="163">
        <v>0</v>
      </c>
      <c r="I72" s="1593">
        <v>15145.84369</v>
      </c>
      <c r="J72" s="1594">
        <v>308.66519</v>
      </c>
      <c r="K72" s="1595">
        <v>0</v>
      </c>
      <c r="L72" s="803">
        <f>665+14480.84369</f>
        <v>15145.84369</v>
      </c>
      <c r="M72" s="698">
        <f>15000-14480.84369-210.49112</f>
        <v>308.66519000000028</v>
      </c>
      <c r="N72" s="513">
        <f>0+210.49112</f>
        <v>210.49112</v>
      </c>
      <c r="O72" s="841">
        <v>15665</v>
      </c>
      <c r="P72" s="851">
        <v>0</v>
      </c>
      <c r="Q72" s="613">
        <f t="shared" si="4"/>
        <v>15665</v>
      </c>
      <c r="R72" s="519">
        <v>0</v>
      </c>
      <c r="S72" s="878">
        <v>0</v>
      </c>
      <c r="T72" s="803">
        <v>0</v>
      </c>
      <c r="U72" s="470">
        <v>0</v>
      </c>
      <c r="V72" s="513">
        <v>0</v>
      </c>
      <c r="W72" s="803">
        <v>0</v>
      </c>
      <c r="X72" s="698">
        <v>0</v>
      </c>
      <c r="Y72" s="698">
        <v>0</v>
      </c>
      <c r="Z72" s="698">
        <v>0</v>
      </c>
      <c r="AA72" s="513">
        <v>0</v>
      </c>
      <c r="AB72" s="2733" t="s">
        <v>1124</v>
      </c>
      <c r="AC72" s="95" t="s">
        <v>186</v>
      </c>
      <c r="AD72" s="789" t="s">
        <v>190</v>
      </c>
      <c r="AE72" s="685" t="s">
        <v>92</v>
      </c>
      <c r="AF72" s="515" t="s">
        <v>101</v>
      </c>
      <c r="AG72" s="514" t="s">
        <v>218</v>
      </c>
      <c r="AH72" s="514" t="s">
        <v>972</v>
      </c>
    </row>
    <row r="73" spans="1:34" ht="25.5" outlineLevel="1" x14ac:dyDescent="0.25">
      <c r="A73" s="802" t="s">
        <v>507</v>
      </c>
      <c r="B73" s="798" t="s">
        <v>87</v>
      </c>
      <c r="C73" s="1337" t="s">
        <v>508</v>
      </c>
      <c r="D73" s="95" t="s">
        <v>1616</v>
      </c>
      <c r="E73" s="95" t="s">
        <v>18</v>
      </c>
      <c r="F73" s="514" t="s">
        <v>18</v>
      </c>
      <c r="G73" s="96">
        <f>13400+48600</f>
        <v>62000</v>
      </c>
      <c r="H73" s="163">
        <v>0</v>
      </c>
      <c r="I73" s="1593">
        <v>0</v>
      </c>
      <c r="J73" s="1594">
        <v>0</v>
      </c>
      <c r="K73" s="1595">
        <v>0</v>
      </c>
      <c r="L73" s="803">
        <v>0</v>
      </c>
      <c r="M73" s="470">
        <v>0</v>
      </c>
      <c r="N73" s="513">
        <v>0</v>
      </c>
      <c r="O73" s="841">
        <v>0</v>
      </c>
      <c r="P73" s="851">
        <v>0</v>
      </c>
      <c r="Q73" s="613">
        <f t="shared" si="4"/>
        <v>0</v>
      </c>
      <c r="R73" s="519">
        <v>40000</v>
      </c>
      <c r="S73" s="878">
        <v>22000</v>
      </c>
      <c r="T73" s="803">
        <v>0</v>
      </c>
      <c r="U73" s="470">
        <v>0</v>
      </c>
      <c r="V73" s="513">
        <v>0</v>
      </c>
      <c r="W73" s="803">
        <v>0</v>
      </c>
      <c r="X73" s="698">
        <v>0</v>
      </c>
      <c r="Y73" s="698">
        <v>0</v>
      </c>
      <c r="Z73" s="698">
        <v>0</v>
      </c>
      <c r="AA73" s="513">
        <v>0</v>
      </c>
      <c r="AB73" s="2733" t="s">
        <v>1672</v>
      </c>
      <c r="AC73" s="95" t="s">
        <v>11</v>
      </c>
      <c r="AD73" s="789" t="s">
        <v>707</v>
      </c>
      <c r="AE73" s="685" t="s">
        <v>91</v>
      </c>
      <c r="AF73" s="515" t="s">
        <v>102</v>
      </c>
      <c r="AG73" s="514" t="s">
        <v>206</v>
      </c>
      <c r="AH73" s="514" t="s">
        <v>972</v>
      </c>
    </row>
    <row r="74" spans="1:34" ht="25.5" outlineLevel="1" x14ac:dyDescent="0.25">
      <c r="A74" s="57" t="s">
        <v>509</v>
      </c>
      <c r="B74" s="49" t="s">
        <v>948</v>
      </c>
      <c r="C74" s="1130" t="s">
        <v>510</v>
      </c>
      <c r="D74" s="27" t="s">
        <v>1616</v>
      </c>
      <c r="E74" s="27" t="s">
        <v>18</v>
      </c>
      <c r="F74" s="28" t="s">
        <v>18</v>
      </c>
      <c r="G74" s="7">
        <v>9381.63328</v>
      </c>
      <c r="H74" s="1059">
        <v>7275</v>
      </c>
      <c r="I74" s="790">
        <v>0</v>
      </c>
      <c r="J74" s="791">
        <v>2106.63328</v>
      </c>
      <c r="K74" s="1214">
        <v>0</v>
      </c>
      <c r="L74" s="498">
        <f>2109-2109</f>
        <v>0</v>
      </c>
      <c r="M74" s="235">
        <v>2106.63328</v>
      </c>
      <c r="N74" s="105">
        <v>0</v>
      </c>
      <c r="O74" s="712">
        <v>2109</v>
      </c>
      <c r="P74" s="558">
        <v>-2.3667199999999999</v>
      </c>
      <c r="Q74" s="535">
        <f t="shared" si="4"/>
        <v>2106.63328</v>
      </c>
      <c r="R74" s="104">
        <v>0</v>
      </c>
      <c r="S74" s="524">
        <v>0</v>
      </c>
      <c r="T74" s="498">
        <v>0</v>
      </c>
      <c r="U74" s="235">
        <v>0</v>
      </c>
      <c r="V74" s="105">
        <v>0</v>
      </c>
      <c r="W74" s="498">
        <v>0</v>
      </c>
      <c r="X74" s="469">
        <v>0</v>
      </c>
      <c r="Y74" s="469">
        <v>0</v>
      </c>
      <c r="Z74" s="469">
        <v>0</v>
      </c>
      <c r="AA74" s="105">
        <v>0</v>
      </c>
      <c r="AB74" s="2737" t="s">
        <v>84</v>
      </c>
      <c r="AC74" s="27" t="s">
        <v>95</v>
      </c>
      <c r="AD74" s="165" t="s">
        <v>315</v>
      </c>
      <c r="AE74" s="106" t="s">
        <v>92</v>
      </c>
      <c r="AF74" s="26" t="s">
        <v>101</v>
      </c>
      <c r="AG74" s="28" t="s">
        <v>204</v>
      </c>
      <c r="AH74" s="28" t="s">
        <v>973</v>
      </c>
    </row>
    <row r="75" spans="1:34" ht="25.5" outlineLevel="1" x14ac:dyDescent="0.25">
      <c r="A75" s="57" t="s">
        <v>511</v>
      </c>
      <c r="B75" s="49" t="s">
        <v>951</v>
      </c>
      <c r="C75" s="1130" t="s">
        <v>512</v>
      </c>
      <c r="D75" s="27" t="s">
        <v>1616</v>
      </c>
      <c r="E75" s="27" t="s">
        <v>18</v>
      </c>
      <c r="F75" s="28" t="s">
        <v>18</v>
      </c>
      <c r="G75" s="7">
        <v>3835.2077800000002</v>
      </c>
      <c r="H75" s="1059">
        <v>3797</v>
      </c>
      <c r="I75" s="790">
        <v>0</v>
      </c>
      <c r="J75" s="791">
        <v>38.20778</v>
      </c>
      <c r="K75" s="1214">
        <v>0</v>
      </c>
      <c r="L75" s="498">
        <f>39-39</f>
        <v>0</v>
      </c>
      <c r="M75" s="235">
        <v>38.20778</v>
      </c>
      <c r="N75" s="105">
        <v>0</v>
      </c>
      <c r="O75" s="712">
        <v>39</v>
      </c>
      <c r="P75" s="558">
        <v>-0.79222000000000004</v>
      </c>
      <c r="Q75" s="535">
        <f t="shared" si="4"/>
        <v>38.20778</v>
      </c>
      <c r="R75" s="104">
        <v>0</v>
      </c>
      <c r="S75" s="524">
        <v>0</v>
      </c>
      <c r="T75" s="498">
        <v>0</v>
      </c>
      <c r="U75" s="235">
        <v>0</v>
      </c>
      <c r="V75" s="105">
        <v>0</v>
      </c>
      <c r="W75" s="498">
        <v>0</v>
      </c>
      <c r="X75" s="469">
        <v>0</v>
      </c>
      <c r="Y75" s="469">
        <v>0</v>
      </c>
      <c r="Z75" s="469">
        <v>0</v>
      </c>
      <c r="AA75" s="105">
        <v>0</v>
      </c>
      <c r="AB75" s="1074" t="s">
        <v>84</v>
      </c>
      <c r="AC75" s="27" t="s">
        <v>95</v>
      </c>
      <c r="AD75" s="165" t="s">
        <v>315</v>
      </c>
      <c r="AE75" s="106" t="s">
        <v>92</v>
      </c>
      <c r="AF75" s="26" t="s">
        <v>101</v>
      </c>
      <c r="AG75" s="28" t="s">
        <v>204</v>
      </c>
      <c r="AH75" s="28" t="s">
        <v>972</v>
      </c>
    </row>
    <row r="76" spans="1:34" ht="25.5" outlineLevel="1" x14ac:dyDescent="0.25">
      <c r="A76" s="57" t="s">
        <v>513</v>
      </c>
      <c r="B76" s="49" t="s">
        <v>1334</v>
      </c>
      <c r="C76" s="1130" t="s">
        <v>514</v>
      </c>
      <c r="D76" s="27" t="s">
        <v>1616</v>
      </c>
      <c r="E76" s="27" t="s">
        <v>18</v>
      </c>
      <c r="F76" s="28" t="s">
        <v>18</v>
      </c>
      <c r="G76" s="7">
        <f>7684-152-0.234</f>
        <v>7531.7659999999996</v>
      </c>
      <c r="H76" s="1059">
        <v>0</v>
      </c>
      <c r="I76" s="790">
        <v>0</v>
      </c>
      <c r="J76" s="791">
        <v>7531.7659999999996</v>
      </c>
      <c r="K76" s="1214">
        <v>0</v>
      </c>
      <c r="L76" s="498">
        <v>0</v>
      </c>
      <c r="M76" s="235">
        <v>7531.7659999999996</v>
      </c>
      <c r="N76" s="105">
        <v>0</v>
      </c>
      <c r="O76" s="712">
        <v>7531.7659999999996</v>
      </c>
      <c r="P76" s="558">
        <v>0</v>
      </c>
      <c r="Q76" s="535">
        <f t="shared" si="4"/>
        <v>7531.7659999999996</v>
      </c>
      <c r="R76" s="104">
        <v>0</v>
      </c>
      <c r="S76" s="524">
        <v>0</v>
      </c>
      <c r="T76" s="498">
        <v>0</v>
      </c>
      <c r="U76" s="235">
        <v>0</v>
      </c>
      <c r="V76" s="105">
        <v>0</v>
      </c>
      <c r="W76" s="498">
        <v>0</v>
      </c>
      <c r="X76" s="469">
        <v>0</v>
      </c>
      <c r="Y76" s="469">
        <v>0</v>
      </c>
      <c r="Z76" s="469">
        <v>0</v>
      </c>
      <c r="AA76" s="105">
        <v>0</v>
      </c>
      <c r="AB76" s="2737" t="s">
        <v>84</v>
      </c>
      <c r="AC76" s="27" t="s">
        <v>95</v>
      </c>
      <c r="AD76" s="165" t="s">
        <v>315</v>
      </c>
      <c r="AE76" s="106" t="s">
        <v>92</v>
      </c>
      <c r="AF76" s="26" t="s">
        <v>101</v>
      </c>
      <c r="AG76" s="28" t="s">
        <v>203</v>
      </c>
      <c r="AH76" s="28" t="s">
        <v>972</v>
      </c>
    </row>
    <row r="77" spans="1:34" ht="25.5" outlineLevel="1" x14ac:dyDescent="0.25">
      <c r="A77" s="57" t="s">
        <v>515</v>
      </c>
      <c r="B77" s="49" t="s">
        <v>2065</v>
      </c>
      <c r="C77" s="1130" t="s">
        <v>516</v>
      </c>
      <c r="D77" s="27" t="s">
        <v>1616</v>
      </c>
      <c r="E77" s="27" t="s">
        <v>18</v>
      </c>
      <c r="F77" s="28" t="s">
        <v>18</v>
      </c>
      <c r="G77" s="7">
        <f>10721-196-0.42</f>
        <v>10524.58</v>
      </c>
      <c r="H77" s="1059">
        <v>0</v>
      </c>
      <c r="I77" s="790">
        <v>0</v>
      </c>
      <c r="J77" s="791">
        <v>10524.58</v>
      </c>
      <c r="K77" s="1214">
        <v>0</v>
      </c>
      <c r="L77" s="498">
        <v>0</v>
      </c>
      <c r="M77" s="469">
        <f>10525-0.42</f>
        <v>10524.58</v>
      </c>
      <c r="N77" s="105">
        <v>0</v>
      </c>
      <c r="O77" s="712">
        <v>10525</v>
      </c>
      <c r="P77" s="558">
        <v>-0.42</v>
      </c>
      <c r="Q77" s="535">
        <f t="shared" si="4"/>
        <v>10524.58</v>
      </c>
      <c r="R77" s="104">
        <v>0</v>
      </c>
      <c r="S77" s="524">
        <v>0</v>
      </c>
      <c r="T77" s="498">
        <v>0</v>
      </c>
      <c r="U77" s="235">
        <v>0</v>
      </c>
      <c r="V77" s="105">
        <v>0</v>
      </c>
      <c r="W77" s="498">
        <v>0</v>
      </c>
      <c r="X77" s="469">
        <v>0</v>
      </c>
      <c r="Y77" s="469">
        <v>0</v>
      </c>
      <c r="Z77" s="469">
        <v>0</v>
      </c>
      <c r="AA77" s="105">
        <v>0</v>
      </c>
      <c r="AB77" s="2737" t="s">
        <v>1426</v>
      </c>
      <c r="AC77" s="27" t="s">
        <v>95</v>
      </c>
      <c r="AD77" s="165" t="s">
        <v>315</v>
      </c>
      <c r="AE77" s="106" t="s">
        <v>92</v>
      </c>
      <c r="AF77" s="26" t="s">
        <v>101</v>
      </c>
      <c r="AG77" s="28" t="s">
        <v>203</v>
      </c>
      <c r="AH77" s="28" t="s">
        <v>972</v>
      </c>
    </row>
    <row r="78" spans="1:34" s="1517" customFormat="1" ht="26.25" outlineLevel="1" thickBot="1" x14ac:dyDescent="0.3">
      <c r="A78" s="76" t="s">
        <v>517</v>
      </c>
      <c r="B78" s="206" t="s">
        <v>943</v>
      </c>
      <c r="C78" s="1343" t="s">
        <v>518</v>
      </c>
      <c r="D78" s="73" t="s">
        <v>1616</v>
      </c>
      <c r="E78" s="73" t="s">
        <v>18</v>
      </c>
      <c r="F78" s="160" t="s">
        <v>18</v>
      </c>
      <c r="G78" s="77">
        <v>9194.2353399999993</v>
      </c>
      <c r="H78" s="821">
        <v>9018.5433400000002</v>
      </c>
      <c r="I78" s="822">
        <v>175.69200000000001</v>
      </c>
      <c r="J78" s="823">
        <v>0</v>
      </c>
      <c r="K78" s="824">
        <v>0</v>
      </c>
      <c r="L78" s="547">
        <v>175.69200000000001</v>
      </c>
      <c r="M78" s="474">
        <f>0+0.76466-0.76466</f>
        <v>0</v>
      </c>
      <c r="N78" s="207">
        <v>0</v>
      </c>
      <c r="O78" s="417">
        <v>175.69200000000001</v>
      </c>
      <c r="P78" s="556">
        <v>0</v>
      </c>
      <c r="Q78" s="532">
        <f t="shared" si="4"/>
        <v>175.69200000000001</v>
      </c>
      <c r="R78" s="440">
        <v>0</v>
      </c>
      <c r="S78" s="548">
        <v>0</v>
      </c>
      <c r="T78" s="547">
        <v>0</v>
      </c>
      <c r="U78" s="474">
        <v>0</v>
      </c>
      <c r="V78" s="207">
        <v>0</v>
      </c>
      <c r="W78" s="547">
        <v>0</v>
      </c>
      <c r="X78" s="473">
        <v>0</v>
      </c>
      <c r="Y78" s="473">
        <v>0</v>
      </c>
      <c r="Z78" s="473">
        <v>0</v>
      </c>
      <c r="AA78" s="207">
        <v>0</v>
      </c>
      <c r="AB78" s="2738" t="s">
        <v>84</v>
      </c>
      <c r="AC78" s="73" t="s">
        <v>95</v>
      </c>
      <c r="AD78" s="78" t="s">
        <v>706</v>
      </c>
      <c r="AE78" s="162" t="s">
        <v>92</v>
      </c>
      <c r="AF78" s="78" t="s">
        <v>101</v>
      </c>
      <c r="AG78" s="160" t="s">
        <v>223</v>
      </c>
      <c r="AH78" s="160" t="s">
        <v>973</v>
      </c>
    </row>
    <row r="79" spans="1:34" s="1176" customFormat="1" ht="25.5" outlineLevel="1" x14ac:dyDescent="0.25">
      <c r="A79" s="1707" t="s">
        <v>599</v>
      </c>
      <c r="B79" s="2334" t="s">
        <v>717</v>
      </c>
      <c r="C79" s="2335" t="s">
        <v>600</v>
      </c>
      <c r="D79" s="639" t="s">
        <v>1498</v>
      </c>
      <c r="E79" s="639" t="s">
        <v>18</v>
      </c>
      <c r="F79" s="1710" t="s">
        <v>18</v>
      </c>
      <c r="G79" s="795">
        <f>14000-162+1022</f>
        <v>14860</v>
      </c>
      <c r="H79" s="2336">
        <v>2577.8123599999999</v>
      </c>
      <c r="I79" s="2337">
        <v>5655.38076</v>
      </c>
      <c r="J79" s="2338">
        <v>3435.0899899999999</v>
      </c>
      <c r="K79" s="2339">
        <v>0</v>
      </c>
      <c r="L79" s="1720">
        <f>0+5655.38076</f>
        <v>5655.38076</v>
      </c>
      <c r="M79" s="1721">
        <f>10286+0.18764-5655.38076-1195.71689</f>
        <v>3435.0899900000004</v>
      </c>
      <c r="N79" s="1125">
        <f>1022+1195.71689</f>
        <v>2217.7168899999997</v>
      </c>
      <c r="O79" s="1716">
        <v>10286.18764</v>
      </c>
      <c r="P79" s="2340">
        <v>1022</v>
      </c>
      <c r="Q79" s="1718">
        <f t="shared" si="4"/>
        <v>11308.18764</v>
      </c>
      <c r="R79" s="2341">
        <v>0</v>
      </c>
      <c r="S79" s="2342">
        <v>0</v>
      </c>
      <c r="T79" s="1720">
        <v>0</v>
      </c>
      <c r="U79" s="2343">
        <v>974</v>
      </c>
      <c r="V79" s="1125">
        <v>0</v>
      </c>
      <c r="W79" s="1720">
        <v>0</v>
      </c>
      <c r="X79" s="1721">
        <v>0</v>
      </c>
      <c r="Y79" s="1721">
        <v>0</v>
      </c>
      <c r="Z79" s="1721">
        <v>0</v>
      </c>
      <c r="AA79" s="1125">
        <v>0</v>
      </c>
      <c r="AB79" s="2739" t="s">
        <v>1785</v>
      </c>
      <c r="AC79" s="639" t="s">
        <v>186</v>
      </c>
      <c r="AD79" s="2344" t="s">
        <v>191</v>
      </c>
      <c r="AE79" s="2345" t="s">
        <v>92</v>
      </c>
      <c r="AF79" s="375" t="s">
        <v>101</v>
      </c>
      <c r="AG79" s="1710" t="s">
        <v>796</v>
      </c>
      <c r="AH79" s="1710" t="s">
        <v>972</v>
      </c>
    </row>
    <row r="80" spans="1:34" ht="25.5" outlineLevel="1" x14ac:dyDescent="0.25">
      <c r="A80" s="1242" t="s">
        <v>601</v>
      </c>
      <c r="B80" s="1051" t="s">
        <v>797</v>
      </c>
      <c r="C80" s="1243" t="s">
        <v>602</v>
      </c>
      <c r="D80" s="382" t="s">
        <v>1498</v>
      </c>
      <c r="E80" s="382" t="s">
        <v>18</v>
      </c>
      <c r="F80" s="1052" t="s">
        <v>18</v>
      </c>
      <c r="G80" s="1053">
        <f>18002+6000+726</f>
        <v>24728</v>
      </c>
      <c r="H80" s="1244">
        <v>726</v>
      </c>
      <c r="I80" s="1245">
        <v>0</v>
      </c>
      <c r="J80" s="1246">
        <v>423.5</v>
      </c>
      <c r="K80" s="1247">
        <v>0</v>
      </c>
      <c r="L80" s="1055">
        <f>23000-23000</f>
        <v>0</v>
      </c>
      <c r="M80" s="1056">
        <v>423.5</v>
      </c>
      <c r="N80" s="1268">
        <v>0</v>
      </c>
      <c r="O80" s="1248">
        <v>24002</v>
      </c>
      <c r="P80" s="1054">
        <f>-24002+423.5</f>
        <v>-23578.5</v>
      </c>
      <c r="Q80" s="1249">
        <f t="shared" si="4"/>
        <v>423.5</v>
      </c>
      <c r="R80" s="1248">
        <v>0</v>
      </c>
      <c r="S80" s="1250">
        <v>0</v>
      </c>
      <c r="T80" s="1055">
        <v>0</v>
      </c>
      <c r="U80" s="1056">
        <f>24002-423.5</f>
        <v>23578.5</v>
      </c>
      <c r="V80" s="1251">
        <v>0</v>
      </c>
      <c r="W80" s="1055">
        <v>0</v>
      </c>
      <c r="X80" s="1056">
        <v>0</v>
      </c>
      <c r="Y80" s="1252">
        <v>0</v>
      </c>
      <c r="Z80" s="1252">
        <v>0</v>
      </c>
      <c r="AA80" s="1251">
        <v>0</v>
      </c>
      <c r="AB80" s="2740" t="s">
        <v>1786</v>
      </c>
      <c r="AC80" s="382" t="s">
        <v>95</v>
      </c>
      <c r="AD80" s="1253" t="s">
        <v>321</v>
      </c>
      <c r="AE80" s="1254" t="s">
        <v>92</v>
      </c>
      <c r="AF80" s="1057" t="s">
        <v>101</v>
      </c>
      <c r="AG80" s="1052" t="s">
        <v>207</v>
      </c>
      <c r="AH80" s="1454"/>
    </row>
    <row r="81" spans="1:34" ht="25.5" outlineLevel="1" x14ac:dyDescent="0.25">
      <c r="A81" s="802" t="s">
        <v>603</v>
      </c>
      <c r="B81" s="798" t="s">
        <v>940</v>
      </c>
      <c r="C81" s="1337" t="s">
        <v>826</v>
      </c>
      <c r="D81" s="95" t="s">
        <v>1498</v>
      </c>
      <c r="E81" s="95" t="s">
        <v>18</v>
      </c>
      <c r="F81" s="514" t="s">
        <v>18</v>
      </c>
      <c r="G81" s="96">
        <f>19000+1776</f>
        <v>20776</v>
      </c>
      <c r="H81" s="163">
        <v>2676.2179799999994</v>
      </c>
      <c r="I81" s="1593">
        <v>0</v>
      </c>
      <c r="J81" s="1594">
        <v>10245.245719999999</v>
      </c>
      <c r="K81" s="1595">
        <v>4838.0702700000002</v>
      </c>
      <c r="L81" s="803">
        <f>6000-6000</f>
        <v>0</v>
      </c>
      <c r="M81" s="698">
        <f>10323.78202+6000-6078.5363</f>
        <v>10245.245720000001</v>
      </c>
      <c r="N81" s="513">
        <f>1776+6078.5363</f>
        <v>7854.5362999999998</v>
      </c>
      <c r="O81" s="841">
        <v>18099.782019999999</v>
      </c>
      <c r="P81" s="851">
        <v>0</v>
      </c>
      <c r="Q81" s="613">
        <f>O81+P81</f>
        <v>18099.782019999999</v>
      </c>
      <c r="R81" s="519">
        <v>0</v>
      </c>
      <c r="S81" s="878">
        <v>0</v>
      </c>
      <c r="T81" s="803">
        <v>0</v>
      </c>
      <c r="U81" s="470">
        <v>0</v>
      </c>
      <c r="V81" s="513">
        <v>0</v>
      </c>
      <c r="W81" s="803">
        <v>15394</v>
      </c>
      <c r="X81" s="698">
        <v>0</v>
      </c>
      <c r="Y81" s="698">
        <v>15083.315989999999</v>
      </c>
      <c r="Z81" s="698">
        <v>15394</v>
      </c>
      <c r="AA81" s="513">
        <v>0</v>
      </c>
      <c r="AB81" s="1488" t="s">
        <v>1787</v>
      </c>
      <c r="AC81" s="95" t="s">
        <v>186</v>
      </c>
      <c r="AD81" s="1272" t="s">
        <v>191</v>
      </c>
      <c r="AE81" s="685" t="s">
        <v>92</v>
      </c>
      <c r="AF81" s="515" t="s">
        <v>101</v>
      </c>
      <c r="AG81" s="514" t="s">
        <v>796</v>
      </c>
      <c r="AH81" s="514" t="s">
        <v>973</v>
      </c>
    </row>
    <row r="82" spans="1:34" ht="25.5" outlineLevel="1" x14ac:dyDescent="0.25">
      <c r="A82" s="802" t="s">
        <v>604</v>
      </c>
      <c r="B82" s="798" t="s">
        <v>942</v>
      </c>
      <c r="C82" s="1337" t="s">
        <v>605</v>
      </c>
      <c r="D82" s="95" t="s">
        <v>1498</v>
      </c>
      <c r="E82" s="95" t="s">
        <v>18</v>
      </c>
      <c r="F82" s="514" t="s">
        <v>18</v>
      </c>
      <c r="G82" s="96">
        <v>8006</v>
      </c>
      <c r="H82" s="163">
        <v>6299.5396300000002</v>
      </c>
      <c r="I82" s="1593">
        <v>0</v>
      </c>
      <c r="J82" s="1594">
        <v>0</v>
      </c>
      <c r="K82" s="1595">
        <v>0</v>
      </c>
      <c r="L82" s="803">
        <v>0</v>
      </c>
      <c r="M82" s="698">
        <f>1706.46037-1706.46037</f>
        <v>0</v>
      </c>
      <c r="N82" s="513">
        <f>0+1706.46037</f>
        <v>1706.46037</v>
      </c>
      <c r="O82" s="841">
        <v>1706.4603699999998</v>
      </c>
      <c r="P82" s="851">
        <v>0</v>
      </c>
      <c r="Q82" s="613">
        <f t="shared" si="4"/>
        <v>1706.4603699999998</v>
      </c>
      <c r="R82" s="519">
        <v>0</v>
      </c>
      <c r="S82" s="878">
        <v>0</v>
      </c>
      <c r="T82" s="803">
        <v>0</v>
      </c>
      <c r="U82" s="470">
        <v>0</v>
      </c>
      <c r="V82" s="513">
        <v>0</v>
      </c>
      <c r="W82" s="803">
        <v>0</v>
      </c>
      <c r="X82" s="698">
        <v>0</v>
      </c>
      <c r="Y82" s="698">
        <v>0</v>
      </c>
      <c r="Z82" s="698">
        <v>0</v>
      </c>
      <c r="AA82" s="513">
        <v>0</v>
      </c>
      <c r="AB82" s="2733" t="s">
        <v>84</v>
      </c>
      <c r="AC82" s="95" t="s">
        <v>186</v>
      </c>
      <c r="AD82" s="1272" t="s">
        <v>191</v>
      </c>
      <c r="AE82" s="685" t="s">
        <v>92</v>
      </c>
      <c r="AF82" s="515" t="s">
        <v>101</v>
      </c>
      <c r="AG82" s="514" t="s">
        <v>206</v>
      </c>
      <c r="AH82" s="514" t="s">
        <v>972</v>
      </c>
    </row>
    <row r="83" spans="1:34" ht="25.5" outlineLevel="1" x14ac:dyDescent="0.25">
      <c r="A83" s="802" t="s">
        <v>606</v>
      </c>
      <c r="B83" s="798" t="s">
        <v>1410</v>
      </c>
      <c r="C83" s="1337" t="s">
        <v>1151</v>
      </c>
      <c r="D83" s="95" t="s">
        <v>1498</v>
      </c>
      <c r="E83" s="95" t="s">
        <v>18</v>
      </c>
      <c r="F83" s="514" t="s">
        <v>18</v>
      </c>
      <c r="G83" s="96">
        <v>3575</v>
      </c>
      <c r="H83" s="163">
        <v>0</v>
      </c>
      <c r="I83" s="1593">
        <v>0</v>
      </c>
      <c r="J83" s="1594">
        <v>2239.0316400000002</v>
      </c>
      <c r="K83" s="1595">
        <v>1320.5533399999999</v>
      </c>
      <c r="L83" s="803">
        <f>600-600</f>
        <v>0</v>
      </c>
      <c r="M83" s="698">
        <f>3575-600+600-1335.96836</f>
        <v>2239.0316400000002</v>
      </c>
      <c r="N83" s="513">
        <f>0+1335.96836</f>
        <v>1335.9683600000001</v>
      </c>
      <c r="O83" s="841">
        <v>3575</v>
      </c>
      <c r="P83" s="851">
        <v>0</v>
      </c>
      <c r="Q83" s="613">
        <f t="shared" si="4"/>
        <v>3575</v>
      </c>
      <c r="R83" s="519">
        <v>0</v>
      </c>
      <c r="S83" s="878">
        <v>0</v>
      </c>
      <c r="T83" s="803">
        <v>0</v>
      </c>
      <c r="U83" s="470">
        <v>0</v>
      </c>
      <c r="V83" s="513">
        <v>0</v>
      </c>
      <c r="W83" s="803">
        <v>0</v>
      </c>
      <c r="X83" s="698">
        <v>0</v>
      </c>
      <c r="Y83" s="698">
        <v>0</v>
      </c>
      <c r="Z83" s="698">
        <v>0</v>
      </c>
      <c r="AA83" s="513">
        <v>0</v>
      </c>
      <c r="AB83" s="1488" t="s">
        <v>84</v>
      </c>
      <c r="AC83" s="95" t="s">
        <v>186</v>
      </c>
      <c r="AD83" s="1272" t="s">
        <v>191</v>
      </c>
      <c r="AE83" s="685" t="s">
        <v>92</v>
      </c>
      <c r="AF83" s="515" t="s">
        <v>101</v>
      </c>
      <c r="AG83" s="514" t="s">
        <v>218</v>
      </c>
      <c r="AH83" s="514" t="s">
        <v>972</v>
      </c>
    </row>
    <row r="84" spans="1:34" ht="47.25" outlineLevel="1" x14ac:dyDescent="0.25">
      <c r="A84" s="802" t="s">
        <v>607</v>
      </c>
      <c r="B84" s="798" t="s">
        <v>947</v>
      </c>
      <c r="C84" s="1337" t="s">
        <v>608</v>
      </c>
      <c r="D84" s="95" t="s">
        <v>1498</v>
      </c>
      <c r="E84" s="95" t="s">
        <v>18</v>
      </c>
      <c r="F84" s="514" t="s">
        <v>18</v>
      </c>
      <c r="G84" s="96">
        <f>28000+6545+0.35228</f>
        <v>34545.352279999999</v>
      </c>
      <c r="H84" s="163">
        <v>5257.6477199999999</v>
      </c>
      <c r="I84" s="1593">
        <v>0</v>
      </c>
      <c r="J84" s="1594">
        <v>7057.5933800000003</v>
      </c>
      <c r="K84" s="1595">
        <v>7092.3915699999998</v>
      </c>
      <c r="L84" s="803">
        <f>4742.35228-4742.35228</f>
        <v>0</v>
      </c>
      <c r="M84" s="470">
        <f>10000+4742.35228-7684.7589</f>
        <v>7057.5933799999993</v>
      </c>
      <c r="N84" s="513">
        <f>7953-5257.64772+7684.7589</f>
        <v>10380.11118</v>
      </c>
      <c r="O84" s="841">
        <v>17437.704559999998</v>
      </c>
      <c r="P84" s="851">
        <v>0</v>
      </c>
      <c r="Q84" s="613">
        <f t="shared" si="4"/>
        <v>17437.704559999998</v>
      </c>
      <c r="R84" s="519">
        <v>0</v>
      </c>
      <c r="S84" s="878">
        <v>0</v>
      </c>
      <c r="T84" s="803">
        <v>0</v>
      </c>
      <c r="U84" s="470">
        <f>8000+3850</f>
        <v>11850</v>
      </c>
      <c r="V84" s="513">
        <v>0</v>
      </c>
      <c r="W84" s="803">
        <v>0</v>
      </c>
      <c r="X84" s="698">
        <v>0</v>
      </c>
      <c r="Y84" s="698">
        <v>0</v>
      </c>
      <c r="Z84" s="698">
        <v>0</v>
      </c>
      <c r="AA84" s="513">
        <v>0</v>
      </c>
      <c r="AB84" s="1488" t="s">
        <v>1787</v>
      </c>
      <c r="AC84" s="95" t="s">
        <v>13</v>
      </c>
      <c r="AD84" s="1272" t="s">
        <v>321</v>
      </c>
      <c r="AE84" s="685" t="s">
        <v>92</v>
      </c>
      <c r="AF84" s="515" t="s">
        <v>101</v>
      </c>
      <c r="AG84" s="514" t="s">
        <v>210</v>
      </c>
      <c r="AH84" s="514" t="s">
        <v>972</v>
      </c>
    </row>
    <row r="85" spans="1:34" ht="25.5" outlineLevel="1" x14ac:dyDescent="0.25">
      <c r="A85" s="1683" t="s">
        <v>609</v>
      </c>
      <c r="B85" s="1684" t="s">
        <v>938</v>
      </c>
      <c r="C85" s="2324" t="s">
        <v>610</v>
      </c>
      <c r="D85" s="220" t="s">
        <v>1498</v>
      </c>
      <c r="E85" s="220" t="s">
        <v>18</v>
      </c>
      <c r="F85" s="1686" t="s">
        <v>18</v>
      </c>
      <c r="G85" s="251">
        <f>72000+50000</f>
        <v>122000</v>
      </c>
      <c r="H85" s="2325">
        <v>659.45</v>
      </c>
      <c r="I85" s="1975">
        <v>0</v>
      </c>
      <c r="J85" s="2145">
        <v>0</v>
      </c>
      <c r="K85" s="1977">
        <v>0</v>
      </c>
      <c r="L85" s="1693">
        <v>0</v>
      </c>
      <c r="M85" s="1695">
        <v>0</v>
      </c>
      <c r="N85" s="1695">
        <v>0</v>
      </c>
      <c r="O85" s="1726">
        <v>4999.5500000000029</v>
      </c>
      <c r="P85" s="1692">
        <f>-5000+0.45</f>
        <v>-4999.55</v>
      </c>
      <c r="Q85" s="1692">
        <f t="shared" si="4"/>
        <v>0</v>
      </c>
      <c r="R85" s="1726">
        <f>50000+51341-0.45</f>
        <v>101340.55</v>
      </c>
      <c r="S85" s="2326">
        <v>20000</v>
      </c>
      <c r="T85" s="1693">
        <v>0</v>
      </c>
      <c r="U85" s="1728">
        <v>0</v>
      </c>
      <c r="V85" s="1696">
        <v>0</v>
      </c>
      <c r="W85" s="1693">
        <v>0</v>
      </c>
      <c r="X85" s="1695">
        <v>0</v>
      </c>
      <c r="Y85" s="1695">
        <v>0</v>
      </c>
      <c r="Z85" s="1695">
        <v>0</v>
      </c>
      <c r="AA85" s="1696">
        <v>0</v>
      </c>
      <c r="AB85" s="1545" t="s">
        <v>1940</v>
      </c>
      <c r="AC85" s="220" t="s">
        <v>9</v>
      </c>
      <c r="AD85" s="2327" t="s">
        <v>707</v>
      </c>
      <c r="AE85" s="2162" t="s">
        <v>91</v>
      </c>
      <c r="AF85" s="252" t="s">
        <v>101</v>
      </c>
      <c r="AG85" s="1686" t="s">
        <v>210</v>
      </c>
      <c r="AH85" s="1686" t="s">
        <v>973</v>
      </c>
    </row>
    <row r="86" spans="1:34" s="1509" customFormat="1" ht="26.25" outlineLevel="1" thickBot="1" x14ac:dyDescent="0.3">
      <c r="A86" s="1157" t="s">
        <v>611</v>
      </c>
      <c r="B86" s="2203" t="s">
        <v>87</v>
      </c>
      <c r="C86" s="2204" t="s">
        <v>612</v>
      </c>
      <c r="D86" s="553" t="s">
        <v>1498</v>
      </c>
      <c r="E86" s="553" t="s">
        <v>18</v>
      </c>
      <c r="F86" s="1162" t="s">
        <v>18</v>
      </c>
      <c r="G86" s="2322">
        <f>145200-145200</f>
        <v>0</v>
      </c>
      <c r="H86" s="2205">
        <v>0</v>
      </c>
      <c r="I86" s="2206">
        <v>0</v>
      </c>
      <c r="J86" s="2207">
        <v>0</v>
      </c>
      <c r="K86" s="2208">
        <v>0</v>
      </c>
      <c r="L86" s="1158">
        <v>0</v>
      </c>
      <c r="M86" s="2209">
        <v>0</v>
      </c>
      <c r="N86" s="2209">
        <v>0</v>
      </c>
      <c r="O86" s="1160">
        <v>1100</v>
      </c>
      <c r="P86" s="1161">
        <v>-1100</v>
      </c>
      <c r="Q86" s="1161">
        <f t="shared" si="4"/>
        <v>0</v>
      </c>
      <c r="R86" s="1160">
        <v>0</v>
      </c>
      <c r="S86" s="2210">
        <v>0</v>
      </c>
      <c r="T86" s="1158">
        <v>0</v>
      </c>
      <c r="U86" s="1159">
        <f>145200-145200</f>
        <v>0</v>
      </c>
      <c r="V86" s="2211">
        <v>0</v>
      </c>
      <c r="W86" s="1158">
        <v>0</v>
      </c>
      <c r="X86" s="2209">
        <v>0</v>
      </c>
      <c r="Y86" s="2209">
        <v>0</v>
      </c>
      <c r="Z86" s="2209">
        <v>0</v>
      </c>
      <c r="AA86" s="2211">
        <v>0</v>
      </c>
      <c r="AB86" s="2741" t="s">
        <v>1788</v>
      </c>
      <c r="AC86" s="553" t="s">
        <v>93</v>
      </c>
      <c r="AD86" s="2212" t="s">
        <v>321</v>
      </c>
      <c r="AE86" s="2213" t="s">
        <v>91</v>
      </c>
      <c r="AF86" s="568" t="s">
        <v>101</v>
      </c>
      <c r="AG86" s="1162" t="s">
        <v>87</v>
      </c>
      <c r="AH86" s="1162"/>
    </row>
    <row r="87" spans="1:34" ht="25.5" outlineLevel="1" x14ac:dyDescent="0.25">
      <c r="A87" s="831" t="s">
        <v>673</v>
      </c>
      <c r="B87" s="799" t="s">
        <v>952</v>
      </c>
      <c r="C87" s="1338" t="s">
        <v>674</v>
      </c>
      <c r="D87" s="93" t="s">
        <v>1617</v>
      </c>
      <c r="E87" s="93" t="s">
        <v>18</v>
      </c>
      <c r="F87" s="24" t="s">
        <v>18</v>
      </c>
      <c r="G87" s="511">
        <f>10042+4000+520</f>
        <v>14562</v>
      </c>
      <c r="H87" s="209">
        <v>392.74757</v>
      </c>
      <c r="I87" s="1590">
        <v>0</v>
      </c>
      <c r="J87" s="1591">
        <v>0</v>
      </c>
      <c r="K87" s="1592">
        <v>0</v>
      </c>
      <c r="L87" s="864">
        <f>9649.25243-9649.25243</f>
        <v>0</v>
      </c>
      <c r="M87" s="865">
        <v>0</v>
      </c>
      <c r="N87" s="500">
        <v>0</v>
      </c>
      <c r="O87" s="838">
        <v>0</v>
      </c>
      <c r="P87" s="849">
        <v>0</v>
      </c>
      <c r="Q87" s="612">
        <f t="shared" si="4"/>
        <v>0</v>
      </c>
      <c r="R87" s="510">
        <f>14169+0.25243</f>
        <v>14169.25243</v>
      </c>
      <c r="S87" s="476">
        <v>0</v>
      </c>
      <c r="T87" s="864">
        <v>0</v>
      </c>
      <c r="U87" s="319">
        <v>0</v>
      </c>
      <c r="V87" s="500">
        <v>0</v>
      </c>
      <c r="W87" s="864">
        <v>0</v>
      </c>
      <c r="X87" s="865">
        <v>0</v>
      </c>
      <c r="Y87" s="865">
        <v>0</v>
      </c>
      <c r="Z87" s="865">
        <v>0</v>
      </c>
      <c r="AA87" s="506">
        <v>0</v>
      </c>
      <c r="AB87" s="2733" t="s">
        <v>1673</v>
      </c>
      <c r="AC87" s="93" t="s">
        <v>13</v>
      </c>
      <c r="AD87" s="1272" t="s">
        <v>750</v>
      </c>
      <c r="AE87" s="1273" t="s">
        <v>92</v>
      </c>
      <c r="AF87" s="484" t="s">
        <v>101</v>
      </c>
      <c r="AG87" s="24" t="s">
        <v>223</v>
      </c>
      <c r="AH87" s="24" t="s">
        <v>972</v>
      </c>
    </row>
    <row r="88" spans="1:34" ht="25.5" outlineLevel="1" x14ac:dyDescent="0.25">
      <c r="A88" s="57" t="s">
        <v>675</v>
      </c>
      <c r="B88" s="49" t="s">
        <v>945</v>
      </c>
      <c r="C88" s="1130" t="s">
        <v>676</v>
      </c>
      <c r="D88" s="27" t="s">
        <v>1617</v>
      </c>
      <c r="E88" s="27" t="s">
        <v>18</v>
      </c>
      <c r="F88" s="28" t="s">
        <v>18</v>
      </c>
      <c r="G88" s="7">
        <f>1794+60-0.10334</f>
        <v>1853.8966600000001</v>
      </c>
      <c r="H88" s="1059">
        <v>1794</v>
      </c>
      <c r="I88" s="790">
        <v>0</v>
      </c>
      <c r="J88" s="791">
        <v>59.896659999999997</v>
      </c>
      <c r="K88" s="1214">
        <v>0</v>
      </c>
      <c r="L88" s="498">
        <f>60-60</f>
        <v>0</v>
      </c>
      <c r="M88" s="469">
        <f>0+60-0.10334</f>
        <v>59.896659999999997</v>
      </c>
      <c r="N88" s="105">
        <v>0</v>
      </c>
      <c r="O88" s="712">
        <v>60</v>
      </c>
      <c r="P88" s="558">
        <v>-0.10334</v>
      </c>
      <c r="Q88" s="535">
        <f t="shared" si="4"/>
        <v>59.896659999999997</v>
      </c>
      <c r="R88" s="104">
        <v>0</v>
      </c>
      <c r="S88" s="524">
        <v>0</v>
      </c>
      <c r="T88" s="498">
        <v>0</v>
      </c>
      <c r="U88" s="235">
        <v>0</v>
      </c>
      <c r="V88" s="105">
        <v>0</v>
      </c>
      <c r="W88" s="498">
        <v>0</v>
      </c>
      <c r="X88" s="469">
        <v>0</v>
      </c>
      <c r="Y88" s="469">
        <v>0</v>
      </c>
      <c r="Z88" s="469">
        <v>0</v>
      </c>
      <c r="AA88" s="198">
        <v>0</v>
      </c>
      <c r="AB88" s="1074" t="s">
        <v>84</v>
      </c>
      <c r="AC88" s="27" t="s">
        <v>95</v>
      </c>
      <c r="AD88" s="165" t="s">
        <v>706</v>
      </c>
      <c r="AE88" s="26" t="s">
        <v>92</v>
      </c>
      <c r="AF88" s="26" t="s">
        <v>101</v>
      </c>
      <c r="AG88" s="28" t="s">
        <v>213</v>
      </c>
      <c r="AH88" s="28" t="s">
        <v>972</v>
      </c>
    </row>
    <row r="89" spans="1:34" ht="25.5" outlineLevel="1" x14ac:dyDescent="0.25">
      <c r="A89" s="802" t="s">
        <v>677</v>
      </c>
      <c r="B89" s="798" t="s">
        <v>2068</v>
      </c>
      <c r="C89" s="1337" t="s">
        <v>678</v>
      </c>
      <c r="D89" s="95" t="s">
        <v>1617</v>
      </c>
      <c r="E89" s="95" t="s">
        <v>18</v>
      </c>
      <c r="F89" s="514" t="s">
        <v>18</v>
      </c>
      <c r="G89" s="96">
        <f>4258+610+2722</f>
        <v>7590</v>
      </c>
      <c r="H89" s="163">
        <v>0</v>
      </c>
      <c r="I89" s="1593">
        <v>0</v>
      </c>
      <c r="J89" s="1594">
        <v>0</v>
      </c>
      <c r="K89" s="1595">
        <v>2264.6350400000001</v>
      </c>
      <c r="L89" s="803">
        <v>0</v>
      </c>
      <c r="M89" s="698">
        <f>1000-1000</f>
        <v>0</v>
      </c>
      <c r="N89" s="513">
        <f>5417+1000</f>
        <v>6417</v>
      </c>
      <c r="O89" s="841">
        <v>6417</v>
      </c>
      <c r="P89" s="851">
        <v>0</v>
      </c>
      <c r="Q89" s="613">
        <f t="shared" si="4"/>
        <v>6417</v>
      </c>
      <c r="R89" s="519">
        <v>0</v>
      </c>
      <c r="S89" s="878">
        <v>0</v>
      </c>
      <c r="T89" s="803">
        <v>0</v>
      </c>
      <c r="U89" s="470">
        <v>1173</v>
      </c>
      <c r="V89" s="513">
        <v>0</v>
      </c>
      <c r="W89" s="803">
        <v>0</v>
      </c>
      <c r="X89" s="698">
        <v>0</v>
      </c>
      <c r="Y89" s="698">
        <v>0</v>
      </c>
      <c r="Z89" s="698">
        <v>0</v>
      </c>
      <c r="AA89" s="507">
        <v>0</v>
      </c>
      <c r="AB89" s="1488" t="s">
        <v>84</v>
      </c>
      <c r="AC89" s="95" t="s">
        <v>186</v>
      </c>
      <c r="AD89" s="789" t="s">
        <v>191</v>
      </c>
      <c r="AE89" s="1273" t="s">
        <v>92</v>
      </c>
      <c r="AF89" s="515" t="s">
        <v>101</v>
      </c>
      <c r="AG89" s="514" t="s">
        <v>217</v>
      </c>
      <c r="AH89" s="514" t="s">
        <v>973</v>
      </c>
    </row>
    <row r="90" spans="1:34" ht="25.5" outlineLevel="1" x14ac:dyDescent="0.25">
      <c r="A90" s="1735" t="s">
        <v>679</v>
      </c>
      <c r="B90" s="2215" t="s">
        <v>1326</v>
      </c>
      <c r="C90" s="2216" t="s">
        <v>680</v>
      </c>
      <c r="D90" s="157" t="s">
        <v>1617</v>
      </c>
      <c r="E90" s="157" t="s">
        <v>18</v>
      </c>
      <c r="F90" s="1738" t="s">
        <v>18</v>
      </c>
      <c r="G90" s="1048">
        <f>14813+172</f>
        <v>14985</v>
      </c>
      <c r="H90" s="2307">
        <v>0</v>
      </c>
      <c r="I90" s="2217">
        <v>13149.357959999999</v>
      </c>
      <c r="J90" s="2218">
        <v>93.17</v>
      </c>
      <c r="K90" s="2219">
        <v>1570.4720400000001</v>
      </c>
      <c r="L90" s="1749">
        <f>13150-0.64204</f>
        <v>13149.357959999999</v>
      </c>
      <c r="M90" s="1750">
        <v>93.17</v>
      </c>
      <c r="N90" s="1751">
        <v>1742.4720400000001</v>
      </c>
      <c r="O90" s="1744">
        <v>14813</v>
      </c>
      <c r="P90" s="2220">
        <v>172</v>
      </c>
      <c r="Q90" s="1746">
        <f t="shared" si="4"/>
        <v>14985</v>
      </c>
      <c r="R90" s="2221">
        <v>0</v>
      </c>
      <c r="S90" s="2222">
        <v>0</v>
      </c>
      <c r="T90" s="1749">
        <v>0</v>
      </c>
      <c r="U90" s="2223">
        <v>0</v>
      </c>
      <c r="V90" s="1751">
        <v>0</v>
      </c>
      <c r="W90" s="1749">
        <v>0</v>
      </c>
      <c r="X90" s="1750">
        <v>0</v>
      </c>
      <c r="Y90" s="1750">
        <v>0</v>
      </c>
      <c r="Z90" s="1750">
        <v>0</v>
      </c>
      <c r="AA90" s="2224">
        <v>0</v>
      </c>
      <c r="AB90" s="2735" t="s">
        <v>1843</v>
      </c>
      <c r="AC90" s="157" t="s">
        <v>186</v>
      </c>
      <c r="AD90" s="2689" t="s">
        <v>191</v>
      </c>
      <c r="AE90" s="2078" t="s">
        <v>92</v>
      </c>
      <c r="AF90" s="370" t="s">
        <v>101</v>
      </c>
      <c r="AG90" s="1738" t="s">
        <v>217</v>
      </c>
      <c r="AH90" s="1738" t="s">
        <v>972</v>
      </c>
    </row>
    <row r="91" spans="1:34" s="1509" customFormat="1" ht="26.25" outlineLevel="1" thickBot="1" x14ac:dyDescent="0.3">
      <c r="A91" s="2187" t="s">
        <v>681</v>
      </c>
      <c r="B91" s="2225" t="s">
        <v>1942</v>
      </c>
      <c r="C91" s="2226" t="s">
        <v>682</v>
      </c>
      <c r="D91" s="759" t="s">
        <v>1617</v>
      </c>
      <c r="E91" s="759" t="s">
        <v>18</v>
      </c>
      <c r="F91" s="780" t="s">
        <v>18</v>
      </c>
      <c r="G91" s="782">
        <f>7000+400-2900</f>
        <v>4500</v>
      </c>
      <c r="H91" s="2190">
        <v>0</v>
      </c>
      <c r="I91" s="2191">
        <v>0</v>
      </c>
      <c r="J91" s="2192">
        <v>0</v>
      </c>
      <c r="K91" s="2193">
        <v>2408.0688299999997</v>
      </c>
      <c r="L91" s="2198">
        <v>0</v>
      </c>
      <c r="M91" s="2194">
        <v>0</v>
      </c>
      <c r="N91" s="2194">
        <v>4500</v>
      </c>
      <c r="O91" s="2195">
        <v>7400</v>
      </c>
      <c r="P91" s="2196">
        <v>-2900</v>
      </c>
      <c r="Q91" s="760">
        <f t="shared" si="4"/>
        <v>4500</v>
      </c>
      <c r="R91" s="784">
        <v>0</v>
      </c>
      <c r="S91" s="2197">
        <v>0</v>
      </c>
      <c r="T91" s="2198">
        <v>0</v>
      </c>
      <c r="U91" s="2199">
        <v>0</v>
      </c>
      <c r="V91" s="779">
        <v>0</v>
      </c>
      <c r="W91" s="2198">
        <v>0</v>
      </c>
      <c r="X91" s="2194">
        <v>0</v>
      </c>
      <c r="Y91" s="2194">
        <v>0</v>
      </c>
      <c r="Z91" s="2194">
        <v>0</v>
      </c>
      <c r="AA91" s="2227">
        <v>0</v>
      </c>
      <c r="AB91" s="2244" t="s">
        <v>1789</v>
      </c>
      <c r="AC91" s="759" t="s">
        <v>186</v>
      </c>
      <c r="AD91" s="2200" t="s">
        <v>321</v>
      </c>
      <c r="AE91" s="2201" t="s">
        <v>92</v>
      </c>
      <c r="AF91" s="761" t="s">
        <v>101</v>
      </c>
      <c r="AG91" s="780" t="s">
        <v>205</v>
      </c>
      <c r="AH91" s="780" t="s">
        <v>973</v>
      </c>
    </row>
    <row r="92" spans="1:34" ht="25.5" outlineLevel="1" x14ac:dyDescent="0.25">
      <c r="A92" s="1803" t="s">
        <v>751</v>
      </c>
      <c r="B92" s="1804" t="s">
        <v>87</v>
      </c>
      <c r="C92" s="2228" t="s">
        <v>752</v>
      </c>
      <c r="D92" s="428" t="s">
        <v>1594</v>
      </c>
      <c r="E92" s="219" t="s">
        <v>18</v>
      </c>
      <c r="F92" s="1699" t="s">
        <v>18</v>
      </c>
      <c r="G92" s="248">
        <v>42000</v>
      </c>
      <c r="H92" s="418">
        <v>0</v>
      </c>
      <c r="I92" s="2142">
        <v>0</v>
      </c>
      <c r="J92" s="2143">
        <v>0</v>
      </c>
      <c r="K92" s="2159">
        <v>1919.09473</v>
      </c>
      <c r="L92" s="2136">
        <v>0</v>
      </c>
      <c r="M92" s="1846">
        <f>10000-10000</f>
        <v>0</v>
      </c>
      <c r="N92" s="2138">
        <f>18500+10000</f>
        <v>28500</v>
      </c>
      <c r="O92" s="2138">
        <v>20000</v>
      </c>
      <c r="P92" s="1691">
        <v>8500</v>
      </c>
      <c r="Q92" s="1692">
        <f>O92+P92</f>
        <v>28500</v>
      </c>
      <c r="R92" s="421">
        <f>20500-8500</f>
        <v>12000</v>
      </c>
      <c r="S92" s="421">
        <v>0</v>
      </c>
      <c r="T92" s="2136">
        <v>0</v>
      </c>
      <c r="U92" s="1846">
        <v>1500</v>
      </c>
      <c r="V92" s="2138">
        <v>0</v>
      </c>
      <c r="W92" s="2136">
        <v>25000</v>
      </c>
      <c r="X92" s="1694">
        <v>0</v>
      </c>
      <c r="Y92" s="1694">
        <v>1919.09473</v>
      </c>
      <c r="Z92" s="1694">
        <f>25000-5000</f>
        <v>20000</v>
      </c>
      <c r="AA92" s="2138">
        <v>5000</v>
      </c>
      <c r="AB92" s="2742" t="s">
        <v>1495</v>
      </c>
      <c r="AC92" s="219" t="s">
        <v>13</v>
      </c>
      <c r="AD92" s="379" t="s">
        <v>707</v>
      </c>
      <c r="AE92" s="379" t="s">
        <v>92</v>
      </c>
      <c r="AF92" s="379" t="s">
        <v>101</v>
      </c>
      <c r="AG92" s="383" t="s">
        <v>205</v>
      </c>
      <c r="AH92" s="383"/>
    </row>
    <row r="93" spans="1:34" ht="25.5" outlineLevel="1" x14ac:dyDescent="0.25">
      <c r="A93" s="1683" t="s">
        <v>753</v>
      </c>
      <c r="B93" s="1684" t="s">
        <v>1330</v>
      </c>
      <c r="C93" s="2246" t="s">
        <v>754</v>
      </c>
      <c r="D93" s="428" t="s">
        <v>1594</v>
      </c>
      <c r="E93" s="220" t="s">
        <v>18</v>
      </c>
      <c r="F93" s="1729" t="s">
        <v>18</v>
      </c>
      <c r="G93" s="251">
        <v>62341</v>
      </c>
      <c r="H93" s="429">
        <v>0</v>
      </c>
      <c r="I93" s="1975">
        <v>49.706800000000001</v>
      </c>
      <c r="J93" s="2145">
        <v>0</v>
      </c>
      <c r="K93" s="1977">
        <v>1369.318</v>
      </c>
      <c r="L93" s="1693">
        <f>0+49.7068</f>
        <v>49.706800000000001</v>
      </c>
      <c r="M93" s="1695">
        <v>0</v>
      </c>
      <c r="N93" s="1696">
        <f>950+0.2932+419.0248</f>
        <v>1369.318</v>
      </c>
      <c r="O93" s="1696">
        <v>1000</v>
      </c>
      <c r="P93" s="1692">
        <v>419.02480000000003</v>
      </c>
      <c r="Q93" s="1691">
        <f t="shared" si="4"/>
        <v>1419.0248000000001</v>
      </c>
      <c r="R93" s="1726">
        <f>28341+29000+4000-419.0248</f>
        <v>60921.975200000001</v>
      </c>
      <c r="S93" s="1726">
        <v>0</v>
      </c>
      <c r="T93" s="1693">
        <v>0</v>
      </c>
      <c r="U93" s="1728">
        <v>0</v>
      </c>
      <c r="V93" s="1696">
        <v>0</v>
      </c>
      <c r="W93" s="1693">
        <v>0</v>
      </c>
      <c r="X93" s="1695">
        <v>0</v>
      </c>
      <c r="Y93" s="1695">
        <v>0</v>
      </c>
      <c r="Z93" s="1695">
        <v>0</v>
      </c>
      <c r="AA93" s="1696">
        <v>0</v>
      </c>
      <c r="AB93" s="1269" t="s">
        <v>1838</v>
      </c>
      <c r="AC93" s="220" t="s">
        <v>13</v>
      </c>
      <c r="AD93" s="379" t="s">
        <v>191</v>
      </c>
      <c r="AE93" s="252" t="s">
        <v>92</v>
      </c>
      <c r="AF93" s="252" t="s">
        <v>101</v>
      </c>
      <c r="AG93" s="1686" t="s">
        <v>796</v>
      </c>
      <c r="AH93" s="1686"/>
    </row>
    <row r="94" spans="1:34" ht="31.5" outlineLevel="1" x14ac:dyDescent="0.25">
      <c r="A94" s="802" t="s">
        <v>755</v>
      </c>
      <c r="B94" s="798" t="s">
        <v>87</v>
      </c>
      <c r="C94" s="1339" t="s">
        <v>756</v>
      </c>
      <c r="D94" s="102" t="s">
        <v>1594</v>
      </c>
      <c r="E94" s="95" t="s">
        <v>18</v>
      </c>
      <c r="F94" s="63" t="s">
        <v>18</v>
      </c>
      <c r="G94" s="96">
        <v>3</v>
      </c>
      <c r="H94" s="312">
        <v>0</v>
      </c>
      <c r="I94" s="1593">
        <v>0</v>
      </c>
      <c r="J94" s="1594">
        <v>0</v>
      </c>
      <c r="K94" s="1595">
        <v>0</v>
      </c>
      <c r="L94" s="803">
        <v>0</v>
      </c>
      <c r="M94" s="698">
        <v>0</v>
      </c>
      <c r="N94" s="513">
        <v>0</v>
      </c>
      <c r="O94" s="1222">
        <v>0</v>
      </c>
      <c r="P94" s="851">
        <v>0</v>
      </c>
      <c r="Q94" s="613">
        <f t="shared" si="4"/>
        <v>0</v>
      </c>
      <c r="R94" s="519">
        <v>3</v>
      </c>
      <c r="S94" s="519">
        <v>0</v>
      </c>
      <c r="T94" s="803">
        <v>0</v>
      </c>
      <c r="U94" s="470">
        <v>0</v>
      </c>
      <c r="V94" s="513">
        <v>0</v>
      </c>
      <c r="W94" s="803">
        <v>0</v>
      </c>
      <c r="X94" s="698">
        <v>0</v>
      </c>
      <c r="Y94" s="698">
        <v>0</v>
      </c>
      <c r="Z94" s="698">
        <v>0</v>
      </c>
      <c r="AA94" s="513">
        <v>0</v>
      </c>
      <c r="AB94" s="1071" t="s">
        <v>757</v>
      </c>
      <c r="AC94" s="95" t="s">
        <v>186</v>
      </c>
      <c r="AD94" s="515" t="s">
        <v>758</v>
      </c>
      <c r="AE94" s="515" t="s">
        <v>92</v>
      </c>
      <c r="AF94" s="515" t="s">
        <v>101</v>
      </c>
      <c r="AG94" s="514" t="s">
        <v>203</v>
      </c>
      <c r="AH94" s="514" t="s">
        <v>972</v>
      </c>
    </row>
    <row r="95" spans="1:34" ht="60" outlineLevel="1" x14ac:dyDescent="0.25">
      <c r="A95" s="802" t="s">
        <v>759</v>
      </c>
      <c r="B95" s="798" t="s">
        <v>87</v>
      </c>
      <c r="C95" s="1339" t="s">
        <v>760</v>
      </c>
      <c r="D95" s="102" t="s">
        <v>1594</v>
      </c>
      <c r="E95" s="95" t="s">
        <v>18</v>
      </c>
      <c r="F95" s="63" t="s">
        <v>18</v>
      </c>
      <c r="G95" s="96">
        <v>21640</v>
      </c>
      <c r="H95" s="312">
        <v>0</v>
      </c>
      <c r="I95" s="1593">
        <v>0</v>
      </c>
      <c r="J95" s="1594">
        <v>0</v>
      </c>
      <c r="K95" s="1595">
        <v>0</v>
      </c>
      <c r="L95" s="803">
        <v>0</v>
      </c>
      <c r="M95" s="698">
        <v>0</v>
      </c>
      <c r="N95" s="513">
        <v>0</v>
      </c>
      <c r="O95" s="1222">
        <v>0</v>
      </c>
      <c r="P95" s="851">
        <v>0</v>
      </c>
      <c r="Q95" s="613">
        <f t="shared" si="4"/>
        <v>0</v>
      </c>
      <c r="R95" s="519">
        <v>21640</v>
      </c>
      <c r="S95" s="519">
        <v>0</v>
      </c>
      <c r="T95" s="803">
        <v>0</v>
      </c>
      <c r="U95" s="470">
        <v>0</v>
      </c>
      <c r="V95" s="513">
        <v>0</v>
      </c>
      <c r="W95" s="803">
        <v>0</v>
      </c>
      <c r="X95" s="698">
        <v>0</v>
      </c>
      <c r="Y95" s="698">
        <v>0</v>
      </c>
      <c r="Z95" s="698">
        <v>0</v>
      </c>
      <c r="AA95" s="513">
        <v>0</v>
      </c>
      <c r="AB95" s="1071" t="s">
        <v>1148</v>
      </c>
      <c r="AC95" s="95" t="s">
        <v>11</v>
      </c>
      <c r="AD95" s="515" t="s">
        <v>524</v>
      </c>
      <c r="AE95" s="515" t="s">
        <v>91</v>
      </c>
      <c r="AF95" s="515" t="s">
        <v>101</v>
      </c>
      <c r="AG95" s="1519" t="s">
        <v>773</v>
      </c>
      <c r="AH95" s="1520"/>
    </row>
    <row r="96" spans="1:34" ht="25.5" outlineLevel="1" x14ac:dyDescent="0.25">
      <c r="A96" s="1905" t="s">
        <v>761</v>
      </c>
      <c r="B96" s="2229" t="s">
        <v>87</v>
      </c>
      <c r="C96" s="2230" t="s">
        <v>1348</v>
      </c>
      <c r="D96" s="1266" t="s">
        <v>1594</v>
      </c>
      <c r="E96" s="655" t="s">
        <v>18</v>
      </c>
      <c r="F96" s="2231" t="s">
        <v>18</v>
      </c>
      <c r="G96" s="776">
        <v>21000</v>
      </c>
      <c r="H96" s="787">
        <v>0</v>
      </c>
      <c r="I96" s="2232">
        <v>0</v>
      </c>
      <c r="J96" s="2233">
        <v>0</v>
      </c>
      <c r="K96" s="2234">
        <v>0</v>
      </c>
      <c r="L96" s="2235">
        <v>0</v>
      </c>
      <c r="M96" s="2236">
        <v>0</v>
      </c>
      <c r="N96" s="749">
        <v>15000</v>
      </c>
      <c r="O96" s="2237">
        <v>8000</v>
      </c>
      <c r="P96" s="2238">
        <v>7000</v>
      </c>
      <c r="Q96" s="719">
        <f t="shared" si="4"/>
        <v>15000</v>
      </c>
      <c r="R96" s="748">
        <v>6000</v>
      </c>
      <c r="S96" s="748">
        <v>0</v>
      </c>
      <c r="T96" s="2235">
        <v>0</v>
      </c>
      <c r="U96" s="2236">
        <v>0</v>
      </c>
      <c r="V96" s="749">
        <v>0</v>
      </c>
      <c r="W96" s="2235">
        <v>0</v>
      </c>
      <c r="X96" s="2239">
        <v>0</v>
      </c>
      <c r="Y96" s="2239">
        <v>0</v>
      </c>
      <c r="Z96" s="2239">
        <v>0</v>
      </c>
      <c r="AA96" s="749">
        <v>0</v>
      </c>
      <c r="AB96" s="2240" t="s">
        <v>1790</v>
      </c>
      <c r="AC96" s="655" t="s">
        <v>13</v>
      </c>
      <c r="AD96" s="321" t="s">
        <v>321</v>
      </c>
      <c r="AE96" s="321" t="s">
        <v>92</v>
      </c>
      <c r="AF96" s="321" t="s">
        <v>101</v>
      </c>
      <c r="AG96" s="773" t="s">
        <v>219</v>
      </c>
      <c r="AH96" s="773"/>
    </row>
    <row r="97" spans="1:34" ht="25.5" outlineLevel="1" x14ac:dyDescent="0.25">
      <c r="A97" s="802" t="s">
        <v>762</v>
      </c>
      <c r="B97" s="798" t="s">
        <v>1327</v>
      </c>
      <c r="C97" s="1339" t="s">
        <v>763</v>
      </c>
      <c r="D97" s="102" t="s">
        <v>1594</v>
      </c>
      <c r="E97" s="95" t="s">
        <v>18</v>
      </c>
      <c r="F97" s="63" t="s">
        <v>18</v>
      </c>
      <c r="G97" s="96">
        <v>74424</v>
      </c>
      <c r="H97" s="312">
        <v>0</v>
      </c>
      <c r="I97" s="1593">
        <v>719.10299999999995</v>
      </c>
      <c r="J97" s="1594">
        <v>0</v>
      </c>
      <c r="K97" s="1595">
        <v>0</v>
      </c>
      <c r="L97" s="803">
        <f>0+719.103</f>
        <v>719.10299999999995</v>
      </c>
      <c r="M97" s="698">
        <v>0</v>
      </c>
      <c r="N97" s="513">
        <v>0</v>
      </c>
      <c r="O97" s="1222">
        <v>719.10299999999916</v>
      </c>
      <c r="P97" s="851">
        <v>0</v>
      </c>
      <c r="Q97" s="613">
        <f t="shared" si="4"/>
        <v>719.10299999999916</v>
      </c>
      <c r="R97" s="519">
        <f>57402+9281-0.103</f>
        <v>66682.896999999997</v>
      </c>
      <c r="S97" s="519">
        <v>0</v>
      </c>
      <c r="T97" s="803">
        <v>0</v>
      </c>
      <c r="U97" s="470">
        <v>7022</v>
      </c>
      <c r="V97" s="877">
        <v>0</v>
      </c>
      <c r="W97" s="803">
        <v>0</v>
      </c>
      <c r="X97" s="470">
        <v>0</v>
      </c>
      <c r="Y97" s="470">
        <v>0</v>
      </c>
      <c r="Z97" s="470">
        <v>0</v>
      </c>
      <c r="AA97" s="877">
        <v>0</v>
      </c>
      <c r="AB97" s="1071" t="s">
        <v>1149</v>
      </c>
      <c r="AC97" s="95" t="s">
        <v>11</v>
      </c>
      <c r="AD97" s="515" t="s">
        <v>1121</v>
      </c>
      <c r="AE97" s="515" t="s">
        <v>91</v>
      </c>
      <c r="AF97" s="515" t="s">
        <v>101</v>
      </c>
      <c r="AG97" s="514" t="s">
        <v>206</v>
      </c>
      <c r="AH97" s="514"/>
    </row>
    <row r="98" spans="1:34" s="1509" customFormat="1" ht="32.25" outlineLevel="1" thickBot="1" x14ac:dyDescent="0.3">
      <c r="A98" s="2187" t="s">
        <v>764</v>
      </c>
      <c r="B98" s="2225" t="s">
        <v>1413</v>
      </c>
      <c r="C98" s="2241" t="s">
        <v>765</v>
      </c>
      <c r="D98" s="781" t="s">
        <v>1594</v>
      </c>
      <c r="E98" s="759" t="s">
        <v>18</v>
      </c>
      <c r="F98" s="2202" t="s">
        <v>18</v>
      </c>
      <c r="G98" s="782">
        <f>23000-2770</f>
        <v>20230</v>
      </c>
      <c r="H98" s="783">
        <v>0</v>
      </c>
      <c r="I98" s="2191">
        <v>0</v>
      </c>
      <c r="J98" s="2192">
        <v>9106.713240000001</v>
      </c>
      <c r="K98" s="2193">
        <v>3410.8744500000003</v>
      </c>
      <c r="L98" s="2198">
        <f>13230-13230</f>
        <v>0</v>
      </c>
      <c r="M98" s="2199">
        <f>0+13230-4123.28676</f>
        <v>9106.713240000001</v>
      </c>
      <c r="N98" s="779">
        <f>0+4123.28676</f>
        <v>4123.28676</v>
      </c>
      <c r="O98" s="2242">
        <v>13230</v>
      </c>
      <c r="P98" s="2196">
        <v>0</v>
      </c>
      <c r="Q98" s="760">
        <f t="shared" si="4"/>
        <v>13230</v>
      </c>
      <c r="R98" s="784">
        <v>0</v>
      </c>
      <c r="S98" s="784">
        <v>0</v>
      </c>
      <c r="T98" s="2198">
        <v>0</v>
      </c>
      <c r="U98" s="2199">
        <v>7000</v>
      </c>
      <c r="V98" s="2243">
        <v>0</v>
      </c>
      <c r="W98" s="2198">
        <v>0</v>
      </c>
      <c r="X98" s="2199">
        <v>0</v>
      </c>
      <c r="Y98" s="2199">
        <v>0</v>
      </c>
      <c r="Z98" s="2199">
        <v>0</v>
      </c>
      <c r="AA98" s="2243">
        <v>0</v>
      </c>
      <c r="AB98" s="2244" t="s">
        <v>1791</v>
      </c>
      <c r="AC98" s="759" t="s">
        <v>186</v>
      </c>
      <c r="AD98" s="761" t="s">
        <v>1067</v>
      </c>
      <c r="AE98" s="761" t="s">
        <v>92</v>
      </c>
      <c r="AF98" s="761" t="s">
        <v>101</v>
      </c>
      <c r="AG98" s="780" t="s">
        <v>221</v>
      </c>
      <c r="AH98" s="780"/>
    </row>
    <row r="99" spans="1:34" ht="25.5" outlineLevel="1" x14ac:dyDescent="0.25">
      <c r="A99" s="1803" t="s">
        <v>901</v>
      </c>
      <c r="B99" s="1804" t="s">
        <v>87</v>
      </c>
      <c r="C99" s="2228" t="s">
        <v>827</v>
      </c>
      <c r="D99" s="428" t="s">
        <v>1593</v>
      </c>
      <c r="E99" s="219" t="s">
        <v>18</v>
      </c>
      <c r="F99" s="1699" t="s">
        <v>18</v>
      </c>
      <c r="G99" s="248">
        <v>220000</v>
      </c>
      <c r="H99" s="418">
        <v>0</v>
      </c>
      <c r="I99" s="2142">
        <v>0</v>
      </c>
      <c r="J99" s="2143">
        <v>0</v>
      </c>
      <c r="K99" s="2159">
        <v>0</v>
      </c>
      <c r="L99" s="2136">
        <v>0</v>
      </c>
      <c r="M99" s="1694">
        <v>0</v>
      </c>
      <c r="N99" s="2138">
        <v>0</v>
      </c>
      <c r="O99" s="2138">
        <v>5000</v>
      </c>
      <c r="P99" s="1691">
        <v>-5000</v>
      </c>
      <c r="Q99" s="1691">
        <f t="shared" si="4"/>
        <v>0</v>
      </c>
      <c r="R99" s="421">
        <v>200000</v>
      </c>
      <c r="S99" s="421">
        <v>20000</v>
      </c>
      <c r="T99" s="2136">
        <v>0</v>
      </c>
      <c r="U99" s="1846">
        <v>0</v>
      </c>
      <c r="V99" s="2245">
        <v>0</v>
      </c>
      <c r="W99" s="2136">
        <v>0</v>
      </c>
      <c r="X99" s="1846">
        <v>0</v>
      </c>
      <c r="Y99" s="1846">
        <v>0</v>
      </c>
      <c r="Z99" s="1846">
        <v>0</v>
      </c>
      <c r="AA99" s="2245">
        <v>0</v>
      </c>
      <c r="AB99" s="2743" t="s">
        <v>1792</v>
      </c>
      <c r="AC99" s="219" t="s">
        <v>13</v>
      </c>
      <c r="AD99" s="379" t="s">
        <v>321</v>
      </c>
      <c r="AE99" s="379" t="s">
        <v>92</v>
      </c>
      <c r="AF99" s="379" t="s">
        <v>101</v>
      </c>
      <c r="AG99" s="383" t="s">
        <v>216</v>
      </c>
      <c r="AH99" s="383"/>
    </row>
    <row r="100" spans="1:34" ht="25.5" outlineLevel="1" x14ac:dyDescent="0.25">
      <c r="A100" s="1683" t="s">
        <v>902</v>
      </c>
      <c r="B100" s="1684" t="s">
        <v>1415</v>
      </c>
      <c r="C100" s="2246" t="s">
        <v>828</v>
      </c>
      <c r="D100" s="428" t="s">
        <v>1593</v>
      </c>
      <c r="E100" s="219" t="s">
        <v>18</v>
      </c>
      <c r="F100" s="1699" t="s">
        <v>18</v>
      </c>
      <c r="G100" s="251">
        <v>35000</v>
      </c>
      <c r="H100" s="429">
        <v>0</v>
      </c>
      <c r="I100" s="1975">
        <v>0</v>
      </c>
      <c r="J100" s="2145">
        <v>450.846</v>
      </c>
      <c r="K100" s="1977">
        <v>0</v>
      </c>
      <c r="L100" s="1693">
        <v>0</v>
      </c>
      <c r="M100" s="1695">
        <f>200.376+250.47</f>
        <v>450.846</v>
      </c>
      <c r="N100" s="1696">
        <f>15000-200.376-10000-250.47</f>
        <v>4549.1539999999995</v>
      </c>
      <c r="O100" s="1696">
        <v>15000</v>
      </c>
      <c r="P100" s="1692">
        <v>-10000</v>
      </c>
      <c r="Q100" s="1692">
        <f t="shared" si="4"/>
        <v>5000</v>
      </c>
      <c r="R100" s="1726">
        <v>30000</v>
      </c>
      <c r="S100" s="1726">
        <v>0</v>
      </c>
      <c r="T100" s="1693">
        <v>0</v>
      </c>
      <c r="U100" s="1728">
        <v>0</v>
      </c>
      <c r="V100" s="2247">
        <v>0</v>
      </c>
      <c r="W100" s="1693">
        <v>0</v>
      </c>
      <c r="X100" s="1728">
        <v>0</v>
      </c>
      <c r="Y100" s="1728">
        <v>0</v>
      </c>
      <c r="Z100" s="1728">
        <v>0</v>
      </c>
      <c r="AA100" s="2247">
        <v>0</v>
      </c>
      <c r="AB100" s="2742" t="s">
        <v>1497</v>
      </c>
      <c r="AC100" s="220" t="s">
        <v>13</v>
      </c>
      <c r="AD100" s="252" t="s">
        <v>321</v>
      </c>
      <c r="AE100" s="252" t="s">
        <v>92</v>
      </c>
      <c r="AF100" s="252" t="s">
        <v>102</v>
      </c>
      <c r="AG100" s="1686" t="s">
        <v>206</v>
      </c>
      <c r="AH100" s="1686"/>
    </row>
    <row r="101" spans="1:34" ht="25.5" outlineLevel="1" x14ac:dyDescent="0.25">
      <c r="A101" s="802" t="s">
        <v>903</v>
      </c>
      <c r="B101" s="798" t="s">
        <v>87</v>
      </c>
      <c r="C101" s="1339" t="s">
        <v>829</v>
      </c>
      <c r="D101" s="102" t="s">
        <v>1593</v>
      </c>
      <c r="E101" s="93" t="s">
        <v>18</v>
      </c>
      <c r="F101" s="308" t="s">
        <v>18</v>
      </c>
      <c r="G101" s="96">
        <v>50000</v>
      </c>
      <c r="H101" s="312">
        <v>0</v>
      </c>
      <c r="I101" s="1593">
        <v>0</v>
      </c>
      <c r="J101" s="1594">
        <v>0</v>
      </c>
      <c r="K101" s="1595">
        <v>0</v>
      </c>
      <c r="L101" s="803">
        <v>0</v>
      </c>
      <c r="M101" s="698">
        <v>0</v>
      </c>
      <c r="N101" s="513">
        <v>0</v>
      </c>
      <c r="O101" s="1222">
        <v>0</v>
      </c>
      <c r="P101" s="851">
        <v>0</v>
      </c>
      <c r="Q101" s="613">
        <f t="shared" si="4"/>
        <v>0</v>
      </c>
      <c r="R101" s="519">
        <f>43500+5000</f>
        <v>48500</v>
      </c>
      <c r="S101" s="519">
        <v>0</v>
      </c>
      <c r="T101" s="803">
        <v>0</v>
      </c>
      <c r="U101" s="470">
        <v>1500</v>
      </c>
      <c r="V101" s="877">
        <v>0</v>
      </c>
      <c r="W101" s="803">
        <v>0</v>
      </c>
      <c r="X101" s="470">
        <v>0</v>
      </c>
      <c r="Y101" s="470">
        <v>0</v>
      </c>
      <c r="Z101" s="470">
        <v>0</v>
      </c>
      <c r="AA101" s="877">
        <v>0</v>
      </c>
      <c r="AB101" s="1488" t="s">
        <v>1674</v>
      </c>
      <c r="AC101" s="95" t="s">
        <v>13</v>
      </c>
      <c r="AD101" s="515" t="s">
        <v>561</v>
      </c>
      <c r="AE101" s="515" t="s">
        <v>92</v>
      </c>
      <c r="AF101" s="515" t="s">
        <v>102</v>
      </c>
      <c r="AG101" s="514" t="s">
        <v>212</v>
      </c>
      <c r="AH101" s="514"/>
    </row>
    <row r="102" spans="1:34" ht="25.5" outlineLevel="1" x14ac:dyDescent="0.25">
      <c r="A102" s="802" t="s">
        <v>904</v>
      </c>
      <c r="B102" s="798" t="s">
        <v>1535</v>
      </c>
      <c r="C102" s="1339" t="s">
        <v>1125</v>
      </c>
      <c r="D102" s="102" t="s">
        <v>1593</v>
      </c>
      <c r="E102" s="93" t="s">
        <v>18</v>
      </c>
      <c r="F102" s="308" t="s">
        <v>18</v>
      </c>
      <c r="G102" s="96">
        <f>21375-10275</f>
        <v>11100</v>
      </c>
      <c r="H102" s="312">
        <v>0</v>
      </c>
      <c r="I102" s="1593">
        <v>0</v>
      </c>
      <c r="J102" s="1594">
        <v>9624.5122699999993</v>
      </c>
      <c r="K102" s="1595">
        <v>1254.7187300000001</v>
      </c>
      <c r="L102" s="803">
        <v>0</v>
      </c>
      <c r="M102" s="698">
        <f>10600-975.48773</f>
        <v>9624.5122699999993</v>
      </c>
      <c r="N102" s="513">
        <f>500+975.48773</f>
        <v>1475.4877300000001</v>
      </c>
      <c r="O102" s="1222">
        <v>11100</v>
      </c>
      <c r="P102" s="851">
        <v>0</v>
      </c>
      <c r="Q102" s="613">
        <f t="shared" si="4"/>
        <v>11100</v>
      </c>
      <c r="R102" s="519">
        <v>0</v>
      </c>
      <c r="S102" s="519">
        <v>0</v>
      </c>
      <c r="T102" s="803">
        <v>0</v>
      </c>
      <c r="U102" s="470">
        <v>0</v>
      </c>
      <c r="V102" s="877">
        <v>0</v>
      </c>
      <c r="W102" s="803">
        <v>0</v>
      </c>
      <c r="X102" s="470">
        <v>0</v>
      </c>
      <c r="Y102" s="470">
        <v>0</v>
      </c>
      <c r="Z102" s="470">
        <v>0</v>
      </c>
      <c r="AA102" s="877">
        <v>0</v>
      </c>
      <c r="AB102" s="1488" t="s">
        <v>84</v>
      </c>
      <c r="AC102" s="95" t="s">
        <v>186</v>
      </c>
      <c r="AD102" s="515" t="s">
        <v>191</v>
      </c>
      <c r="AE102" s="515" t="s">
        <v>92</v>
      </c>
      <c r="AF102" s="515" t="s">
        <v>101</v>
      </c>
      <c r="AG102" s="514" t="s">
        <v>216</v>
      </c>
      <c r="AH102" s="514"/>
    </row>
    <row r="103" spans="1:34" s="1176" customFormat="1" ht="25.5" outlineLevel="1" x14ac:dyDescent="0.25">
      <c r="A103" s="1381" t="s">
        <v>905</v>
      </c>
      <c r="B103" s="1382" t="s">
        <v>1537</v>
      </c>
      <c r="C103" s="2669" t="s">
        <v>830</v>
      </c>
      <c r="D103" s="2670" t="s">
        <v>1593</v>
      </c>
      <c r="E103" s="793" t="s">
        <v>18</v>
      </c>
      <c r="F103" s="2671" t="s">
        <v>18</v>
      </c>
      <c r="G103" s="637">
        <v>10245.55401</v>
      </c>
      <c r="H103" s="2672">
        <v>0</v>
      </c>
      <c r="I103" s="1390">
        <v>0</v>
      </c>
      <c r="J103" s="1391">
        <v>2418.7924200000002</v>
      </c>
      <c r="K103" s="1392">
        <v>7826.7615900000001</v>
      </c>
      <c r="L103" s="1384">
        <v>0</v>
      </c>
      <c r="M103" s="1385">
        <f>10179-7760.20758</f>
        <v>2418.7924199999998</v>
      </c>
      <c r="N103" s="1386">
        <v>7826.7615900000001</v>
      </c>
      <c r="O103" s="2673">
        <v>10179</v>
      </c>
      <c r="P103" s="1393">
        <v>66.554010000000005</v>
      </c>
      <c r="Q103" s="1383">
        <f t="shared" ref="Q103:Q166" si="7">O103+P103</f>
        <v>10245.55401</v>
      </c>
      <c r="R103" s="1394">
        <v>0</v>
      </c>
      <c r="S103" s="1394">
        <v>0</v>
      </c>
      <c r="T103" s="1384">
        <v>0</v>
      </c>
      <c r="U103" s="1385">
        <v>0</v>
      </c>
      <c r="V103" s="2674">
        <v>0</v>
      </c>
      <c r="W103" s="1384">
        <v>0</v>
      </c>
      <c r="X103" s="1385">
        <v>0</v>
      </c>
      <c r="Y103" s="1385">
        <v>0</v>
      </c>
      <c r="Z103" s="1385">
        <v>0</v>
      </c>
      <c r="AA103" s="2674">
        <v>0</v>
      </c>
      <c r="AB103" s="2744" t="s">
        <v>2061</v>
      </c>
      <c r="AC103" s="636" t="s">
        <v>95</v>
      </c>
      <c r="AD103" s="638" t="s">
        <v>321</v>
      </c>
      <c r="AE103" s="638" t="s">
        <v>92</v>
      </c>
      <c r="AF103" s="638" t="s">
        <v>101</v>
      </c>
      <c r="AG103" s="792" t="s">
        <v>209</v>
      </c>
      <c r="AH103" s="792"/>
    </row>
    <row r="104" spans="1:34" ht="25.5" outlineLevel="1" x14ac:dyDescent="0.25">
      <c r="A104" s="1683" t="s">
        <v>906</v>
      </c>
      <c r="B104" s="1684" t="s">
        <v>2069</v>
      </c>
      <c r="C104" s="2246" t="s">
        <v>831</v>
      </c>
      <c r="D104" s="428" t="s">
        <v>1593</v>
      </c>
      <c r="E104" s="219" t="s">
        <v>18</v>
      </c>
      <c r="F104" s="1699" t="s">
        <v>18</v>
      </c>
      <c r="G104" s="251">
        <v>18330</v>
      </c>
      <c r="H104" s="429">
        <v>0</v>
      </c>
      <c r="I104" s="1975">
        <v>0</v>
      </c>
      <c r="J104" s="2145">
        <v>0</v>
      </c>
      <c r="K104" s="1977">
        <v>3285.5507899999998</v>
      </c>
      <c r="L104" s="1693">
        <v>0</v>
      </c>
      <c r="M104" s="1728">
        <f>8978-8978</f>
        <v>0</v>
      </c>
      <c r="N104" s="1696">
        <f>1522+7830+8978</f>
        <v>18330</v>
      </c>
      <c r="O104" s="1696">
        <v>10500</v>
      </c>
      <c r="P104" s="1692">
        <v>7830</v>
      </c>
      <c r="Q104" s="1692">
        <f t="shared" si="7"/>
        <v>18330</v>
      </c>
      <c r="R104" s="1726">
        <v>0</v>
      </c>
      <c r="S104" s="1726">
        <v>0</v>
      </c>
      <c r="T104" s="1693">
        <v>0</v>
      </c>
      <c r="U104" s="1728">
        <v>0</v>
      </c>
      <c r="V104" s="2247">
        <v>0</v>
      </c>
      <c r="W104" s="1693">
        <v>0</v>
      </c>
      <c r="X104" s="1728">
        <v>0</v>
      </c>
      <c r="Y104" s="1728">
        <v>0</v>
      </c>
      <c r="Z104" s="1728">
        <v>0</v>
      </c>
      <c r="AA104" s="2247">
        <v>0</v>
      </c>
      <c r="AB104" s="1545" t="s">
        <v>1793</v>
      </c>
      <c r="AC104" s="220" t="s">
        <v>13</v>
      </c>
      <c r="AD104" s="252" t="s">
        <v>321</v>
      </c>
      <c r="AE104" s="252" t="s">
        <v>92</v>
      </c>
      <c r="AF104" s="252" t="s">
        <v>101</v>
      </c>
      <c r="AG104" s="1686" t="s">
        <v>212</v>
      </c>
      <c r="AH104" s="1686"/>
    </row>
    <row r="105" spans="1:34" ht="31.5" outlineLevel="1" x14ac:dyDescent="0.25">
      <c r="A105" s="1242" t="s">
        <v>907</v>
      </c>
      <c r="B105" s="1051" t="s">
        <v>2070</v>
      </c>
      <c r="C105" s="1396" t="s">
        <v>832</v>
      </c>
      <c r="D105" s="1397" t="s">
        <v>1593</v>
      </c>
      <c r="E105" s="1167" t="s">
        <v>18</v>
      </c>
      <c r="F105" s="1398" t="s">
        <v>18</v>
      </c>
      <c r="G105" s="1053">
        <f>10000+11235-21235+1327.74275</f>
        <v>1327.7427499999999</v>
      </c>
      <c r="H105" s="1399">
        <v>0</v>
      </c>
      <c r="I105" s="1245">
        <v>0</v>
      </c>
      <c r="J105" s="1246">
        <v>0</v>
      </c>
      <c r="K105" s="1247">
        <v>1327.7427499999999</v>
      </c>
      <c r="L105" s="1055">
        <v>0</v>
      </c>
      <c r="M105" s="1252">
        <v>0</v>
      </c>
      <c r="N105" s="1251">
        <v>1327.7427499999999</v>
      </c>
      <c r="O105" s="1251">
        <v>6000</v>
      </c>
      <c r="P105" s="1249">
        <v>-4672.2572499999997</v>
      </c>
      <c r="Q105" s="1249">
        <f t="shared" si="7"/>
        <v>1327.7427500000003</v>
      </c>
      <c r="R105" s="1248">
        <v>0</v>
      </c>
      <c r="S105" s="1248">
        <v>0</v>
      </c>
      <c r="T105" s="1055">
        <v>0</v>
      </c>
      <c r="U105" s="1056">
        <f>11152+6000+4083-21235</f>
        <v>0</v>
      </c>
      <c r="V105" s="1268">
        <v>0</v>
      </c>
      <c r="W105" s="1055">
        <v>0</v>
      </c>
      <c r="X105" s="1056">
        <v>0</v>
      </c>
      <c r="Y105" s="1056">
        <v>0</v>
      </c>
      <c r="Z105" s="1056">
        <v>0</v>
      </c>
      <c r="AA105" s="1268">
        <v>0</v>
      </c>
      <c r="AB105" s="2745" t="s">
        <v>2074</v>
      </c>
      <c r="AC105" s="382" t="s">
        <v>95</v>
      </c>
      <c r="AD105" s="1057" t="s">
        <v>191</v>
      </c>
      <c r="AE105" s="1057" t="s">
        <v>92</v>
      </c>
      <c r="AF105" s="1057" t="s">
        <v>101</v>
      </c>
      <c r="AG105" s="1052" t="s">
        <v>219</v>
      </c>
      <c r="AH105" s="1052"/>
    </row>
    <row r="106" spans="1:34" ht="25.5" outlineLevel="1" x14ac:dyDescent="0.25">
      <c r="A106" s="1905" t="s">
        <v>908</v>
      </c>
      <c r="B106" s="2229" t="s">
        <v>1949</v>
      </c>
      <c r="C106" s="2230" t="s">
        <v>1126</v>
      </c>
      <c r="D106" s="1266" t="s">
        <v>1593</v>
      </c>
      <c r="E106" s="223" t="s">
        <v>18</v>
      </c>
      <c r="F106" s="2251" t="s">
        <v>18</v>
      </c>
      <c r="G106" s="776">
        <f>16775-9575</f>
        <v>7200</v>
      </c>
      <c r="H106" s="787">
        <v>0</v>
      </c>
      <c r="I106" s="2232">
        <v>0</v>
      </c>
      <c r="J106" s="2233">
        <v>0</v>
      </c>
      <c r="K106" s="2234">
        <v>7080.5795399999997</v>
      </c>
      <c r="L106" s="2235">
        <v>0</v>
      </c>
      <c r="M106" s="2239">
        <f>7200-7200</f>
        <v>0</v>
      </c>
      <c r="N106" s="749">
        <f>0+7200</f>
        <v>7200</v>
      </c>
      <c r="O106" s="2237">
        <v>8500</v>
      </c>
      <c r="P106" s="2238">
        <v>-1300</v>
      </c>
      <c r="Q106" s="719">
        <f t="shared" si="7"/>
        <v>7200</v>
      </c>
      <c r="R106" s="748">
        <v>0</v>
      </c>
      <c r="S106" s="748">
        <v>0</v>
      </c>
      <c r="T106" s="2235">
        <v>0</v>
      </c>
      <c r="U106" s="2236">
        <v>0</v>
      </c>
      <c r="V106" s="2252">
        <v>0</v>
      </c>
      <c r="W106" s="2235">
        <v>0</v>
      </c>
      <c r="X106" s="2236">
        <v>0</v>
      </c>
      <c r="Y106" s="2236">
        <v>0</v>
      </c>
      <c r="Z106" s="2236">
        <v>0</v>
      </c>
      <c r="AA106" s="2252">
        <v>0</v>
      </c>
      <c r="AB106" s="2253" t="s">
        <v>1795</v>
      </c>
      <c r="AC106" s="655" t="s">
        <v>186</v>
      </c>
      <c r="AD106" s="321" t="s">
        <v>191</v>
      </c>
      <c r="AE106" s="321" t="s">
        <v>92</v>
      </c>
      <c r="AF106" s="321" t="s">
        <v>101</v>
      </c>
      <c r="AG106" s="773" t="s">
        <v>218</v>
      </c>
      <c r="AH106" s="773"/>
    </row>
    <row r="107" spans="1:34" ht="25.5" outlineLevel="1" x14ac:dyDescent="0.25">
      <c r="A107" s="802" t="s">
        <v>909</v>
      </c>
      <c r="B107" s="798" t="s">
        <v>1538</v>
      </c>
      <c r="C107" s="1339" t="s">
        <v>1127</v>
      </c>
      <c r="D107" s="102" t="s">
        <v>1593</v>
      </c>
      <c r="E107" s="93" t="s">
        <v>18</v>
      </c>
      <c r="F107" s="308" t="s">
        <v>18</v>
      </c>
      <c r="G107" s="96">
        <f>35831-15831</f>
        <v>20000</v>
      </c>
      <c r="H107" s="312">
        <v>0</v>
      </c>
      <c r="I107" s="1593">
        <v>0</v>
      </c>
      <c r="J107" s="1594">
        <v>1736.4267500000001</v>
      </c>
      <c r="K107" s="1595">
        <v>7698.0265499999996</v>
      </c>
      <c r="L107" s="803">
        <v>0</v>
      </c>
      <c r="M107" s="698">
        <f>18313-16576.57325</f>
        <v>1736.4267499999987</v>
      </c>
      <c r="N107" s="513">
        <f>1687+16576.57325</f>
        <v>18263.573250000001</v>
      </c>
      <c r="O107" s="1222">
        <v>20000</v>
      </c>
      <c r="P107" s="851">
        <v>0</v>
      </c>
      <c r="Q107" s="613">
        <f t="shared" si="7"/>
        <v>20000</v>
      </c>
      <c r="R107" s="519">
        <v>0</v>
      </c>
      <c r="S107" s="519">
        <v>0</v>
      </c>
      <c r="T107" s="803">
        <v>0</v>
      </c>
      <c r="U107" s="470">
        <v>0</v>
      </c>
      <c r="V107" s="877">
        <v>0</v>
      </c>
      <c r="W107" s="803">
        <v>0</v>
      </c>
      <c r="X107" s="470">
        <v>0</v>
      </c>
      <c r="Y107" s="470">
        <v>0</v>
      </c>
      <c r="Z107" s="470">
        <v>0</v>
      </c>
      <c r="AA107" s="877">
        <v>0</v>
      </c>
      <c r="AB107" s="1488" t="s">
        <v>84</v>
      </c>
      <c r="AC107" s="479" t="s">
        <v>186</v>
      </c>
      <c r="AD107" s="515" t="s">
        <v>191</v>
      </c>
      <c r="AE107" s="515" t="s">
        <v>92</v>
      </c>
      <c r="AF107" s="515" t="s">
        <v>101</v>
      </c>
      <c r="AG107" s="514" t="s">
        <v>205</v>
      </c>
      <c r="AH107" s="514"/>
    </row>
    <row r="108" spans="1:34" ht="25.5" outlineLevel="1" x14ac:dyDescent="0.25">
      <c r="A108" s="1905" t="s">
        <v>910</v>
      </c>
      <c r="B108" s="2229" t="s">
        <v>87</v>
      </c>
      <c r="C108" s="2230" t="s">
        <v>1152</v>
      </c>
      <c r="D108" s="1266" t="s">
        <v>1593</v>
      </c>
      <c r="E108" s="223" t="s">
        <v>18</v>
      </c>
      <c r="F108" s="2251" t="s">
        <v>18</v>
      </c>
      <c r="G108" s="776">
        <f>36360-11060</f>
        <v>25300</v>
      </c>
      <c r="H108" s="787">
        <v>0</v>
      </c>
      <c r="I108" s="2232">
        <v>0</v>
      </c>
      <c r="J108" s="2233">
        <v>0</v>
      </c>
      <c r="K108" s="2234">
        <v>0</v>
      </c>
      <c r="L108" s="2235">
        <v>0</v>
      </c>
      <c r="M108" s="2239">
        <v>0</v>
      </c>
      <c r="N108" s="749">
        <v>25300</v>
      </c>
      <c r="O108" s="2237">
        <v>20300</v>
      </c>
      <c r="P108" s="2238">
        <v>5000</v>
      </c>
      <c r="Q108" s="719">
        <f t="shared" si="7"/>
        <v>25300</v>
      </c>
      <c r="R108" s="748">
        <v>0</v>
      </c>
      <c r="S108" s="748">
        <v>0</v>
      </c>
      <c r="T108" s="2235">
        <v>0</v>
      </c>
      <c r="U108" s="2236">
        <v>0</v>
      </c>
      <c r="V108" s="2252">
        <v>0</v>
      </c>
      <c r="W108" s="2235">
        <v>0</v>
      </c>
      <c r="X108" s="2236">
        <v>0</v>
      </c>
      <c r="Y108" s="2236">
        <v>0</v>
      </c>
      <c r="Z108" s="2236">
        <v>0</v>
      </c>
      <c r="AA108" s="2252">
        <v>0</v>
      </c>
      <c r="AB108" s="2253" t="s">
        <v>1796</v>
      </c>
      <c r="AC108" s="655" t="s">
        <v>186</v>
      </c>
      <c r="AD108" s="321" t="s">
        <v>315</v>
      </c>
      <c r="AE108" s="321" t="s">
        <v>92</v>
      </c>
      <c r="AF108" s="321" t="s">
        <v>101</v>
      </c>
      <c r="AG108" s="773" t="s">
        <v>222</v>
      </c>
      <c r="AH108" s="773"/>
    </row>
    <row r="109" spans="1:34" ht="25.5" outlineLevel="1" x14ac:dyDescent="0.25">
      <c r="A109" s="1905" t="s">
        <v>911</v>
      </c>
      <c r="B109" s="2229" t="s">
        <v>1650</v>
      </c>
      <c r="C109" s="2230" t="s">
        <v>1349</v>
      </c>
      <c r="D109" s="1266" t="s">
        <v>1593</v>
      </c>
      <c r="E109" s="223" t="s">
        <v>18</v>
      </c>
      <c r="F109" s="2251" t="s">
        <v>18</v>
      </c>
      <c r="G109" s="776">
        <f>8750-3073</f>
        <v>5677</v>
      </c>
      <c r="H109" s="787">
        <v>0</v>
      </c>
      <c r="I109" s="2232">
        <v>0</v>
      </c>
      <c r="J109" s="2233">
        <v>52.3688</v>
      </c>
      <c r="K109" s="2234">
        <v>5590.2222599999996</v>
      </c>
      <c r="L109" s="2235">
        <v>0</v>
      </c>
      <c r="M109" s="2236">
        <f>5677-5624.6312</f>
        <v>52.368800000000192</v>
      </c>
      <c r="N109" s="749">
        <f>0+5624.6312</f>
        <v>5624.6311999999998</v>
      </c>
      <c r="O109" s="2237">
        <v>5677</v>
      </c>
      <c r="P109" s="2238">
        <v>0</v>
      </c>
      <c r="Q109" s="719">
        <f t="shared" si="7"/>
        <v>5677</v>
      </c>
      <c r="R109" s="748">
        <v>0</v>
      </c>
      <c r="S109" s="748">
        <v>0</v>
      </c>
      <c r="T109" s="2235">
        <v>0</v>
      </c>
      <c r="U109" s="2236">
        <v>0</v>
      </c>
      <c r="V109" s="2252">
        <v>0</v>
      </c>
      <c r="W109" s="2235">
        <v>0</v>
      </c>
      <c r="X109" s="2236">
        <v>0</v>
      </c>
      <c r="Y109" s="2236">
        <v>0</v>
      </c>
      <c r="Z109" s="2236">
        <v>0</v>
      </c>
      <c r="AA109" s="2252">
        <v>0</v>
      </c>
      <c r="AB109" s="2253" t="s">
        <v>1797</v>
      </c>
      <c r="AC109" s="655" t="s">
        <v>186</v>
      </c>
      <c r="AD109" s="321" t="s">
        <v>315</v>
      </c>
      <c r="AE109" s="321" t="s">
        <v>92</v>
      </c>
      <c r="AF109" s="321" t="s">
        <v>101</v>
      </c>
      <c r="AG109" s="773" t="s">
        <v>208</v>
      </c>
      <c r="AH109" s="773"/>
    </row>
    <row r="110" spans="1:34" s="1378" customFormat="1" ht="25.5" outlineLevel="1" x14ac:dyDescent="0.25">
      <c r="A110" s="929" t="s">
        <v>912</v>
      </c>
      <c r="B110" s="733" t="s">
        <v>1416</v>
      </c>
      <c r="C110" s="2248" t="s">
        <v>2098</v>
      </c>
      <c r="D110" s="290" t="s">
        <v>1593</v>
      </c>
      <c r="E110" s="245" t="s">
        <v>18</v>
      </c>
      <c r="F110" s="731" t="s">
        <v>18</v>
      </c>
      <c r="G110" s="747">
        <f>16200-7123-0.42821</f>
        <v>9076.57179</v>
      </c>
      <c r="H110" s="725">
        <v>0</v>
      </c>
      <c r="I110" s="974">
        <v>0</v>
      </c>
      <c r="J110" s="975">
        <v>9076.57179</v>
      </c>
      <c r="K110" s="1236">
        <v>0</v>
      </c>
      <c r="L110" s="734">
        <v>0</v>
      </c>
      <c r="M110" s="735">
        <f>9077-0.42821</f>
        <v>9076.57179</v>
      </c>
      <c r="N110" s="739">
        <v>0</v>
      </c>
      <c r="O110" s="2249">
        <v>9150</v>
      </c>
      <c r="P110" s="936">
        <f>-73-0.42821</f>
        <v>-73.428210000000007</v>
      </c>
      <c r="Q110" s="716">
        <f t="shared" si="7"/>
        <v>9076.57179</v>
      </c>
      <c r="R110" s="954">
        <v>0</v>
      </c>
      <c r="S110" s="954">
        <v>0</v>
      </c>
      <c r="T110" s="734">
        <v>0</v>
      </c>
      <c r="U110" s="736">
        <v>0</v>
      </c>
      <c r="V110" s="960">
        <v>0</v>
      </c>
      <c r="W110" s="734">
        <v>0</v>
      </c>
      <c r="X110" s="736">
        <v>0</v>
      </c>
      <c r="Y110" s="736">
        <v>0</v>
      </c>
      <c r="Z110" s="736">
        <v>0</v>
      </c>
      <c r="AA110" s="960">
        <v>0</v>
      </c>
      <c r="AB110" s="2250" t="s">
        <v>1798</v>
      </c>
      <c r="AC110" s="204" t="s">
        <v>95</v>
      </c>
      <c r="AD110" s="253" t="s">
        <v>1067</v>
      </c>
      <c r="AE110" s="253" t="s">
        <v>92</v>
      </c>
      <c r="AF110" s="253" t="s">
        <v>101</v>
      </c>
      <c r="AG110" s="718" t="s">
        <v>222</v>
      </c>
      <c r="AH110" s="718"/>
    </row>
    <row r="111" spans="1:34" ht="25.5" outlineLevel="1" x14ac:dyDescent="0.25">
      <c r="A111" s="1905" t="s">
        <v>913</v>
      </c>
      <c r="B111" s="2229" t="s">
        <v>1950</v>
      </c>
      <c r="C111" s="2230" t="s">
        <v>833</v>
      </c>
      <c r="D111" s="1266" t="s">
        <v>1593</v>
      </c>
      <c r="E111" s="223" t="s">
        <v>18</v>
      </c>
      <c r="F111" s="2251" t="s">
        <v>18</v>
      </c>
      <c r="G111" s="776">
        <f>19800-8200</f>
        <v>11600</v>
      </c>
      <c r="H111" s="787">
        <v>0</v>
      </c>
      <c r="I111" s="2232">
        <v>0</v>
      </c>
      <c r="J111" s="2233">
        <v>0</v>
      </c>
      <c r="K111" s="2234">
        <v>10627.259319999999</v>
      </c>
      <c r="L111" s="2235">
        <v>0</v>
      </c>
      <c r="M111" s="2239">
        <f>11000-11000</f>
        <v>0</v>
      </c>
      <c r="N111" s="749">
        <f>600+11000</f>
        <v>11600</v>
      </c>
      <c r="O111" s="2237">
        <v>11000</v>
      </c>
      <c r="P111" s="2238">
        <v>600</v>
      </c>
      <c r="Q111" s="719">
        <f t="shared" si="7"/>
        <v>11600</v>
      </c>
      <c r="R111" s="748">
        <v>0</v>
      </c>
      <c r="S111" s="748">
        <v>0</v>
      </c>
      <c r="T111" s="2235">
        <v>0</v>
      </c>
      <c r="U111" s="2236">
        <v>0</v>
      </c>
      <c r="V111" s="2252">
        <v>0</v>
      </c>
      <c r="W111" s="2235">
        <v>0</v>
      </c>
      <c r="X111" s="2236">
        <v>0</v>
      </c>
      <c r="Y111" s="2236">
        <v>0</v>
      </c>
      <c r="Z111" s="2236">
        <v>0</v>
      </c>
      <c r="AA111" s="2252">
        <v>0</v>
      </c>
      <c r="AB111" s="2253" t="s">
        <v>1799</v>
      </c>
      <c r="AC111" s="655" t="s">
        <v>186</v>
      </c>
      <c r="AD111" s="321" t="s">
        <v>321</v>
      </c>
      <c r="AE111" s="321" t="s">
        <v>92</v>
      </c>
      <c r="AF111" s="321" t="s">
        <v>101</v>
      </c>
      <c r="AG111" s="773" t="s">
        <v>222</v>
      </c>
      <c r="AH111" s="773"/>
    </row>
    <row r="112" spans="1:34" ht="25.5" outlineLevel="1" x14ac:dyDescent="0.25">
      <c r="A112" s="1905" t="s">
        <v>914</v>
      </c>
      <c r="B112" s="2229" t="s">
        <v>87</v>
      </c>
      <c r="C112" s="2230" t="s">
        <v>834</v>
      </c>
      <c r="D112" s="1266" t="s">
        <v>1593</v>
      </c>
      <c r="E112" s="223" t="s">
        <v>18</v>
      </c>
      <c r="F112" s="2251" t="s">
        <v>18</v>
      </c>
      <c r="G112" s="776">
        <f>9000-3649</f>
        <v>5351</v>
      </c>
      <c r="H112" s="787">
        <v>0</v>
      </c>
      <c r="I112" s="2232">
        <v>0</v>
      </c>
      <c r="J112" s="2233">
        <v>0</v>
      </c>
      <c r="K112" s="2234">
        <v>0</v>
      </c>
      <c r="L112" s="2235">
        <v>0</v>
      </c>
      <c r="M112" s="2239">
        <v>0</v>
      </c>
      <c r="N112" s="749">
        <f>5211+140</f>
        <v>5351</v>
      </c>
      <c r="O112" s="2237">
        <v>5351</v>
      </c>
      <c r="P112" s="2238">
        <v>0</v>
      </c>
      <c r="Q112" s="719">
        <f t="shared" si="7"/>
        <v>5351</v>
      </c>
      <c r="R112" s="748">
        <v>0</v>
      </c>
      <c r="S112" s="748">
        <v>0</v>
      </c>
      <c r="T112" s="2235">
        <v>0</v>
      </c>
      <c r="U112" s="2236">
        <v>0</v>
      </c>
      <c r="V112" s="2252">
        <v>0</v>
      </c>
      <c r="W112" s="2235">
        <v>0</v>
      </c>
      <c r="X112" s="2236">
        <v>0</v>
      </c>
      <c r="Y112" s="2236">
        <v>0</v>
      </c>
      <c r="Z112" s="2236">
        <v>0</v>
      </c>
      <c r="AA112" s="2252">
        <v>0</v>
      </c>
      <c r="AB112" s="2253" t="s">
        <v>1800</v>
      </c>
      <c r="AC112" s="655" t="s">
        <v>186</v>
      </c>
      <c r="AD112" s="321" t="s">
        <v>191</v>
      </c>
      <c r="AE112" s="321" t="s">
        <v>92</v>
      </c>
      <c r="AF112" s="321" t="s">
        <v>101</v>
      </c>
      <c r="AG112" s="773" t="s">
        <v>208</v>
      </c>
      <c r="AH112" s="773"/>
    </row>
    <row r="113" spans="1:34" ht="25.5" outlineLevel="1" x14ac:dyDescent="0.25">
      <c r="A113" s="929" t="s">
        <v>915</v>
      </c>
      <c r="B113" s="733" t="s">
        <v>1651</v>
      </c>
      <c r="C113" s="2248" t="s">
        <v>1128</v>
      </c>
      <c r="D113" s="290" t="s">
        <v>1593</v>
      </c>
      <c r="E113" s="245" t="s">
        <v>18</v>
      </c>
      <c r="F113" s="731" t="s">
        <v>18</v>
      </c>
      <c r="G113" s="747">
        <v>13753.852199999999</v>
      </c>
      <c r="H113" s="725">
        <v>0</v>
      </c>
      <c r="I113" s="974">
        <v>0</v>
      </c>
      <c r="J113" s="975">
        <v>33.517000000000003</v>
      </c>
      <c r="K113" s="1236">
        <v>13720.3352</v>
      </c>
      <c r="L113" s="734">
        <v>0</v>
      </c>
      <c r="M113" s="736">
        <f>13754-13720.483</f>
        <v>33.516999999999825</v>
      </c>
      <c r="N113" s="739">
        <v>13720.3352</v>
      </c>
      <c r="O113" s="2249">
        <v>13800</v>
      </c>
      <c r="P113" s="936">
        <f>-46-0.1478</f>
        <v>-46.147799999999997</v>
      </c>
      <c r="Q113" s="716">
        <f t="shared" si="7"/>
        <v>13753.852199999999</v>
      </c>
      <c r="R113" s="954">
        <v>0</v>
      </c>
      <c r="S113" s="954">
        <v>0</v>
      </c>
      <c r="T113" s="734">
        <v>0</v>
      </c>
      <c r="U113" s="736">
        <v>0</v>
      </c>
      <c r="V113" s="960">
        <v>0</v>
      </c>
      <c r="W113" s="734">
        <v>0</v>
      </c>
      <c r="X113" s="736">
        <v>0</v>
      </c>
      <c r="Y113" s="736">
        <v>0</v>
      </c>
      <c r="Z113" s="736">
        <v>0</v>
      </c>
      <c r="AA113" s="960">
        <v>0</v>
      </c>
      <c r="AB113" s="2250" t="s">
        <v>1801</v>
      </c>
      <c r="AC113" s="204" t="s">
        <v>95</v>
      </c>
      <c r="AD113" s="253" t="s">
        <v>315</v>
      </c>
      <c r="AE113" s="253" t="s">
        <v>92</v>
      </c>
      <c r="AF113" s="253" t="s">
        <v>101</v>
      </c>
      <c r="AG113" s="718" t="s">
        <v>218</v>
      </c>
      <c r="AH113" s="718"/>
    </row>
    <row r="114" spans="1:34" ht="25.5" outlineLevel="1" x14ac:dyDescent="0.25">
      <c r="A114" s="929" t="s">
        <v>916</v>
      </c>
      <c r="B114" s="733" t="s">
        <v>1417</v>
      </c>
      <c r="C114" s="2248" t="s">
        <v>2099</v>
      </c>
      <c r="D114" s="290" t="s">
        <v>1593</v>
      </c>
      <c r="E114" s="245" t="s">
        <v>18</v>
      </c>
      <c r="F114" s="731" t="s">
        <v>18</v>
      </c>
      <c r="G114" s="747">
        <v>9491.53269</v>
      </c>
      <c r="H114" s="725">
        <v>0</v>
      </c>
      <c r="I114" s="974">
        <v>0</v>
      </c>
      <c r="J114" s="975">
        <v>9491.53269</v>
      </c>
      <c r="K114" s="1236">
        <v>0</v>
      </c>
      <c r="L114" s="734">
        <v>0</v>
      </c>
      <c r="M114" s="975">
        <v>9491.53269</v>
      </c>
      <c r="N114" s="739">
        <v>0</v>
      </c>
      <c r="O114" s="2249">
        <v>9516</v>
      </c>
      <c r="P114" s="936">
        <f>-24-0.46731</f>
        <v>-24.467310000000001</v>
      </c>
      <c r="Q114" s="716">
        <f t="shared" si="7"/>
        <v>9491.53269</v>
      </c>
      <c r="R114" s="954">
        <v>0</v>
      </c>
      <c r="S114" s="954">
        <v>0</v>
      </c>
      <c r="T114" s="734">
        <v>0</v>
      </c>
      <c r="U114" s="736">
        <v>0</v>
      </c>
      <c r="V114" s="960">
        <v>0</v>
      </c>
      <c r="W114" s="734">
        <v>0</v>
      </c>
      <c r="X114" s="736">
        <v>0</v>
      </c>
      <c r="Y114" s="736">
        <v>0</v>
      </c>
      <c r="Z114" s="736">
        <v>0</v>
      </c>
      <c r="AA114" s="960">
        <v>0</v>
      </c>
      <c r="AB114" s="2250" t="s">
        <v>1802</v>
      </c>
      <c r="AC114" s="204" t="s">
        <v>95</v>
      </c>
      <c r="AD114" s="253" t="s">
        <v>315</v>
      </c>
      <c r="AE114" s="253" t="s">
        <v>92</v>
      </c>
      <c r="AF114" s="253" t="s">
        <v>101</v>
      </c>
      <c r="AG114" s="718" t="s">
        <v>208</v>
      </c>
      <c r="AH114" s="718"/>
    </row>
    <row r="115" spans="1:34" ht="25.5" outlineLevel="1" x14ac:dyDescent="0.25">
      <c r="A115" s="1905" t="s">
        <v>917</v>
      </c>
      <c r="B115" s="2229" t="s">
        <v>1539</v>
      </c>
      <c r="C115" s="2230" t="s">
        <v>835</v>
      </c>
      <c r="D115" s="1266" t="s">
        <v>1593</v>
      </c>
      <c r="E115" s="223" t="s">
        <v>18</v>
      </c>
      <c r="F115" s="2251" t="s">
        <v>18</v>
      </c>
      <c r="G115" s="776">
        <f>18000-8500</f>
        <v>9500</v>
      </c>
      <c r="H115" s="787">
        <v>0</v>
      </c>
      <c r="I115" s="2232">
        <v>0</v>
      </c>
      <c r="J115" s="2233">
        <v>2003.40581</v>
      </c>
      <c r="K115" s="2234">
        <v>7211.8415599999998</v>
      </c>
      <c r="L115" s="2235">
        <v>0</v>
      </c>
      <c r="M115" s="2239">
        <f>9500-7496.59419</f>
        <v>2003.4058100000002</v>
      </c>
      <c r="N115" s="749">
        <v>7496.5941899999998</v>
      </c>
      <c r="O115" s="2237">
        <v>9650</v>
      </c>
      <c r="P115" s="2238">
        <v>-150</v>
      </c>
      <c r="Q115" s="719">
        <f t="shared" si="7"/>
        <v>9500</v>
      </c>
      <c r="R115" s="748">
        <v>0</v>
      </c>
      <c r="S115" s="748">
        <v>0</v>
      </c>
      <c r="T115" s="2235">
        <v>0</v>
      </c>
      <c r="U115" s="2236">
        <v>0</v>
      </c>
      <c r="V115" s="2252">
        <v>0</v>
      </c>
      <c r="W115" s="2235">
        <v>0</v>
      </c>
      <c r="X115" s="2236">
        <v>0</v>
      </c>
      <c r="Y115" s="2236">
        <v>0</v>
      </c>
      <c r="Z115" s="2236">
        <v>0</v>
      </c>
      <c r="AA115" s="2252">
        <v>0</v>
      </c>
      <c r="AB115" s="2253" t="s">
        <v>2100</v>
      </c>
      <c r="AC115" s="655" t="s">
        <v>186</v>
      </c>
      <c r="AD115" s="321" t="s">
        <v>191</v>
      </c>
      <c r="AE115" s="321" t="s">
        <v>92</v>
      </c>
      <c r="AF115" s="321" t="s">
        <v>101</v>
      </c>
      <c r="AG115" s="773" t="s">
        <v>224</v>
      </c>
      <c r="AH115" s="773"/>
    </row>
    <row r="116" spans="1:34" ht="25.5" outlineLevel="1" x14ac:dyDescent="0.25">
      <c r="A116" s="1905" t="s">
        <v>918</v>
      </c>
      <c r="B116" s="2229" t="s">
        <v>1943</v>
      </c>
      <c r="C116" s="2230" t="s">
        <v>836</v>
      </c>
      <c r="D116" s="1266" t="s">
        <v>1593</v>
      </c>
      <c r="E116" s="223" t="s">
        <v>18</v>
      </c>
      <c r="F116" s="2251" t="s">
        <v>18</v>
      </c>
      <c r="G116" s="776">
        <f>19500-11165</f>
        <v>8335</v>
      </c>
      <c r="H116" s="787">
        <v>0</v>
      </c>
      <c r="I116" s="2232">
        <v>0</v>
      </c>
      <c r="J116" s="2233">
        <v>0</v>
      </c>
      <c r="K116" s="2234">
        <v>8065.4576800000004</v>
      </c>
      <c r="L116" s="2235">
        <v>0</v>
      </c>
      <c r="M116" s="2236">
        <f>8335-8335</f>
        <v>0</v>
      </c>
      <c r="N116" s="749">
        <f>0+8335</f>
        <v>8335</v>
      </c>
      <c r="O116" s="2237">
        <v>8335</v>
      </c>
      <c r="P116" s="2238">
        <v>0</v>
      </c>
      <c r="Q116" s="719">
        <f t="shared" si="7"/>
        <v>8335</v>
      </c>
      <c r="R116" s="748">
        <v>0</v>
      </c>
      <c r="S116" s="748">
        <v>0</v>
      </c>
      <c r="T116" s="2235">
        <v>0</v>
      </c>
      <c r="U116" s="2236">
        <v>0</v>
      </c>
      <c r="V116" s="2252">
        <v>0</v>
      </c>
      <c r="W116" s="2235">
        <v>0</v>
      </c>
      <c r="X116" s="2236">
        <v>0</v>
      </c>
      <c r="Y116" s="2236">
        <v>0</v>
      </c>
      <c r="Z116" s="2236">
        <v>0</v>
      </c>
      <c r="AA116" s="2252">
        <v>0</v>
      </c>
      <c r="AB116" s="2253" t="s">
        <v>1803</v>
      </c>
      <c r="AC116" s="655" t="s">
        <v>186</v>
      </c>
      <c r="AD116" s="321" t="s">
        <v>191</v>
      </c>
      <c r="AE116" s="321" t="s">
        <v>92</v>
      </c>
      <c r="AF116" s="321" t="s">
        <v>101</v>
      </c>
      <c r="AG116" s="773" t="s">
        <v>217</v>
      </c>
      <c r="AH116" s="773"/>
    </row>
    <row r="117" spans="1:34" ht="25.5" outlineLevel="1" x14ac:dyDescent="0.25">
      <c r="A117" s="1905" t="s">
        <v>919</v>
      </c>
      <c r="B117" s="2229" t="s">
        <v>1536</v>
      </c>
      <c r="C117" s="2230" t="s">
        <v>1129</v>
      </c>
      <c r="D117" s="1266" t="s">
        <v>1593</v>
      </c>
      <c r="E117" s="223" t="s">
        <v>18</v>
      </c>
      <c r="F117" s="2251" t="s">
        <v>18</v>
      </c>
      <c r="G117" s="776">
        <f>26629-129</f>
        <v>26500</v>
      </c>
      <c r="H117" s="787">
        <v>0</v>
      </c>
      <c r="I117" s="2232">
        <v>0</v>
      </c>
      <c r="J117" s="2233">
        <v>2874.8232699999999</v>
      </c>
      <c r="K117" s="2234">
        <v>10218.925080000001</v>
      </c>
      <c r="L117" s="2235">
        <v>0</v>
      </c>
      <c r="M117" s="2239">
        <f>6149-3274.17673</f>
        <v>2874.8232699999999</v>
      </c>
      <c r="N117" s="749">
        <f>15000+5351+3274.17673</f>
        <v>23625.176729999999</v>
      </c>
      <c r="O117" s="2237">
        <v>21149</v>
      </c>
      <c r="P117" s="2238">
        <v>5351</v>
      </c>
      <c r="Q117" s="719">
        <f t="shared" si="7"/>
        <v>26500</v>
      </c>
      <c r="R117" s="748">
        <v>0</v>
      </c>
      <c r="S117" s="748">
        <v>0</v>
      </c>
      <c r="T117" s="2235">
        <v>0</v>
      </c>
      <c r="U117" s="2236">
        <v>0</v>
      </c>
      <c r="V117" s="2252">
        <v>0</v>
      </c>
      <c r="W117" s="2235">
        <v>0</v>
      </c>
      <c r="X117" s="2236">
        <v>0</v>
      </c>
      <c r="Y117" s="2236">
        <v>0</v>
      </c>
      <c r="Z117" s="2236">
        <v>0</v>
      </c>
      <c r="AA117" s="2252">
        <v>0</v>
      </c>
      <c r="AB117" s="2253" t="s">
        <v>1804</v>
      </c>
      <c r="AC117" s="655" t="s">
        <v>186</v>
      </c>
      <c r="AD117" s="321" t="s">
        <v>321</v>
      </c>
      <c r="AE117" s="321" t="s">
        <v>92</v>
      </c>
      <c r="AF117" s="321" t="s">
        <v>101</v>
      </c>
      <c r="AG117" s="773" t="s">
        <v>217</v>
      </c>
      <c r="AH117" s="773"/>
    </row>
    <row r="118" spans="1:34" ht="25.5" outlineLevel="1" x14ac:dyDescent="0.25">
      <c r="A118" s="1735" t="s">
        <v>920</v>
      </c>
      <c r="B118" s="2215" t="s">
        <v>1655</v>
      </c>
      <c r="C118" s="2254" t="s">
        <v>837</v>
      </c>
      <c r="D118" s="1114" t="s">
        <v>1593</v>
      </c>
      <c r="E118" s="639" t="s">
        <v>18</v>
      </c>
      <c r="F118" s="1723" t="s">
        <v>18</v>
      </c>
      <c r="G118" s="1048">
        <f>10000+2973+341+1028</f>
        <v>14342</v>
      </c>
      <c r="H118" s="2255">
        <v>0</v>
      </c>
      <c r="I118" s="2217">
        <v>0</v>
      </c>
      <c r="J118" s="2218">
        <v>0</v>
      </c>
      <c r="K118" s="2219">
        <v>5980.63832</v>
      </c>
      <c r="L118" s="1749">
        <v>0</v>
      </c>
      <c r="M118" s="2223">
        <f>13314-13314</f>
        <v>0</v>
      </c>
      <c r="N118" s="1751">
        <f>1028+13314</f>
        <v>14342</v>
      </c>
      <c r="O118" s="2256">
        <v>13314</v>
      </c>
      <c r="P118" s="2220">
        <v>1028</v>
      </c>
      <c r="Q118" s="1746">
        <f t="shared" si="7"/>
        <v>14342</v>
      </c>
      <c r="R118" s="2221">
        <v>0</v>
      </c>
      <c r="S118" s="2221">
        <v>0</v>
      </c>
      <c r="T118" s="1749">
        <v>0</v>
      </c>
      <c r="U118" s="2223">
        <v>0</v>
      </c>
      <c r="V118" s="2257">
        <v>0</v>
      </c>
      <c r="W118" s="1749">
        <v>0</v>
      </c>
      <c r="X118" s="2223">
        <v>0</v>
      </c>
      <c r="Y118" s="2223">
        <v>0</v>
      </c>
      <c r="Z118" s="2223">
        <v>0</v>
      </c>
      <c r="AA118" s="2257">
        <v>0</v>
      </c>
      <c r="AB118" s="1400" t="s">
        <v>1805</v>
      </c>
      <c r="AC118" s="157" t="s">
        <v>186</v>
      </c>
      <c r="AD118" s="370" t="s">
        <v>191</v>
      </c>
      <c r="AE118" s="370" t="s">
        <v>92</v>
      </c>
      <c r="AF118" s="370" t="s">
        <v>101</v>
      </c>
      <c r="AG118" s="1738" t="s">
        <v>211</v>
      </c>
      <c r="AH118" s="1738"/>
    </row>
    <row r="119" spans="1:34" ht="25.5" outlineLevel="1" x14ac:dyDescent="0.25">
      <c r="A119" s="1905" t="s">
        <v>921</v>
      </c>
      <c r="B119" s="2229" t="s">
        <v>1652</v>
      </c>
      <c r="C119" s="2230" t="s">
        <v>1130</v>
      </c>
      <c r="D119" s="1266" t="s">
        <v>1593</v>
      </c>
      <c r="E119" s="223" t="s">
        <v>18</v>
      </c>
      <c r="F119" s="2251" t="s">
        <v>18</v>
      </c>
      <c r="G119" s="776">
        <f>68611-35611</f>
        <v>33000</v>
      </c>
      <c r="H119" s="787">
        <v>0</v>
      </c>
      <c r="I119" s="2232">
        <v>0</v>
      </c>
      <c r="J119" s="2233">
        <v>0</v>
      </c>
      <c r="K119" s="2234">
        <v>21372.454369999999</v>
      </c>
      <c r="L119" s="2235">
        <v>0</v>
      </c>
      <c r="M119" s="2236">
        <f>26325-26325</f>
        <v>0</v>
      </c>
      <c r="N119" s="749">
        <f>6675+26325</f>
        <v>33000</v>
      </c>
      <c r="O119" s="2237">
        <v>26325</v>
      </c>
      <c r="P119" s="2238">
        <v>6675</v>
      </c>
      <c r="Q119" s="719">
        <f t="shared" si="7"/>
        <v>33000</v>
      </c>
      <c r="R119" s="748">
        <v>0</v>
      </c>
      <c r="S119" s="748">
        <v>0</v>
      </c>
      <c r="T119" s="2235">
        <v>0</v>
      </c>
      <c r="U119" s="2236">
        <v>0</v>
      </c>
      <c r="V119" s="2252">
        <v>0</v>
      </c>
      <c r="W119" s="2235">
        <v>0</v>
      </c>
      <c r="X119" s="2236">
        <v>0</v>
      </c>
      <c r="Y119" s="2236">
        <v>0</v>
      </c>
      <c r="Z119" s="2236">
        <v>0</v>
      </c>
      <c r="AA119" s="2252">
        <v>0</v>
      </c>
      <c r="AB119" s="2253" t="s">
        <v>1806</v>
      </c>
      <c r="AC119" s="655" t="s">
        <v>186</v>
      </c>
      <c r="AD119" s="321" t="s">
        <v>191</v>
      </c>
      <c r="AE119" s="321" t="s">
        <v>92</v>
      </c>
      <c r="AF119" s="321" t="s">
        <v>101</v>
      </c>
      <c r="AG119" s="773" t="s">
        <v>223</v>
      </c>
      <c r="AH119" s="773"/>
    </row>
    <row r="120" spans="1:34" ht="25.5" outlineLevel="1" x14ac:dyDescent="0.25">
      <c r="A120" s="1683" t="s">
        <v>922</v>
      </c>
      <c r="B120" s="1684" t="s">
        <v>87</v>
      </c>
      <c r="C120" s="2246" t="s">
        <v>838</v>
      </c>
      <c r="D120" s="428" t="s">
        <v>1593</v>
      </c>
      <c r="E120" s="219" t="s">
        <v>18</v>
      </c>
      <c r="F120" s="1699" t="s">
        <v>18</v>
      </c>
      <c r="G120" s="251">
        <v>25000</v>
      </c>
      <c r="H120" s="429">
        <v>0</v>
      </c>
      <c r="I120" s="1975">
        <v>0</v>
      </c>
      <c r="J120" s="2145">
        <v>0</v>
      </c>
      <c r="K120" s="1977">
        <v>0</v>
      </c>
      <c r="L120" s="1693">
        <v>0</v>
      </c>
      <c r="M120" s="1728">
        <v>0</v>
      </c>
      <c r="N120" s="1696">
        <v>4500</v>
      </c>
      <c r="O120" s="1696">
        <v>6500</v>
      </c>
      <c r="P120" s="1692">
        <v>-2000</v>
      </c>
      <c r="Q120" s="1692">
        <f t="shared" si="7"/>
        <v>4500</v>
      </c>
      <c r="R120" s="1726">
        <f>13059+5441+2000</f>
        <v>20500</v>
      </c>
      <c r="S120" s="1726">
        <v>0</v>
      </c>
      <c r="T120" s="1693">
        <v>0</v>
      </c>
      <c r="U120" s="1728">
        <v>0</v>
      </c>
      <c r="V120" s="2247">
        <v>0</v>
      </c>
      <c r="W120" s="1693">
        <v>0</v>
      </c>
      <c r="X120" s="1728">
        <v>0</v>
      </c>
      <c r="Y120" s="1728">
        <v>0</v>
      </c>
      <c r="Z120" s="1728">
        <v>0</v>
      </c>
      <c r="AA120" s="2247">
        <v>0</v>
      </c>
      <c r="AB120" s="2742" t="s">
        <v>1807</v>
      </c>
      <c r="AC120" s="220" t="s">
        <v>13</v>
      </c>
      <c r="AD120" s="252" t="s">
        <v>707</v>
      </c>
      <c r="AE120" s="252" t="s">
        <v>92</v>
      </c>
      <c r="AF120" s="252" t="s">
        <v>101</v>
      </c>
      <c r="AG120" s="1686" t="s">
        <v>204</v>
      </c>
      <c r="AH120" s="1686"/>
    </row>
    <row r="121" spans="1:34" ht="25.5" outlineLevel="1" x14ac:dyDescent="0.25">
      <c r="A121" s="1905" t="s">
        <v>923</v>
      </c>
      <c r="B121" s="2229" t="s">
        <v>1944</v>
      </c>
      <c r="C121" s="2230" t="s">
        <v>839</v>
      </c>
      <c r="D121" s="1266" t="s">
        <v>1593</v>
      </c>
      <c r="E121" s="223" t="s">
        <v>18</v>
      </c>
      <c r="F121" s="2251" t="s">
        <v>18</v>
      </c>
      <c r="G121" s="776">
        <f>13000-7334</f>
        <v>5666</v>
      </c>
      <c r="H121" s="787">
        <v>0</v>
      </c>
      <c r="I121" s="2232">
        <v>0</v>
      </c>
      <c r="J121" s="2233">
        <v>0</v>
      </c>
      <c r="K121" s="2234">
        <v>138.54499999999999</v>
      </c>
      <c r="L121" s="2235">
        <v>0</v>
      </c>
      <c r="M121" s="2236">
        <f>5666-5666</f>
        <v>0</v>
      </c>
      <c r="N121" s="749">
        <f>0+5666</f>
        <v>5666</v>
      </c>
      <c r="O121" s="2237">
        <v>5812</v>
      </c>
      <c r="P121" s="2238">
        <v>-146</v>
      </c>
      <c r="Q121" s="719">
        <f t="shared" si="7"/>
        <v>5666</v>
      </c>
      <c r="R121" s="748">
        <v>0</v>
      </c>
      <c r="S121" s="748">
        <v>0</v>
      </c>
      <c r="T121" s="2235">
        <v>0</v>
      </c>
      <c r="U121" s="2236">
        <v>0</v>
      </c>
      <c r="V121" s="2252">
        <v>0</v>
      </c>
      <c r="W121" s="2235">
        <v>0</v>
      </c>
      <c r="X121" s="2236">
        <v>0</v>
      </c>
      <c r="Y121" s="2236">
        <v>0</v>
      </c>
      <c r="Z121" s="2236">
        <v>0</v>
      </c>
      <c r="AA121" s="2252">
        <v>0</v>
      </c>
      <c r="AB121" s="2253" t="s">
        <v>1808</v>
      </c>
      <c r="AC121" s="655" t="s">
        <v>186</v>
      </c>
      <c r="AD121" s="321" t="s">
        <v>191</v>
      </c>
      <c r="AE121" s="321" t="s">
        <v>92</v>
      </c>
      <c r="AF121" s="321" t="s">
        <v>101</v>
      </c>
      <c r="AG121" s="773" t="s">
        <v>215</v>
      </c>
      <c r="AH121" s="773"/>
    </row>
    <row r="122" spans="1:34" ht="25.5" outlineLevel="1" x14ac:dyDescent="0.25">
      <c r="A122" s="1905" t="s">
        <v>924</v>
      </c>
      <c r="B122" s="2229" t="s">
        <v>1945</v>
      </c>
      <c r="C122" s="2230" t="s">
        <v>840</v>
      </c>
      <c r="D122" s="1266" t="s">
        <v>1593</v>
      </c>
      <c r="E122" s="223" t="s">
        <v>18</v>
      </c>
      <c r="F122" s="2251" t="s">
        <v>18</v>
      </c>
      <c r="G122" s="776">
        <f>10000-6831</f>
        <v>3169</v>
      </c>
      <c r="H122" s="787">
        <v>0</v>
      </c>
      <c r="I122" s="2232">
        <v>0</v>
      </c>
      <c r="J122" s="2233">
        <v>0</v>
      </c>
      <c r="K122" s="2234">
        <v>2383.4058199999999</v>
      </c>
      <c r="L122" s="2235">
        <v>0</v>
      </c>
      <c r="M122" s="2236">
        <f>3169-3169</f>
        <v>0</v>
      </c>
      <c r="N122" s="749">
        <f>0+3169</f>
        <v>3169</v>
      </c>
      <c r="O122" s="2237">
        <v>4500</v>
      </c>
      <c r="P122" s="2238">
        <v>-1331</v>
      </c>
      <c r="Q122" s="719">
        <f t="shared" si="7"/>
        <v>3169</v>
      </c>
      <c r="R122" s="748">
        <v>0</v>
      </c>
      <c r="S122" s="748">
        <v>0</v>
      </c>
      <c r="T122" s="2235">
        <v>0</v>
      </c>
      <c r="U122" s="2236">
        <v>0</v>
      </c>
      <c r="V122" s="2252">
        <v>0</v>
      </c>
      <c r="W122" s="2235">
        <v>0</v>
      </c>
      <c r="X122" s="2236">
        <v>0</v>
      </c>
      <c r="Y122" s="2236">
        <v>0</v>
      </c>
      <c r="Z122" s="2236">
        <v>0</v>
      </c>
      <c r="AA122" s="2252">
        <v>0</v>
      </c>
      <c r="AB122" s="2253" t="s">
        <v>1809</v>
      </c>
      <c r="AC122" s="655" t="s">
        <v>186</v>
      </c>
      <c r="AD122" s="321" t="s">
        <v>191</v>
      </c>
      <c r="AE122" s="321" t="s">
        <v>92</v>
      </c>
      <c r="AF122" s="321" t="s">
        <v>101</v>
      </c>
      <c r="AG122" s="773" t="s">
        <v>204</v>
      </c>
      <c r="AH122" s="773"/>
    </row>
    <row r="123" spans="1:34" ht="25.5" outlineLevel="1" x14ac:dyDescent="0.25">
      <c r="A123" s="802" t="s">
        <v>925</v>
      </c>
      <c r="B123" s="798" t="s">
        <v>87</v>
      </c>
      <c r="C123" s="1339" t="s">
        <v>841</v>
      </c>
      <c r="D123" s="102" t="s">
        <v>1593</v>
      </c>
      <c r="E123" s="93" t="s">
        <v>18</v>
      </c>
      <c r="F123" s="308" t="s">
        <v>18</v>
      </c>
      <c r="G123" s="96">
        <v>20000</v>
      </c>
      <c r="H123" s="312">
        <v>0</v>
      </c>
      <c r="I123" s="1593">
        <v>0</v>
      </c>
      <c r="J123" s="1594">
        <v>0</v>
      </c>
      <c r="K123" s="1595">
        <v>0</v>
      </c>
      <c r="L123" s="803">
        <v>0</v>
      </c>
      <c r="M123" s="470">
        <v>0</v>
      </c>
      <c r="N123" s="513">
        <v>6811</v>
      </c>
      <c r="O123" s="1222">
        <v>6811</v>
      </c>
      <c r="P123" s="851">
        <v>0</v>
      </c>
      <c r="Q123" s="613">
        <f t="shared" si="7"/>
        <v>6811</v>
      </c>
      <c r="R123" s="519">
        <v>13189</v>
      </c>
      <c r="S123" s="519">
        <v>0</v>
      </c>
      <c r="T123" s="803">
        <v>0</v>
      </c>
      <c r="U123" s="470">
        <v>0</v>
      </c>
      <c r="V123" s="877">
        <v>0</v>
      </c>
      <c r="W123" s="803">
        <v>0</v>
      </c>
      <c r="X123" s="470">
        <v>0</v>
      </c>
      <c r="Y123" s="470">
        <v>0</v>
      </c>
      <c r="Z123" s="470">
        <v>0</v>
      </c>
      <c r="AA123" s="877">
        <v>0</v>
      </c>
      <c r="AB123" s="1488" t="s">
        <v>1675</v>
      </c>
      <c r="AC123" s="95" t="s">
        <v>13</v>
      </c>
      <c r="AD123" s="515" t="s">
        <v>321</v>
      </c>
      <c r="AE123" s="515" t="s">
        <v>92</v>
      </c>
      <c r="AF123" s="515" t="s">
        <v>101</v>
      </c>
      <c r="AG123" s="514" t="s">
        <v>204</v>
      </c>
      <c r="AH123" s="514"/>
    </row>
    <row r="124" spans="1:34" ht="25.5" outlineLevel="1" x14ac:dyDescent="0.25">
      <c r="A124" s="802" t="s">
        <v>926</v>
      </c>
      <c r="B124" s="798" t="s">
        <v>1946</v>
      </c>
      <c r="C124" s="1339" t="s">
        <v>842</v>
      </c>
      <c r="D124" s="102" t="s">
        <v>1593</v>
      </c>
      <c r="E124" s="93" t="s">
        <v>18</v>
      </c>
      <c r="F124" s="308" t="s">
        <v>18</v>
      </c>
      <c r="G124" s="96">
        <v>21000</v>
      </c>
      <c r="H124" s="312">
        <v>0</v>
      </c>
      <c r="I124" s="1593">
        <v>0</v>
      </c>
      <c r="J124" s="1594">
        <v>0</v>
      </c>
      <c r="K124" s="1595">
        <v>145.19999999999999</v>
      </c>
      <c r="L124" s="803">
        <v>0</v>
      </c>
      <c r="M124" s="470">
        <v>0</v>
      </c>
      <c r="N124" s="513">
        <v>21000</v>
      </c>
      <c r="O124" s="1222">
        <v>21000</v>
      </c>
      <c r="P124" s="851">
        <v>0</v>
      </c>
      <c r="Q124" s="613">
        <f t="shared" si="7"/>
        <v>21000</v>
      </c>
      <c r="R124" s="519">
        <v>0</v>
      </c>
      <c r="S124" s="519">
        <v>0</v>
      </c>
      <c r="T124" s="803">
        <v>0</v>
      </c>
      <c r="U124" s="470">
        <v>0</v>
      </c>
      <c r="V124" s="877">
        <v>0</v>
      </c>
      <c r="W124" s="803">
        <v>0</v>
      </c>
      <c r="X124" s="470">
        <v>0</v>
      </c>
      <c r="Y124" s="470">
        <v>0</v>
      </c>
      <c r="Z124" s="470">
        <v>0</v>
      </c>
      <c r="AA124" s="877">
        <v>0</v>
      </c>
      <c r="AB124" s="1488" t="s">
        <v>84</v>
      </c>
      <c r="AC124" s="95" t="s">
        <v>13</v>
      </c>
      <c r="AD124" s="515" t="s">
        <v>191</v>
      </c>
      <c r="AE124" s="515" t="s">
        <v>92</v>
      </c>
      <c r="AF124" s="515" t="s">
        <v>101</v>
      </c>
      <c r="AG124" s="514" t="s">
        <v>214</v>
      </c>
      <c r="AH124" s="514"/>
    </row>
    <row r="125" spans="1:34" ht="25.5" outlineLevel="1" x14ac:dyDescent="0.25">
      <c r="A125" s="1905" t="s">
        <v>927</v>
      </c>
      <c r="B125" s="2229" t="s">
        <v>1420</v>
      </c>
      <c r="C125" s="2230" t="s">
        <v>843</v>
      </c>
      <c r="D125" s="1266" t="s">
        <v>1593</v>
      </c>
      <c r="E125" s="223" t="s">
        <v>18</v>
      </c>
      <c r="F125" s="2251" t="s">
        <v>18</v>
      </c>
      <c r="G125" s="776">
        <f>11000+1253-4791</f>
        <v>7462</v>
      </c>
      <c r="H125" s="787">
        <v>0</v>
      </c>
      <c r="I125" s="2232">
        <v>0</v>
      </c>
      <c r="J125" s="2233">
        <v>3843.4297900000001</v>
      </c>
      <c r="K125" s="2234">
        <v>0</v>
      </c>
      <c r="L125" s="2235">
        <v>0</v>
      </c>
      <c r="M125" s="2236">
        <f>6862-3018.57021</f>
        <v>3843.4297900000001</v>
      </c>
      <c r="N125" s="749">
        <f>600+3018.57021</f>
        <v>3618.5702099999999</v>
      </c>
      <c r="O125" s="2237">
        <v>7362</v>
      </c>
      <c r="P125" s="2238">
        <v>100</v>
      </c>
      <c r="Q125" s="719">
        <f t="shared" si="7"/>
        <v>7462</v>
      </c>
      <c r="R125" s="748">
        <v>0</v>
      </c>
      <c r="S125" s="748">
        <v>0</v>
      </c>
      <c r="T125" s="2235">
        <v>0</v>
      </c>
      <c r="U125" s="2236">
        <v>0</v>
      </c>
      <c r="V125" s="2252">
        <v>0</v>
      </c>
      <c r="W125" s="2235">
        <v>0</v>
      </c>
      <c r="X125" s="2236">
        <v>0</v>
      </c>
      <c r="Y125" s="2236">
        <v>0</v>
      </c>
      <c r="Z125" s="2236">
        <v>0</v>
      </c>
      <c r="AA125" s="2252">
        <v>0</v>
      </c>
      <c r="AB125" s="2253" t="s">
        <v>1810</v>
      </c>
      <c r="AC125" s="655" t="s">
        <v>186</v>
      </c>
      <c r="AD125" s="321" t="s">
        <v>191</v>
      </c>
      <c r="AE125" s="321" t="s">
        <v>92</v>
      </c>
      <c r="AF125" s="321" t="s">
        <v>101</v>
      </c>
      <c r="AG125" s="773" t="s">
        <v>214</v>
      </c>
      <c r="AH125" s="773"/>
    </row>
    <row r="126" spans="1:34" ht="25.5" outlineLevel="1" x14ac:dyDescent="0.25">
      <c r="A126" s="1905" t="s">
        <v>928</v>
      </c>
      <c r="B126" s="2229" t="s">
        <v>87</v>
      </c>
      <c r="C126" s="2230" t="s">
        <v>844</v>
      </c>
      <c r="D126" s="1266" t="s">
        <v>1593</v>
      </c>
      <c r="E126" s="223" t="s">
        <v>18</v>
      </c>
      <c r="F126" s="2251" t="s">
        <v>18</v>
      </c>
      <c r="G126" s="776">
        <f>20000+4000-10995</f>
        <v>13005</v>
      </c>
      <c r="H126" s="787">
        <v>0</v>
      </c>
      <c r="I126" s="2232">
        <v>0</v>
      </c>
      <c r="J126" s="2233">
        <v>0</v>
      </c>
      <c r="K126" s="2234">
        <v>0</v>
      </c>
      <c r="L126" s="2235">
        <v>0</v>
      </c>
      <c r="M126" s="2236">
        <v>0</v>
      </c>
      <c r="N126" s="749">
        <v>13005</v>
      </c>
      <c r="O126" s="2237">
        <v>13005</v>
      </c>
      <c r="P126" s="2238">
        <v>0</v>
      </c>
      <c r="Q126" s="719">
        <f t="shared" si="7"/>
        <v>13005</v>
      </c>
      <c r="R126" s="748">
        <v>0</v>
      </c>
      <c r="S126" s="748">
        <v>0</v>
      </c>
      <c r="T126" s="2235">
        <v>0</v>
      </c>
      <c r="U126" s="2236">
        <v>0</v>
      </c>
      <c r="V126" s="2252">
        <v>0</v>
      </c>
      <c r="W126" s="2235">
        <v>0</v>
      </c>
      <c r="X126" s="2236">
        <v>0</v>
      </c>
      <c r="Y126" s="2236">
        <v>0</v>
      </c>
      <c r="Z126" s="2236">
        <v>0</v>
      </c>
      <c r="AA126" s="2252">
        <v>0</v>
      </c>
      <c r="AB126" s="2253" t="s">
        <v>1811</v>
      </c>
      <c r="AC126" s="655" t="s">
        <v>186</v>
      </c>
      <c r="AD126" s="321" t="s">
        <v>191</v>
      </c>
      <c r="AE126" s="321" t="s">
        <v>92</v>
      </c>
      <c r="AF126" s="321" t="s">
        <v>101</v>
      </c>
      <c r="AG126" s="773" t="s">
        <v>220</v>
      </c>
      <c r="AH126" s="773"/>
    </row>
    <row r="127" spans="1:34" ht="25.5" outlineLevel="1" x14ac:dyDescent="0.25">
      <c r="A127" s="929" t="s">
        <v>929</v>
      </c>
      <c r="B127" s="733" t="s">
        <v>1419</v>
      </c>
      <c r="C127" s="2248" t="s">
        <v>845</v>
      </c>
      <c r="D127" s="290" t="s">
        <v>1593</v>
      </c>
      <c r="E127" s="245" t="s">
        <v>18</v>
      </c>
      <c r="F127" s="731" t="s">
        <v>18</v>
      </c>
      <c r="G127" s="747">
        <f>9500+720-4079-0.82808</f>
        <v>6140.1719199999998</v>
      </c>
      <c r="H127" s="725">
        <v>0</v>
      </c>
      <c r="I127" s="974">
        <v>0</v>
      </c>
      <c r="J127" s="975">
        <v>3899.2854400000001</v>
      </c>
      <c r="K127" s="1236">
        <v>2240.8864800000001</v>
      </c>
      <c r="L127" s="734">
        <v>0</v>
      </c>
      <c r="M127" s="736">
        <f>6141-2241.71456</f>
        <v>3899.2854400000001</v>
      </c>
      <c r="N127" s="739">
        <f>0+2241.71456-0.82808</f>
        <v>2240.8864800000001</v>
      </c>
      <c r="O127" s="2249">
        <v>6140</v>
      </c>
      <c r="P127" s="936">
        <f>1-0.82808</f>
        <v>0.17191999999999996</v>
      </c>
      <c r="Q127" s="716">
        <f t="shared" si="7"/>
        <v>6140.1719199999998</v>
      </c>
      <c r="R127" s="954">
        <v>0</v>
      </c>
      <c r="S127" s="954">
        <v>0</v>
      </c>
      <c r="T127" s="734">
        <v>0</v>
      </c>
      <c r="U127" s="736">
        <v>0</v>
      </c>
      <c r="V127" s="960">
        <v>0</v>
      </c>
      <c r="W127" s="734">
        <v>0</v>
      </c>
      <c r="X127" s="736">
        <v>0</v>
      </c>
      <c r="Y127" s="736">
        <v>0</v>
      </c>
      <c r="Z127" s="736">
        <v>0</v>
      </c>
      <c r="AA127" s="960">
        <v>0</v>
      </c>
      <c r="AB127" s="2250" t="s">
        <v>1840</v>
      </c>
      <c r="AC127" s="204" t="s">
        <v>95</v>
      </c>
      <c r="AD127" s="253" t="s">
        <v>191</v>
      </c>
      <c r="AE127" s="253" t="s">
        <v>92</v>
      </c>
      <c r="AF127" s="253" t="s">
        <v>101</v>
      </c>
      <c r="AG127" s="718" t="s">
        <v>220</v>
      </c>
      <c r="AH127" s="718"/>
    </row>
    <row r="128" spans="1:34" ht="25.5" outlineLevel="1" x14ac:dyDescent="0.25">
      <c r="A128" s="929" t="s">
        <v>930</v>
      </c>
      <c r="B128" s="733" t="s">
        <v>1418</v>
      </c>
      <c r="C128" s="2248" t="s">
        <v>846</v>
      </c>
      <c r="D128" s="290" t="s">
        <v>1593</v>
      </c>
      <c r="E128" s="245" t="s">
        <v>18</v>
      </c>
      <c r="F128" s="731" t="s">
        <v>18</v>
      </c>
      <c r="G128" s="747">
        <f>11000+1999-5069-0.45079</f>
        <v>7929.5492100000001</v>
      </c>
      <c r="H128" s="725">
        <v>0</v>
      </c>
      <c r="I128" s="974">
        <v>0</v>
      </c>
      <c r="J128" s="975">
        <v>5061.0955999999996</v>
      </c>
      <c r="K128" s="1236">
        <v>2868.45361</v>
      </c>
      <c r="L128" s="734">
        <v>0</v>
      </c>
      <c r="M128" s="736">
        <v>5061.0955999999996</v>
      </c>
      <c r="N128" s="739">
        <f>7929-5061.0956+1-0.45079</f>
        <v>2868.4536100000005</v>
      </c>
      <c r="O128" s="2249">
        <v>7929</v>
      </c>
      <c r="P128" s="936">
        <f>1-0.45079</f>
        <v>0.54920999999999998</v>
      </c>
      <c r="Q128" s="716">
        <f t="shared" si="7"/>
        <v>7929.5492100000001</v>
      </c>
      <c r="R128" s="954">
        <v>0</v>
      </c>
      <c r="S128" s="954">
        <v>0</v>
      </c>
      <c r="T128" s="734">
        <v>0</v>
      </c>
      <c r="U128" s="736">
        <v>0</v>
      </c>
      <c r="V128" s="960">
        <v>0</v>
      </c>
      <c r="W128" s="734">
        <v>0</v>
      </c>
      <c r="X128" s="736">
        <v>0</v>
      </c>
      <c r="Y128" s="736">
        <v>0</v>
      </c>
      <c r="Z128" s="736">
        <v>0</v>
      </c>
      <c r="AA128" s="960">
        <v>0</v>
      </c>
      <c r="AB128" s="2250" t="s">
        <v>1812</v>
      </c>
      <c r="AC128" s="204" t="s">
        <v>95</v>
      </c>
      <c r="AD128" s="253" t="s">
        <v>191</v>
      </c>
      <c r="AE128" s="253" t="s">
        <v>92</v>
      </c>
      <c r="AF128" s="253" t="s">
        <v>101</v>
      </c>
      <c r="AG128" s="718" t="s">
        <v>220</v>
      </c>
      <c r="AH128" s="718"/>
    </row>
    <row r="129" spans="1:34" ht="25.5" outlineLevel="1" x14ac:dyDescent="0.25">
      <c r="A129" s="1905" t="s">
        <v>931</v>
      </c>
      <c r="B129" s="2229" t="s">
        <v>87</v>
      </c>
      <c r="C129" s="2230" t="s">
        <v>847</v>
      </c>
      <c r="D129" s="1266" t="s">
        <v>1593</v>
      </c>
      <c r="E129" s="223" t="s">
        <v>18</v>
      </c>
      <c r="F129" s="2251" t="s">
        <v>18</v>
      </c>
      <c r="G129" s="776">
        <f>23000+4330-13592</f>
        <v>13738</v>
      </c>
      <c r="H129" s="787">
        <v>0</v>
      </c>
      <c r="I129" s="2232">
        <v>0</v>
      </c>
      <c r="J129" s="2233">
        <v>0</v>
      </c>
      <c r="K129" s="2234">
        <v>0</v>
      </c>
      <c r="L129" s="2235">
        <v>0</v>
      </c>
      <c r="M129" s="2236"/>
      <c r="N129" s="749">
        <v>13738</v>
      </c>
      <c r="O129" s="2237">
        <v>13238</v>
      </c>
      <c r="P129" s="2238">
        <v>500</v>
      </c>
      <c r="Q129" s="719">
        <f t="shared" si="7"/>
        <v>13738</v>
      </c>
      <c r="R129" s="748">
        <v>0</v>
      </c>
      <c r="S129" s="748">
        <v>0</v>
      </c>
      <c r="T129" s="2235">
        <v>0</v>
      </c>
      <c r="U129" s="2236">
        <v>0</v>
      </c>
      <c r="V129" s="2252">
        <v>0</v>
      </c>
      <c r="W129" s="2235">
        <v>0</v>
      </c>
      <c r="X129" s="2236">
        <v>0</v>
      </c>
      <c r="Y129" s="2236">
        <v>0</v>
      </c>
      <c r="Z129" s="2236">
        <v>0</v>
      </c>
      <c r="AA129" s="2252">
        <v>0</v>
      </c>
      <c r="AB129" s="2253" t="s">
        <v>1813</v>
      </c>
      <c r="AC129" s="655" t="s">
        <v>186</v>
      </c>
      <c r="AD129" s="321" t="s">
        <v>321</v>
      </c>
      <c r="AE129" s="321" t="s">
        <v>92</v>
      </c>
      <c r="AF129" s="321" t="s">
        <v>101</v>
      </c>
      <c r="AG129" s="773" t="s">
        <v>796</v>
      </c>
      <c r="AH129" s="773"/>
    </row>
    <row r="130" spans="1:34" ht="25.5" outlineLevel="1" x14ac:dyDescent="0.25">
      <c r="A130" s="1905" t="s">
        <v>932</v>
      </c>
      <c r="B130" s="2229" t="s">
        <v>1421</v>
      </c>
      <c r="C130" s="2230" t="s">
        <v>848</v>
      </c>
      <c r="D130" s="1266" t="s">
        <v>1593</v>
      </c>
      <c r="E130" s="223" t="s">
        <v>18</v>
      </c>
      <c r="F130" s="2251" t="s">
        <v>18</v>
      </c>
      <c r="G130" s="776">
        <f>10500+852-3704</f>
        <v>7648</v>
      </c>
      <c r="H130" s="787">
        <v>0</v>
      </c>
      <c r="I130" s="2232">
        <v>0</v>
      </c>
      <c r="J130" s="2233">
        <v>3195.7012599999998</v>
      </c>
      <c r="K130" s="2234">
        <v>0</v>
      </c>
      <c r="L130" s="2235">
        <v>0</v>
      </c>
      <c r="M130" s="2236">
        <f>6698-3502.29874</f>
        <v>3195.7012599999998</v>
      </c>
      <c r="N130" s="749">
        <f>950+3502.29874</f>
        <v>4452.2987400000002</v>
      </c>
      <c r="O130" s="2237">
        <v>7198</v>
      </c>
      <c r="P130" s="2238">
        <v>450</v>
      </c>
      <c r="Q130" s="719">
        <f t="shared" si="7"/>
        <v>7648</v>
      </c>
      <c r="R130" s="748">
        <v>0</v>
      </c>
      <c r="S130" s="748">
        <v>0</v>
      </c>
      <c r="T130" s="2235">
        <v>0</v>
      </c>
      <c r="U130" s="2236">
        <v>0</v>
      </c>
      <c r="V130" s="2252">
        <v>0</v>
      </c>
      <c r="W130" s="2235">
        <v>0</v>
      </c>
      <c r="X130" s="2236">
        <v>0</v>
      </c>
      <c r="Y130" s="2236">
        <v>0</v>
      </c>
      <c r="Z130" s="2236">
        <v>0</v>
      </c>
      <c r="AA130" s="2252">
        <v>0</v>
      </c>
      <c r="AB130" s="2253" t="s">
        <v>1814</v>
      </c>
      <c r="AC130" s="655" t="s">
        <v>186</v>
      </c>
      <c r="AD130" s="321" t="s">
        <v>191</v>
      </c>
      <c r="AE130" s="321" t="s">
        <v>92</v>
      </c>
      <c r="AF130" s="321" t="s">
        <v>101</v>
      </c>
      <c r="AG130" s="773" t="s">
        <v>214</v>
      </c>
      <c r="AH130" s="773"/>
    </row>
    <row r="131" spans="1:34" ht="25.5" outlineLevel="1" x14ac:dyDescent="0.25">
      <c r="A131" s="1905" t="s">
        <v>933</v>
      </c>
      <c r="B131" s="2229" t="s">
        <v>1653</v>
      </c>
      <c r="C131" s="2230" t="s">
        <v>849</v>
      </c>
      <c r="D131" s="1266" t="s">
        <v>1593</v>
      </c>
      <c r="E131" s="223" t="s">
        <v>18</v>
      </c>
      <c r="F131" s="2251" t="s">
        <v>18</v>
      </c>
      <c r="G131" s="776">
        <f>25000-13163</f>
        <v>11837</v>
      </c>
      <c r="H131" s="787">
        <v>0</v>
      </c>
      <c r="I131" s="2232">
        <v>0</v>
      </c>
      <c r="J131" s="2233">
        <v>0</v>
      </c>
      <c r="K131" s="2234">
        <v>11695.81373</v>
      </c>
      <c r="L131" s="2235">
        <v>0</v>
      </c>
      <c r="M131" s="2236">
        <v>0</v>
      </c>
      <c r="N131" s="749">
        <v>11837</v>
      </c>
      <c r="O131" s="2237">
        <v>11837</v>
      </c>
      <c r="P131" s="2238">
        <v>0</v>
      </c>
      <c r="Q131" s="719">
        <f t="shared" si="7"/>
        <v>11837</v>
      </c>
      <c r="R131" s="748">
        <v>0</v>
      </c>
      <c r="S131" s="748">
        <v>0</v>
      </c>
      <c r="T131" s="2235">
        <v>0</v>
      </c>
      <c r="U131" s="2236">
        <v>0</v>
      </c>
      <c r="V131" s="2252">
        <v>0</v>
      </c>
      <c r="W131" s="2235">
        <v>0</v>
      </c>
      <c r="X131" s="2236">
        <v>0</v>
      </c>
      <c r="Y131" s="2236">
        <v>0</v>
      </c>
      <c r="Z131" s="2236">
        <v>0</v>
      </c>
      <c r="AA131" s="2252">
        <v>0</v>
      </c>
      <c r="AB131" s="2253" t="s">
        <v>1815</v>
      </c>
      <c r="AC131" s="655" t="s">
        <v>186</v>
      </c>
      <c r="AD131" s="321" t="s">
        <v>191</v>
      </c>
      <c r="AE131" s="321" t="s">
        <v>92</v>
      </c>
      <c r="AF131" s="321" t="s">
        <v>101</v>
      </c>
      <c r="AG131" s="773" t="s">
        <v>203</v>
      </c>
      <c r="AH131" s="773"/>
    </row>
    <row r="132" spans="1:34" ht="25.5" outlineLevel="1" x14ac:dyDescent="0.25">
      <c r="A132" s="1905" t="s">
        <v>934</v>
      </c>
      <c r="B132" s="2229" t="s">
        <v>1947</v>
      </c>
      <c r="C132" s="2230" t="s">
        <v>850</v>
      </c>
      <c r="D132" s="1266" t="s">
        <v>1593</v>
      </c>
      <c r="E132" s="223" t="s">
        <v>18</v>
      </c>
      <c r="F132" s="2251" t="s">
        <v>18</v>
      </c>
      <c r="G132" s="776">
        <f>10500-3405</f>
        <v>7095</v>
      </c>
      <c r="H132" s="787">
        <v>0</v>
      </c>
      <c r="I132" s="2232">
        <v>0</v>
      </c>
      <c r="J132" s="2233">
        <v>0</v>
      </c>
      <c r="K132" s="2234">
        <v>3782.16858</v>
      </c>
      <c r="L132" s="2235">
        <v>0</v>
      </c>
      <c r="M132" s="2236">
        <v>0</v>
      </c>
      <c r="N132" s="749">
        <v>7095</v>
      </c>
      <c r="O132" s="2237">
        <v>5114</v>
      </c>
      <c r="P132" s="2238">
        <v>1981</v>
      </c>
      <c r="Q132" s="719">
        <f t="shared" si="7"/>
        <v>7095</v>
      </c>
      <c r="R132" s="748">
        <v>0</v>
      </c>
      <c r="S132" s="748">
        <v>0</v>
      </c>
      <c r="T132" s="2235">
        <v>0</v>
      </c>
      <c r="U132" s="2236">
        <v>0</v>
      </c>
      <c r="V132" s="2252">
        <v>0</v>
      </c>
      <c r="W132" s="2235">
        <v>0</v>
      </c>
      <c r="X132" s="2236">
        <v>0</v>
      </c>
      <c r="Y132" s="2236">
        <v>0</v>
      </c>
      <c r="Z132" s="2236">
        <v>0</v>
      </c>
      <c r="AA132" s="2252">
        <v>0</v>
      </c>
      <c r="AB132" s="2253" t="s">
        <v>1816</v>
      </c>
      <c r="AC132" s="655" t="s">
        <v>186</v>
      </c>
      <c r="AD132" s="321" t="s">
        <v>191</v>
      </c>
      <c r="AE132" s="321" t="s">
        <v>92</v>
      </c>
      <c r="AF132" s="321" t="s">
        <v>101</v>
      </c>
      <c r="AG132" s="773" t="s">
        <v>796</v>
      </c>
      <c r="AH132" s="773"/>
    </row>
    <row r="133" spans="1:34" ht="25.5" outlineLevel="1" x14ac:dyDescent="0.25">
      <c r="A133" s="1905" t="s">
        <v>935</v>
      </c>
      <c r="B133" s="2229" t="s">
        <v>1654</v>
      </c>
      <c r="C133" s="2230" t="s">
        <v>851</v>
      </c>
      <c r="D133" s="774" t="s">
        <v>1593</v>
      </c>
      <c r="E133" s="655" t="s">
        <v>18</v>
      </c>
      <c r="F133" s="2231" t="s">
        <v>18</v>
      </c>
      <c r="G133" s="776">
        <f>11000+1701-6382</f>
        <v>6319</v>
      </c>
      <c r="H133" s="787">
        <v>0</v>
      </c>
      <c r="I133" s="2232">
        <v>0</v>
      </c>
      <c r="J133" s="2233">
        <v>0</v>
      </c>
      <c r="K133" s="2234">
        <v>4134.9605000000001</v>
      </c>
      <c r="L133" s="2235">
        <v>0</v>
      </c>
      <c r="M133" s="2236">
        <v>0</v>
      </c>
      <c r="N133" s="749">
        <v>6319</v>
      </c>
      <c r="O133" s="2237">
        <v>6319</v>
      </c>
      <c r="P133" s="2238">
        <v>0</v>
      </c>
      <c r="Q133" s="719">
        <f t="shared" si="7"/>
        <v>6319</v>
      </c>
      <c r="R133" s="748">
        <v>0</v>
      </c>
      <c r="S133" s="748">
        <v>0</v>
      </c>
      <c r="T133" s="2235">
        <v>0</v>
      </c>
      <c r="U133" s="2236">
        <v>0</v>
      </c>
      <c r="V133" s="2252">
        <v>0</v>
      </c>
      <c r="W133" s="2235">
        <v>0</v>
      </c>
      <c r="X133" s="2236">
        <v>0</v>
      </c>
      <c r="Y133" s="2236">
        <v>0</v>
      </c>
      <c r="Z133" s="2236">
        <v>0</v>
      </c>
      <c r="AA133" s="2252">
        <v>0</v>
      </c>
      <c r="AB133" s="2253" t="s">
        <v>1817</v>
      </c>
      <c r="AC133" s="655" t="s">
        <v>186</v>
      </c>
      <c r="AD133" s="321" t="s">
        <v>191</v>
      </c>
      <c r="AE133" s="321" t="s">
        <v>92</v>
      </c>
      <c r="AF133" s="321" t="s">
        <v>101</v>
      </c>
      <c r="AG133" s="773" t="s">
        <v>1472</v>
      </c>
      <c r="AH133" s="773"/>
    </row>
    <row r="134" spans="1:34" ht="25.5" outlineLevel="1" x14ac:dyDescent="0.25">
      <c r="A134" s="2258" t="s">
        <v>936</v>
      </c>
      <c r="B134" s="2259" t="s">
        <v>87</v>
      </c>
      <c r="C134" s="2260" t="s">
        <v>852</v>
      </c>
      <c r="D134" s="1266" t="s">
        <v>1593</v>
      </c>
      <c r="E134" s="223" t="s">
        <v>18</v>
      </c>
      <c r="F134" s="2251" t="s">
        <v>18</v>
      </c>
      <c r="G134" s="649">
        <f>10000-4471</f>
        <v>5529</v>
      </c>
      <c r="H134" s="659">
        <v>0</v>
      </c>
      <c r="I134" s="2261">
        <v>0</v>
      </c>
      <c r="J134" s="2262">
        <v>0</v>
      </c>
      <c r="K134" s="2263">
        <v>0</v>
      </c>
      <c r="L134" s="2264">
        <v>0</v>
      </c>
      <c r="M134" s="2265">
        <v>0</v>
      </c>
      <c r="N134" s="785">
        <v>5529</v>
      </c>
      <c r="O134" s="2266">
        <v>5421</v>
      </c>
      <c r="P134" s="1777">
        <v>108</v>
      </c>
      <c r="Q134" s="1778">
        <f t="shared" si="7"/>
        <v>5529</v>
      </c>
      <c r="R134" s="663"/>
      <c r="S134" s="663">
        <v>0</v>
      </c>
      <c r="T134" s="2264">
        <v>0</v>
      </c>
      <c r="U134" s="2265">
        <v>0</v>
      </c>
      <c r="V134" s="2267">
        <v>0</v>
      </c>
      <c r="W134" s="2264">
        <v>0</v>
      </c>
      <c r="X134" s="2265">
        <v>0</v>
      </c>
      <c r="Y134" s="2265">
        <v>0</v>
      </c>
      <c r="Z134" s="2265">
        <v>0</v>
      </c>
      <c r="AA134" s="2267">
        <v>0</v>
      </c>
      <c r="AB134" s="2253" t="s">
        <v>1818</v>
      </c>
      <c r="AC134" s="223" t="s">
        <v>186</v>
      </c>
      <c r="AD134" s="1129" t="s">
        <v>191</v>
      </c>
      <c r="AE134" s="1129" t="s">
        <v>92</v>
      </c>
      <c r="AF134" s="1129" t="s">
        <v>101</v>
      </c>
      <c r="AG134" s="2268" t="s">
        <v>203</v>
      </c>
      <c r="AH134" s="2268"/>
    </row>
    <row r="135" spans="1:34" s="1509" customFormat="1" ht="26.25" outlineLevel="1" thickBot="1" x14ac:dyDescent="0.3">
      <c r="A135" s="1157" t="s">
        <v>937</v>
      </c>
      <c r="B135" s="2203" t="s">
        <v>87</v>
      </c>
      <c r="C135" s="2269" t="s">
        <v>853</v>
      </c>
      <c r="D135" s="2270" t="s">
        <v>1593</v>
      </c>
      <c r="E135" s="553" t="s">
        <v>18</v>
      </c>
      <c r="F135" s="2214" t="s">
        <v>18</v>
      </c>
      <c r="G135" s="2322">
        <f>19000-19000</f>
        <v>0</v>
      </c>
      <c r="H135" s="2271">
        <v>0</v>
      </c>
      <c r="I135" s="2206">
        <v>0</v>
      </c>
      <c r="J135" s="2207">
        <v>0</v>
      </c>
      <c r="K135" s="2208">
        <v>0</v>
      </c>
      <c r="L135" s="1158">
        <v>0</v>
      </c>
      <c r="M135" s="1159">
        <v>0</v>
      </c>
      <c r="N135" s="2211">
        <v>0</v>
      </c>
      <c r="O135" s="2211">
        <v>19000</v>
      </c>
      <c r="P135" s="1161">
        <v>-19000</v>
      </c>
      <c r="Q135" s="1161">
        <f t="shared" si="7"/>
        <v>0</v>
      </c>
      <c r="R135" s="1160">
        <v>0</v>
      </c>
      <c r="S135" s="1160">
        <v>0</v>
      </c>
      <c r="T135" s="1158">
        <v>0</v>
      </c>
      <c r="U135" s="1159">
        <f>19000-19000</f>
        <v>0</v>
      </c>
      <c r="V135" s="2272">
        <v>0</v>
      </c>
      <c r="W135" s="1158">
        <v>0</v>
      </c>
      <c r="X135" s="1159">
        <v>0</v>
      </c>
      <c r="Y135" s="1159">
        <v>0</v>
      </c>
      <c r="Z135" s="1159">
        <v>0</v>
      </c>
      <c r="AA135" s="2272">
        <v>0</v>
      </c>
      <c r="AB135" s="2741" t="s">
        <v>1794</v>
      </c>
      <c r="AC135" s="553" t="s">
        <v>93</v>
      </c>
      <c r="AD135" s="568" t="s">
        <v>315</v>
      </c>
      <c r="AE135" s="568" t="s">
        <v>91</v>
      </c>
      <c r="AF135" s="568" t="s">
        <v>102</v>
      </c>
      <c r="AG135" s="1162" t="s">
        <v>214</v>
      </c>
      <c r="AH135" s="1162"/>
    </row>
    <row r="136" spans="1:34" ht="25.5" outlineLevel="1" x14ac:dyDescent="0.25">
      <c r="A136" s="1803" t="s">
        <v>1478</v>
      </c>
      <c r="B136" s="1804" t="s">
        <v>87</v>
      </c>
      <c r="C136" s="2273" t="s">
        <v>1131</v>
      </c>
      <c r="D136" s="219" t="s">
        <v>1602</v>
      </c>
      <c r="E136" s="219" t="s">
        <v>18</v>
      </c>
      <c r="F136" s="1699" t="s">
        <v>18</v>
      </c>
      <c r="G136" s="248">
        <f>77522+3153</f>
        <v>80675</v>
      </c>
      <c r="H136" s="418">
        <v>0</v>
      </c>
      <c r="I136" s="2142">
        <v>0</v>
      </c>
      <c r="J136" s="2143">
        <v>0</v>
      </c>
      <c r="K136" s="2159">
        <v>0</v>
      </c>
      <c r="L136" s="2136">
        <v>0</v>
      </c>
      <c r="M136" s="1846">
        <v>0</v>
      </c>
      <c r="N136" s="2245">
        <v>10000</v>
      </c>
      <c r="O136" s="2138">
        <v>47000</v>
      </c>
      <c r="P136" s="1691">
        <v>-37000</v>
      </c>
      <c r="Q136" s="1691">
        <f t="shared" si="7"/>
        <v>10000</v>
      </c>
      <c r="R136" s="421">
        <f>77522-47000+37000+3153</f>
        <v>70675</v>
      </c>
      <c r="S136" s="421">
        <v>0</v>
      </c>
      <c r="T136" s="2136">
        <v>0</v>
      </c>
      <c r="U136" s="1846">
        <v>0</v>
      </c>
      <c r="V136" s="2245">
        <v>0</v>
      </c>
      <c r="W136" s="2136">
        <v>0</v>
      </c>
      <c r="X136" s="1846">
        <v>0</v>
      </c>
      <c r="Y136" s="1846">
        <v>0</v>
      </c>
      <c r="Z136" s="1846">
        <v>0</v>
      </c>
      <c r="AA136" s="2245">
        <v>0</v>
      </c>
      <c r="AB136" s="2743" t="s">
        <v>1819</v>
      </c>
      <c r="AC136" s="219" t="s">
        <v>13</v>
      </c>
      <c r="AD136" s="379" t="s">
        <v>1820</v>
      </c>
      <c r="AE136" s="379" t="s">
        <v>92</v>
      </c>
      <c r="AF136" s="379" t="s">
        <v>101</v>
      </c>
      <c r="AG136" s="383" t="s">
        <v>212</v>
      </c>
      <c r="AH136" s="383"/>
    </row>
    <row r="137" spans="1:34" ht="25.5" outlineLevel="1" x14ac:dyDescent="0.25">
      <c r="A137" s="1683" t="s">
        <v>1479</v>
      </c>
      <c r="B137" s="1684" t="s">
        <v>87</v>
      </c>
      <c r="C137" s="2274" t="s">
        <v>1132</v>
      </c>
      <c r="D137" s="219" t="s">
        <v>1602</v>
      </c>
      <c r="E137" s="219" t="s">
        <v>18</v>
      </c>
      <c r="F137" s="1699" t="s">
        <v>18</v>
      </c>
      <c r="G137" s="251">
        <f>32222+4477</f>
        <v>36699</v>
      </c>
      <c r="H137" s="429">
        <v>0</v>
      </c>
      <c r="I137" s="1975">
        <v>0</v>
      </c>
      <c r="J137" s="2145">
        <v>0</v>
      </c>
      <c r="K137" s="1977">
        <v>0</v>
      </c>
      <c r="L137" s="1693">
        <v>0</v>
      </c>
      <c r="M137" s="1728">
        <v>0</v>
      </c>
      <c r="N137" s="2247">
        <v>10000</v>
      </c>
      <c r="O137" s="1696">
        <v>25000</v>
      </c>
      <c r="P137" s="1692">
        <v>-15000</v>
      </c>
      <c r="Q137" s="1692">
        <f t="shared" si="7"/>
        <v>10000</v>
      </c>
      <c r="R137" s="1726">
        <f>26699</f>
        <v>26699</v>
      </c>
      <c r="S137" s="1726">
        <v>0</v>
      </c>
      <c r="T137" s="1693">
        <v>0</v>
      </c>
      <c r="U137" s="1728">
        <v>0</v>
      </c>
      <c r="V137" s="2247">
        <v>0</v>
      </c>
      <c r="W137" s="1693">
        <v>0</v>
      </c>
      <c r="X137" s="1728">
        <v>0</v>
      </c>
      <c r="Y137" s="1728">
        <v>0</v>
      </c>
      <c r="Z137" s="1728">
        <v>0</v>
      </c>
      <c r="AA137" s="2247">
        <v>0</v>
      </c>
      <c r="AB137" s="2743" t="s">
        <v>1821</v>
      </c>
      <c r="AC137" s="220" t="s">
        <v>13</v>
      </c>
      <c r="AD137" s="252" t="s">
        <v>561</v>
      </c>
      <c r="AE137" s="252" t="s">
        <v>92</v>
      </c>
      <c r="AF137" s="252" t="s">
        <v>101</v>
      </c>
      <c r="AG137" s="1686" t="s">
        <v>204</v>
      </c>
      <c r="AH137" s="1686"/>
    </row>
    <row r="138" spans="1:34" ht="31.5" outlineLevel="1" x14ac:dyDescent="0.25">
      <c r="A138" s="1905" t="s">
        <v>1480</v>
      </c>
      <c r="B138" s="2229" t="s">
        <v>1951</v>
      </c>
      <c r="C138" s="2275" t="s">
        <v>1133</v>
      </c>
      <c r="D138" s="223" t="s">
        <v>1602</v>
      </c>
      <c r="E138" s="223" t="s">
        <v>18</v>
      </c>
      <c r="F138" s="2251" t="s">
        <v>18</v>
      </c>
      <c r="G138" s="776">
        <f>35090-3020</f>
        <v>32070</v>
      </c>
      <c r="H138" s="787">
        <v>0</v>
      </c>
      <c r="I138" s="2232">
        <v>0</v>
      </c>
      <c r="J138" s="2233">
        <v>0</v>
      </c>
      <c r="K138" s="2234">
        <v>416.01056</v>
      </c>
      <c r="L138" s="2235">
        <v>0</v>
      </c>
      <c r="M138" s="2236">
        <v>0</v>
      </c>
      <c r="N138" s="2252">
        <v>11500</v>
      </c>
      <c r="O138" s="2237">
        <v>11000</v>
      </c>
      <c r="P138" s="2238">
        <v>500</v>
      </c>
      <c r="Q138" s="719">
        <f t="shared" si="7"/>
        <v>11500</v>
      </c>
      <c r="R138" s="748">
        <v>0</v>
      </c>
      <c r="S138" s="748">
        <v>0</v>
      </c>
      <c r="T138" s="2235">
        <v>0</v>
      </c>
      <c r="U138" s="2236">
        <v>20570</v>
      </c>
      <c r="V138" s="2252">
        <v>0</v>
      </c>
      <c r="W138" s="2235">
        <v>0</v>
      </c>
      <c r="X138" s="2236">
        <v>0</v>
      </c>
      <c r="Y138" s="2236">
        <v>0</v>
      </c>
      <c r="Z138" s="2236">
        <v>0</v>
      </c>
      <c r="AA138" s="2252">
        <v>0</v>
      </c>
      <c r="AB138" s="2253" t="s">
        <v>1822</v>
      </c>
      <c r="AC138" s="655" t="s">
        <v>13</v>
      </c>
      <c r="AD138" s="321" t="s">
        <v>191</v>
      </c>
      <c r="AE138" s="321" t="s">
        <v>92</v>
      </c>
      <c r="AF138" s="321" t="s">
        <v>101</v>
      </c>
      <c r="AG138" s="773" t="s">
        <v>307</v>
      </c>
      <c r="AH138" s="773"/>
    </row>
    <row r="139" spans="1:34" ht="25.5" outlineLevel="1" x14ac:dyDescent="0.25">
      <c r="A139" s="1683" t="s">
        <v>1481</v>
      </c>
      <c r="B139" s="1684" t="s">
        <v>87</v>
      </c>
      <c r="C139" s="2274" t="s">
        <v>1134</v>
      </c>
      <c r="D139" s="219" t="s">
        <v>1300</v>
      </c>
      <c r="E139" s="219" t="s">
        <v>18</v>
      </c>
      <c r="F139" s="1699" t="s">
        <v>18</v>
      </c>
      <c r="G139" s="251">
        <v>10941</v>
      </c>
      <c r="H139" s="429">
        <v>0</v>
      </c>
      <c r="I139" s="1975">
        <v>0</v>
      </c>
      <c r="J139" s="2145">
        <v>0</v>
      </c>
      <c r="K139" s="1977">
        <v>0</v>
      </c>
      <c r="L139" s="1693">
        <v>0</v>
      </c>
      <c r="M139" s="1728">
        <v>0</v>
      </c>
      <c r="N139" s="2247">
        <v>7000</v>
      </c>
      <c r="O139" s="1696">
        <v>10941</v>
      </c>
      <c r="P139" s="1692">
        <v>-3941</v>
      </c>
      <c r="Q139" s="1692">
        <f t="shared" si="7"/>
        <v>7000</v>
      </c>
      <c r="R139" s="1726">
        <v>3941</v>
      </c>
      <c r="S139" s="1726">
        <v>0</v>
      </c>
      <c r="T139" s="1693">
        <v>0</v>
      </c>
      <c r="U139" s="1728">
        <v>0</v>
      </c>
      <c r="V139" s="2247">
        <v>0</v>
      </c>
      <c r="W139" s="1693">
        <v>0</v>
      </c>
      <c r="X139" s="1728">
        <v>0</v>
      </c>
      <c r="Y139" s="1728">
        <v>0</v>
      </c>
      <c r="Z139" s="1728">
        <v>0</v>
      </c>
      <c r="AA139" s="2247">
        <v>0</v>
      </c>
      <c r="AB139" s="2743" t="s">
        <v>1823</v>
      </c>
      <c r="AC139" s="220" t="s">
        <v>13</v>
      </c>
      <c r="AD139" s="252" t="s">
        <v>707</v>
      </c>
      <c r="AE139" s="252" t="s">
        <v>92</v>
      </c>
      <c r="AF139" s="252" t="s">
        <v>101</v>
      </c>
      <c r="AG139" s="1686" t="s">
        <v>204</v>
      </c>
      <c r="AH139" s="1686"/>
    </row>
    <row r="140" spans="1:34" ht="25.5" outlineLevel="1" x14ac:dyDescent="0.25">
      <c r="A140" s="1683" t="s">
        <v>1482</v>
      </c>
      <c r="B140" s="1684" t="s">
        <v>87</v>
      </c>
      <c r="C140" s="2274" t="s">
        <v>1135</v>
      </c>
      <c r="D140" s="219" t="s">
        <v>1602</v>
      </c>
      <c r="E140" s="219" t="s">
        <v>18</v>
      </c>
      <c r="F140" s="1699" t="s">
        <v>18</v>
      </c>
      <c r="G140" s="251">
        <v>21039</v>
      </c>
      <c r="H140" s="429">
        <v>0</v>
      </c>
      <c r="I140" s="1975">
        <v>0</v>
      </c>
      <c r="J140" s="2145">
        <v>0</v>
      </c>
      <c r="K140" s="1977">
        <v>0</v>
      </c>
      <c r="L140" s="1693">
        <v>0</v>
      </c>
      <c r="M140" s="1728">
        <v>0</v>
      </c>
      <c r="N140" s="2247">
        <v>11000</v>
      </c>
      <c r="O140" s="1696">
        <v>0</v>
      </c>
      <c r="P140" s="1692">
        <v>11000</v>
      </c>
      <c r="Q140" s="1692">
        <f t="shared" si="7"/>
        <v>11000</v>
      </c>
      <c r="R140" s="1726">
        <f>21039-11000</f>
        <v>10039</v>
      </c>
      <c r="S140" s="1726">
        <v>0</v>
      </c>
      <c r="T140" s="1693">
        <v>0</v>
      </c>
      <c r="U140" s="1728"/>
      <c r="V140" s="2247">
        <v>0</v>
      </c>
      <c r="W140" s="1693">
        <v>0</v>
      </c>
      <c r="X140" s="1728">
        <v>0</v>
      </c>
      <c r="Y140" s="1728">
        <v>0</v>
      </c>
      <c r="Z140" s="1728">
        <v>0</v>
      </c>
      <c r="AA140" s="2247">
        <v>0</v>
      </c>
      <c r="AB140" s="1545" t="s">
        <v>1496</v>
      </c>
      <c r="AC140" s="220" t="s">
        <v>13</v>
      </c>
      <c r="AD140" s="252" t="s">
        <v>750</v>
      </c>
      <c r="AE140" s="252" t="s">
        <v>92</v>
      </c>
      <c r="AF140" s="252" t="s">
        <v>101</v>
      </c>
      <c r="AG140" s="1686" t="s">
        <v>223</v>
      </c>
      <c r="AH140" s="1686"/>
    </row>
    <row r="141" spans="1:34" ht="25.5" outlineLevel="1" x14ac:dyDescent="0.25">
      <c r="A141" s="1905" t="s">
        <v>1483</v>
      </c>
      <c r="B141" s="2229" t="s">
        <v>1948</v>
      </c>
      <c r="C141" s="2275" t="s">
        <v>1136</v>
      </c>
      <c r="D141" s="223" t="s">
        <v>1602</v>
      </c>
      <c r="E141" s="223" t="s">
        <v>18</v>
      </c>
      <c r="F141" s="2251" t="s">
        <v>18</v>
      </c>
      <c r="G141" s="776">
        <f>39500-26538</f>
        <v>12962</v>
      </c>
      <c r="H141" s="787">
        <v>0</v>
      </c>
      <c r="I141" s="2232">
        <v>0</v>
      </c>
      <c r="J141" s="2233">
        <v>0</v>
      </c>
      <c r="K141" s="2234">
        <v>10915.11303</v>
      </c>
      <c r="L141" s="2235">
        <v>0</v>
      </c>
      <c r="M141" s="2236">
        <f>12962-12962</f>
        <v>0</v>
      </c>
      <c r="N141" s="2252">
        <f>0+12962</f>
        <v>12962</v>
      </c>
      <c r="O141" s="2237">
        <v>12962</v>
      </c>
      <c r="P141" s="2238">
        <v>0</v>
      </c>
      <c r="Q141" s="719">
        <f t="shared" si="7"/>
        <v>12962</v>
      </c>
      <c r="R141" s="748">
        <v>0</v>
      </c>
      <c r="S141" s="748">
        <v>0</v>
      </c>
      <c r="T141" s="2235">
        <v>0</v>
      </c>
      <c r="U141" s="2236">
        <v>0</v>
      </c>
      <c r="V141" s="2252">
        <v>0</v>
      </c>
      <c r="W141" s="2235">
        <v>0</v>
      </c>
      <c r="X141" s="2236">
        <v>0</v>
      </c>
      <c r="Y141" s="2236">
        <v>0</v>
      </c>
      <c r="Z141" s="2236">
        <v>0</v>
      </c>
      <c r="AA141" s="2252">
        <v>0</v>
      </c>
      <c r="AB141" s="2253" t="s">
        <v>1824</v>
      </c>
      <c r="AC141" s="655" t="s">
        <v>186</v>
      </c>
      <c r="AD141" s="321" t="s">
        <v>191</v>
      </c>
      <c r="AE141" s="321" t="s">
        <v>92</v>
      </c>
      <c r="AF141" s="321" t="s">
        <v>101</v>
      </c>
      <c r="AG141" s="773" t="s">
        <v>211</v>
      </c>
      <c r="AH141" s="773"/>
    </row>
    <row r="142" spans="1:34" ht="25.5" outlineLevel="1" x14ac:dyDescent="0.25">
      <c r="A142" s="1683" t="s">
        <v>1484</v>
      </c>
      <c r="B142" s="1684" t="s">
        <v>87</v>
      </c>
      <c r="C142" s="2274" t="s">
        <v>1825</v>
      </c>
      <c r="D142" s="219" t="s">
        <v>1602</v>
      </c>
      <c r="E142" s="219" t="s">
        <v>18</v>
      </c>
      <c r="F142" s="1699" t="s">
        <v>18</v>
      </c>
      <c r="G142" s="251">
        <v>25000</v>
      </c>
      <c r="H142" s="429">
        <v>0</v>
      </c>
      <c r="I142" s="1975">
        <v>0</v>
      </c>
      <c r="J142" s="2145">
        <v>0</v>
      </c>
      <c r="K142" s="1977">
        <v>0</v>
      </c>
      <c r="L142" s="1693">
        <v>0</v>
      </c>
      <c r="M142" s="1728">
        <v>0</v>
      </c>
      <c r="N142" s="2247">
        <v>0</v>
      </c>
      <c r="O142" s="1696">
        <v>0</v>
      </c>
      <c r="P142" s="1692">
        <v>0</v>
      </c>
      <c r="Q142" s="1692">
        <f t="shared" si="7"/>
        <v>0</v>
      </c>
      <c r="R142" s="1726">
        <v>25000</v>
      </c>
      <c r="S142" s="1726">
        <v>0</v>
      </c>
      <c r="T142" s="1693">
        <v>0</v>
      </c>
      <c r="U142" s="1728">
        <v>0</v>
      </c>
      <c r="V142" s="2247">
        <v>0</v>
      </c>
      <c r="W142" s="1693">
        <v>0</v>
      </c>
      <c r="X142" s="1728">
        <v>0</v>
      </c>
      <c r="Y142" s="1728">
        <v>0</v>
      </c>
      <c r="Z142" s="1728">
        <v>0</v>
      </c>
      <c r="AA142" s="2247">
        <v>0</v>
      </c>
      <c r="AB142" s="1545" t="s">
        <v>1826</v>
      </c>
      <c r="AC142" s="220" t="s">
        <v>9</v>
      </c>
      <c r="AD142" s="252" t="s">
        <v>750</v>
      </c>
      <c r="AE142" s="252" t="s">
        <v>91</v>
      </c>
      <c r="AF142" s="252" t="s">
        <v>101</v>
      </c>
      <c r="AG142" s="1686" t="s">
        <v>204</v>
      </c>
      <c r="AH142" s="1686"/>
    </row>
    <row r="143" spans="1:34" s="1509" customFormat="1" ht="26.25" outlineLevel="1" thickBot="1" x14ac:dyDescent="0.3">
      <c r="A143" s="1752" t="s">
        <v>1485</v>
      </c>
      <c r="B143" s="2119" t="s">
        <v>1414</v>
      </c>
      <c r="C143" s="2276" t="s">
        <v>1137</v>
      </c>
      <c r="D143" s="258" t="s">
        <v>1602</v>
      </c>
      <c r="E143" s="258" t="s">
        <v>18</v>
      </c>
      <c r="F143" s="1767" t="s">
        <v>18</v>
      </c>
      <c r="G143" s="259">
        <f>10000+7000</f>
        <v>17000</v>
      </c>
      <c r="H143" s="420">
        <v>0</v>
      </c>
      <c r="I143" s="2277">
        <v>0</v>
      </c>
      <c r="J143" s="2278">
        <v>335.89600000000002</v>
      </c>
      <c r="K143" s="2279">
        <v>0</v>
      </c>
      <c r="L143" s="1764">
        <v>0</v>
      </c>
      <c r="M143" s="2280">
        <f>336-0.104</f>
        <v>335.89600000000002</v>
      </c>
      <c r="N143" s="2281">
        <f>10000-336+7000-13900+0.104</f>
        <v>2764.1039999999998</v>
      </c>
      <c r="O143" s="1766">
        <v>17000</v>
      </c>
      <c r="P143" s="371">
        <v>-13900</v>
      </c>
      <c r="Q143" s="371">
        <f t="shared" si="7"/>
        <v>3100</v>
      </c>
      <c r="R143" s="1761">
        <v>13900</v>
      </c>
      <c r="S143" s="1761">
        <v>0</v>
      </c>
      <c r="T143" s="1764">
        <v>0</v>
      </c>
      <c r="U143" s="2280">
        <v>0</v>
      </c>
      <c r="V143" s="2281">
        <v>0</v>
      </c>
      <c r="W143" s="1764">
        <v>0</v>
      </c>
      <c r="X143" s="2280">
        <v>0</v>
      </c>
      <c r="Y143" s="2280">
        <v>0</v>
      </c>
      <c r="Z143" s="2280">
        <v>0</v>
      </c>
      <c r="AA143" s="2281">
        <v>0</v>
      </c>
      <c r="AB143" s="2746" t="s">
        <v>1827</v>
      </c>
      <c r="AC143" s="258" t="s">
        <v>13</v>
      </c>
      <c r="AD143" s="373" t="s">
        <v>707</v>
      </c>
      <c r="AE143" s="373" t="s">
        <v>92</v>
      </c>
      <c r="AF143" s="1156" t="s">
        <v>101</v>
      </c>
      <c r="AG143" s="2499" t="s">
        <v>211</v>
      </c>
      <c r="AH143" s="1755"/>
    </row>
    <row r="144" spans="1:34" ht="25.5" outlineLevel="1" x14ac:dyDescent="0.25">
      <c r="A144" s="2258" t="s">
        <v>1486</v>
      </c>
      <c r="B144" s="2259" t="s">
        <v>87</v>
      </c>
      <c r="C144" s="2260" t="s">
        <v>1153</v>
      </c>
      <c r="D144" s="1266" t="s">
        <v>1592</v>
      </c>
      <c r="E144" s="223" t="s">
        <v>18</v>
      </c>
      <c r="F144" s="2251" t="s">
        <v>18</v>
      </c>
      <c r="G144" s="649">
        <f>10746-2746</f>
        <v>8000</v>
      </c>
      <c r="H144" s="659">
        <v>0</v>
      </c>
      <c r="I144" s="2261">
        <v>0</v>
      </c>
      <c r="J144" s="2262">
        <v>0</v>
      </c>
      <c r="K144" s="2263">
        <v>0</v>
      </c>
      <c r="L144" s="2264">
        <v>0</v>
      </c>
      <c r="M144" s="2265">
        <v>0</v>
      </c>
      <c r="N144" s="2267">
        <v>8000</v>
      </c>
      <c r="O144" s="2266">
        <v>10746</v>
      </c>
      <c r="P144" s="1777">
        <v>-2746</v>
      </c>
      <c r="Q144" s="1778">
        <f t="shared" si="7"/>
        <v>8000</v>
      </c>
      <c r="R144" s="663">
        <v>0</v>
      </c>
      <c r="S144" s="663">
        <v>0</v>
      </c>
      <c r="T144" s="2264">
        <v>0</v>
      </c>
      <c r="U144" s="2265">
        <v>0</v>
      </c>
      <c r="V144" s="2267">
        <v>0</v>
      </c>
      <c r="W144" s="2264">
        <v>0</v>
      </c>
      <c r="X144" s="2265">
        <v>0</v>
      </c>
      <c r="Y144" s="2265">
        <v>0</v>
      </c>
      <c r="Z144" s="2265">
        <v>0</v>
      </c>
      <c r="AA144" s="2267">
        <v>0</v>
      </c>
      <c r="AB144" s="2282" t="s">
        <v>1828</v>
      </c>
      <c r="AC144" s="223" t="s">
        <v>186</v>
      </c>
      <c r="AD144" s="1129" t="s">
        <v>191</v>
      </c>
      <c r="AE144" s="1129" t="s">
        <v>92</v>
      </c>
      <c r="AF144" s="321" t="s">
        <v>101</v>
      </c>
      <c r="AG144" s="773" t="s">
        <v>796</v>
      </c>
      <c r="AH144" s="2268"/>
    </row>
    <row r="145" spans="1:34" ht="25.5" outlineLevel="1" x14ac:dyDescent="0.25">
      <c r="A145" s="1905" t="s">
        <v>1487</v>
      </c>
      <c r="B145" s="2229" t="s">
        <v>87</v>
      </c>
      <c r="C145" s="2230" t="s">
        <v>1154</v>
      </c>
      <c r="D145" s="1266" t="s">
        <v>1592</v>
      </c>
      <c r="E145" s="223" t="s">
        <v>18</v>
      </c>
      <c r="F145" s="2251" t="s">
        <v>18</v>
      </c>
      <c r="G145" s="776">
        <f>13503-4303</f>
        <v>9200</v>
      </c>
      <c r="H145" s="787">
        <v>0</v>
      </c>
      <c r="I145" s="2232">
        <v>0</v>
      </c>
      <c r="J145" s="2233">
        <v>0</v>
      </c>
      <c r="K145" s="2234">
        <v>0</v>
      </c>
      <c r="L145" s="2235">
        <v>0</v>
      </c>
      <c r="M145" s="2236">
        <v>0</v>
      </c>
      <c r="N145" s="2252">
        <v>9200</v>
      </c>
      <c r="O145" s="2237">
        <v>13503</v>
      </c>
      <c r="P145" s="2238">
        <v>-4303</v>
      </c>
      <c r="Q145" s="719">
        <f t="shared" si="7"/>
        <v>9200</v>
      </c>
      <c r="R145" s="748">
        <v>0</v>
      </c>
      <c r="S145" s="748">
        <v>0</v>
      </c>
      <c r="T145" s="2235">
        <v>0</v>
      </c>
      <c r="U145" s="2236">
        <v>0</v>
      </c>
      <c r="V145" s="2252">
        <v>0</v>
      </c>
      <c r="W145" s="2235">
        <v>0</v>
      </c>
      <c r="X145" s="2236">
        <v>0</v>
      </c>
      <c r="Y145" s="2236">
        <v>0</v>
      </c>
      <c r="Z145" s="2236">
        <v>0</v>
      </c>
      <c r="AA145" s="2252">
        <v>0</v>
      </c>
      <c r="AB145" s="2253" t="s">
        <v>1829</v>
      </c>
      <c r="AC145" s="655" t="s">
        <v>186</v>
      </c>
      <c r="AD145" s="321" t="s">
        <v>191</v>
      </c>
      <c r="AE145" s="321" t="s">
        <v>92</v>
      </c>
      <c r="AF145" s="321" t="s">
        <v>101</v>
      </c>
      <c r="AG145" s="773" t="s">
        <v>220</v>
      </c>
      <c r="AH145" s="773"/>
    </row>
    <row r="146" spans="1:34" ht="25.5" outlineLevel="1" x14ac:dyDescent="0.25">
      <c r="A146" s="1242" t="s">
        <v>1488</v>
      </c>
      <c r="B146" s="1051" t="s">
        <v>87</v>
      </c>
      <c r="C146" s="1396" t="s">
        <v>1155</v>
      </c>
      <c r="D146" s="1397" t="s">
        <v>1592</v>
      </c>
      <c r="E146" s="1167" t="s">
        <v>18</v>
      </c>
      <c r="F146" s="1398" t="s">
        <v>18</v>
      </c>
      <c r="G146" s="1053">
        <f>43481-43481</f>
        <v>0</v>
      </c>
      <c r="H146" s="1399">
        <v>0</v>
      </c>
      <c r="I146" s="1245">
        <v>0</v>
      </c>
      <c r="J146" s="1246">
        <v>0</v>
      </c>
      <c r="K146" s="1247">
        <v>0</v>
      </c>
      <c r="L146" s="1055">
        <v>0</v>
      </c>
      <c r="M146" s="1056">
        <v>0</v>
      </c>
      <c r="N146" s="1268">
        <v>0</v>
      </c>
      <c r="O146" s="1251">
        <v>43481</v>
      </c>
      <c r="P146" s="1249">
        <v>-43481</v>
      </c>
      <c r="Q146" s="1249">
        <f t="shared" si="7"/>
        <v>0</v>
      </c>
      <c r="R146" s="1248">
        <v>0</v>
      </c>
      <c r="S146" s="1248">
        <v>0</v>
      </c>
      <c r="T146" s="1055">
        <v>0</v>
      </c>
      <c r="U146" s="1056">
        <f>43481-43481</f>
        <v>0</v>
      </c>
      <c r="V146" s="1268">
        <v>0</v>
      </c>
      <c r="W146" s="1055">
        <v>0</v>
      </c>
      <c r="X146" s="1056">
        <v>0</v>
      </c>
      <c r="Y146" s="1056">
        <v>0</v>
      </c>
      <c r="Z146" s="1056">
        <v>0</v>
      </c>
      <c r="AA146" s="1268">
        <v>0</v>
      </c>
      <c r="AB146" s="2745" t="s">
        <v>1794</v>
      </c>
      <c r="AC146" s="382" t="s">
        <v>93</v>
      </c>
      <c r="AD146" s="1057" t="s">
        <v>321</v>
      </c>
      <c r="AE146" s="1057" t="s">
        <v>91</v>
      </c>
      <c r="AF146" s="1057" t="s">
        <v>100</v>
      </c>
      <c r="AG146" s="1052" t="s">
        <v>221</v>
      </c>
      <c r="AH146" s="1052"/>
    </row>
    <row r="147" spans="1:34" ht="31.5" outlineLevel="1" x14ac:dyDescent="0.25">
      <c r="A147" s="802" t="s">
        <v>1489</v>
      </c>
      <c r="B147" s="798" t="s">
        <v>1952</v>
      </c>
      <c r="C147" s="1339" t="s">
        <v>1156</v>
      </c>
      <c r="D147" s="102" t="s">
        <v>1592</v>
      </c>
      <c r="E147" s="93" t="s">
        <v>18</v>
      </c>
      <c r="F147" s="308" t="s">
        <v>18</v>
      </c>
      <c r="G147" s="96">
        <f>4500+9</f>
        <v>4509</v>
      </c>
      <c r="H147" s="312">
        <v>0</v>
      </c>
      <c r="I147" s="1593">
        <v>0</v>
      </c>
      <c r="J147" s="1594">
        <v>0</v>
      </c>
      <c r="K147" s="1595">
        <v>405.51593000000003</v>
      </c>
      <c r="L147" s="803">
        <v>0</v>
      </c>
      <c r="M147" s="470">
        <v>0</v>
      </c>
      <c r="N147" s="877">
        <v>4509</v>
      </c>
      <c r="O147" s="1222">
        <v>4509</v>
      </c>
      <c r="P147" s="851">
        <v>0</v>
      </c>
      <c r="Q147" s="613">
        <f t="shared" si="7"/>
        <v>4509</v>
      </c>
      <c r="R147" s="519">
        <v>0</v>
      </c>
      <c r="S147" s="519">
        <v>0</v>
      </c>
      <c r="T147" s="803">
        <v>0</v>
      </c>
      <c r="U147" s="470">
        <v>0</v>
      </c>
      <c r="V147" s="877">
        <v>0</v>
      </c>
      <c r="W147" s="803">
        <v>0</v>
      </c>
      <c r="X147" s="470">
        <v>0</v>
      </c>
      <c r="Y147" s="470">
        <v>0</v>
      </c>
      <c r="Z147" s="470">
        <v>0</v>
      </c>
      <c r="AA147" s="877">
        <v>0</v>
      </c>
      <c r="AB147" s="1488" t="s">
        <v>84</v>
      </c>
      <c r="AC147" s="95" t="s">
        <v>13</v>
      </c>
      <c r="AD147" s="515" t="s">
        <v>191</v>
      </c>
      <c r="AE147" s="515" t="s">
        <v>92</v>
      </c>
      <c r="AF147" s="515" t="s">
        <v>101</v>
      </c>
      <c r="AG147" s="514" t="s">
        <v>220</v>
      </c>
      <c r="AH147" s="514"/>
    </row>
    <row r="148" spans="1:34" ht="31.5" outlineLevel="1" x14ac:dyDescent="0.25">
      <c r="A148" s="1735" t="s">
        <v>1490</v>
      </c>
      <c r="B148" s="2215" t="s">
        <v>87</v>
      </c>
      <c r="C148" s="2254" t="s">
        <v>1157</v>
      </c>
      <c r="D148" s="1114" t="s">
        <v>1592</v>
      </c>
      <c r="E148" s="639" t="s">
        <v>18</v>
      </c>
      <c r="F148" s="1723" t="s">
        <v>18</v>
      </c>
      <c r="G148" s="1048">
        <f>3500+477+23</f>
        <v>4000</v>
      </c>
      <c r="H148" s="2255">
        <v>0</v>
      </c>
      <c r="I148" s="2217">
        <v>0</v>
      </c>
      <c r="J148" s="2218">
        <v>0</v>
      </c>
      <c r="K148" s="2219">
        <v>0</v>
      </c>
      <c r="L148" s="1749">
        <v>0</v>
      </c>
      <c r="M148" s="2223">
        <v>0</v>
      </c>
      <c r="N148" s="2257">
        <v>4000</v>
      </c>
      <c r="O148" s="2256">
        <v>3977</v>
      </c>
      <c r="P148" s="2220">
        <v>23</v>
      </c>
      <c r="Q148" s="1746">
        <f t="shared" si="7"/>
        <v>4000</v>
      </c>
      <c r="R148" s="2221">
        <v>0</v>
      </c>
      <c r="S148" s="2221">
        <v>0</v>
      </c>
      <c r="T148" s="1749">
        <v>0</v>
      </c>
      <c r="U148" s="2223">
        <v>0</v>
      </c>
      <c r="V148" s="2257">
        <v>0</v>
      </c>
      <c r="W148" s="1749">
        <v>0</v>
      </c>
      <c r="X148" s="2223">
        <v>0</v>
      </c>
      <c r="Y148" s="2223">
        <v>0</v>
      </c>
      <c r="Z148" s="2223">
        <v>0</v>
      </c>
      <c r="AA148" s="2257">
        <v>0</v>
      </c>
      <c r="AB148" s="2735" t="s">
        <v>1830</v>
      </c>
      <c r="AC148" s="157" t="s">
        <v>13</v>
      </c>
      <c r="AD148" s="370" t="s">
        <v>191</v>
      </c>
      <c r="AE148" s="370" t="s">
        <v>92</v>
      </c>
      <c r="AF148" s="370" t="s">
        <v>101</v>
      </c>
      <c r="AG148" s="1738" t="s">
        <v>224</v>
      </c>
      <c r="AH148" s="1738"/>
    </row>
    <row r="149" spans="1:34" ht="25.5" outlineLevel="1" x14ac:dyDescent="0.25">
      <c r="A149" s="1735" t="s">
        <v>1491</v>
      </c>
      <c r="B149" s="2215" t="s">
        <v>1649</v>
      </c>
      <c r="C149" s="2254" t="s">
        <v>1158</v>
      </c>
      <c r="D149" s="1114" t="s">
        <v>1592</v>
      </c>
      <c r="E149" s="639" t="s">
        <v>18</v>
      </c>
      <c r="F149" s="1723" t="s">
        <v>18</v>
      </c>
      <c r="G149" s="1048">
        <f>30000+10500+16660</f>
        <v>57160</v>
      </c>
      <c r="H149" s="2255">
        <v>0</v>
      </c>
      <c r="I149" s="2217">
        <v>0</v>
      </c>
      <c r="J149" s="2218">
        <v>943.90688999999998</v>
      </c>
      <c r="K149" s="2219">
        <v>1488.0576700000001</v>
      </c>
      <c r="L149" s="1749">
        <v>0</v>
      </c>
      <c r="M149" s="2223">
        <f>0+943.90689</f>
        <v>943.90688999999998</v>
      </c>
      <c r="N149" s="2257">
        <f>57160-943.90689</f>
        <v>56216.093110000002</v>
      </c>
      <c r="O149" s="2256">
        <v>40500</v>
      </c>
      <c r="P149" s="2220">
        <v>16660</v>
      </c>
      <c r="Q149" s="1746">
        <f t="shared" si="7"/>
        <v>57160</v>
      </c>
      <c r="R149" s="2221">
        <v>0</v>
      </c>
      <c r="S149" s="2221">
        <v>0</v>
      </c>
      <c r="T149" s="1749">
        <v>0</v>
      </c>
      <c r="U149" s="2223">
        <v>0</v>
      </c>
      <c r="V149" s="2257">
        <v>0</v>
      </c>
      <c r="W149" s="1749">
        <v>0</v>
      </c>
      <c r="X149" s="2223">
        <v>0</v>
      </c>
      <c r="Y149" s="2223">
        <v>0</v>
      </c>
      <c r="Z149" s="2223">
        <v>0</v>
      </c>
      <c r="AA149" s="2257">
        <v>0</v>
      </c>
      <c r="AB149" s="2739" t="s">
        <v>1831</v>
      </c>
      <c r="AC149" s="157" t="s">
        <v>13</v>
      </c>
      <c r="AD149" s="370" t="s">
        <v>191</v>
      </c>
      <c r="AE149" s="370" t="s">
        <v>92</v>
      </c>
      <c r="AF149" s="370" t="s">
        <v>101</v>
      </c>
      <c r="AG149" s="1738" t="s">
        <v>206</v>
      </c>
      <c r="AH149" s="1738"/>
    </row>
    <row r="150" spans="1:34" s="226" customFormat="1" ht="26.25" outlineLevel="1" thickBot="1" x14ac:dyDescent="0.3">
      <c r="A150" s="1157" t="s">
        <v>1492</v>
      </c>
      <c r="B150" s="2203" t="s">
        <v>1656</v>
      </c>
      <c r="C150" s="2269" t="s">
        <v>1159</v>
      </c>
      <c r="D150" s="2270" t="s">
        <v>1592</v>
      </c>
      <c r="E150" s="553" t="s">
        <v>18</v>
      </c>
      <c r="F150" s="2283" t="s">
        <v>18</v>
      </c>
      <c r="G150" s="2322">
        <f>60000-47926.03257+92.565</f>
        <v>12166.532429999997</v>
      </c>
      <c r="H150" s="2271">
        <v>0</v>
      </c>
      <c r="I150" s="2206">
        <v>0</v>
      </c>
      <c r="J150" s="2207">
        <v>0</v>
      </c>
      <c r="K150" s="2208">
        <v>12166.532430000001</v>
      </c>
      <c r="L150" s="1158">
        <v>0</v>
      </c>
      <c r="M150" s="1159">
        <v>0</v>
      </c>
      <c r="N150" s="2272">
        <f>12073.96743+92.565</f>
        <v>12166.532430000001</v>
      </c>
      <c r="O150" s="2211">
        <v>35000</v>
      </c>
      <c r="P150" s="1161">
        <f>-22926.03257+92.565</f>
        <v>-22833.467570000001</v>
      </c>
      <c r="Q150" s="1161">
        <f t="shared" si="7"/>
        <v>12166.532429999999</v>
      </c>
      <c r="R150" s="1160">
        <v>0</v>
      </c>
      <c r="S150" s="1160">
        <v>0</v>
      </c>
      <c r="T150" s="1158">
        <v>0</v>
      </c>
      <c r="U150" s="1159">
        <f>60000-12073.96743-47926.03257</f>
        <v>0</v>
      </c>
      <c r="V150" s="2272">
        <v>0</v>
      </c>
      <c r="W150" s="1158">
        <v>0</v>
      </c>
      <c r="X150" s="1159">
        <v>0</v>
      </c>
      <c r="Y150" s="1159">
        <v>0</v>
      </c>
      <c r="Z150" s="1159">
        <v>0</v>
      </c>
      <c r="AA150" s="2272">
        <v>0</v>
      </c>
      <c r="AB150" s="2741" t="s">
        <v>1839</v>
      </c>
      <c r="AC150" s="553" t="s">
        <v>95</v>
      </c>
      <c r="AD150" s="568" t="s">
        <v>191</v>
      </c>
      <c r="AE150" s="568" t="s">
        <v>92</v>
      </c>
      <c r="AF150" s="568" t="s">
        <v>101</v>
      </c>
      <c r="AG150" s="1162" t="s">
        <v>213</v>
      </c>
      <c r="AH150" s="1162"/>
    </row>
    <row r="151" spans="1:34" ht="25.5" outlineLevel="1" x14ac:dyDescent="0.25">
      <c r="A151" s="2258" t="s">
        <v>1477</v>
      </c>
      <c r="B151" s="2259" t="s">
        <v>87</v>
      </c>
      <c r="C151" s="2260" t="s">
        <v>1350</v>
      </c>
      <c r="D151" s="1128" t="s">
        <v>1603</v>
      </c>
      <c r="E151" s="223" t="s">
        <v>18</v>
      </c>
      <c r="F151" s="223" t="s">
        <v>18</v>
      </c>
      <c r="G151" s="649">
        <f>26165-6165</f>
        <v>20000</v>
      </c>
      <c r="H151" s="659">
        <v>0</v>
      </c>
      <c r="I151" s="2261">
        <v>0</v>
      </c>
      <c r="J151" s="2262">
        <v>0</v>
      </c>
      <c r="K151" s="2263">
        <v>0</v>
      </c>
      <c r="L151" s="2264">
        <v>0</v>
      </c>
      <c r="M151" s="2265">
        <v>0</v>
      </c>
      <c r="N151" s="2267">
        <v>2000</v>
      </c>
      <c r="O151" s="2266">
        <v>8000</v>
      </c>
      <c r="P151" s="1777">
        <v>-6000</v>
      </c>
      <c r="Q151" s="1778">
        <f t="shared" si="7"/>
        <v>2000</v>
      </c>
      <c r="R151" s="663">
        <v>18000</v>
      </c>
      <c r="S151" s="663">
        <v>0</v>
      </c>
      <c r="T151" s="2264">
        <v>0</v>
      </c>
      <c r="U151" s="2265">
        <v>0</v>
      </c>
      <c r="V151" s="2267">
        <v>0</v>
      </c>
      <c r="W151" s="2264">
        <v>0</v>
      </c>
      <c r="X151" s="2265">
        <v>0</v>
      </c>
      <c r="Y151" s="2265">
        <v>0</v>
      </c>
      <c r="Z151" s="2265">
        <v>0</v>
      </c>
      <c r="AA151" s="2267">
        <v>0</v>
      </c>
      <c r="AB151" s="2253" t="s">
        <v>1832</v>
      </c>
      <c r="AC151" s="223" t="s">
        <v>13</v>
      </c>
      <c r="AD151" s="1129" t="s">
        <v>1833</v>
      </c>
      <c r="AE151" s="1129" t="s">
        <v>92</v>
      </c>
      <c r="AF151" s="1129" t="s">
        <v>101</v>
      </c>
      <c r="AG151" s="2268" t="s">
        <v>217</v>
      </c>
      <c r="AH151" s="2268"/>
    </row>
    <row r="152" spans="1:34" ht="31.5" outlineLevel="1" x14ac:dyDescent="0.25">
      <c r="A152" s="802" t="s">
        <v>1476</v>
      </c>
      <c r="B152" s="798" t="s">
        <v>87</v>
      </c>
      <c r="C152" s="1339" t="s">
        <v>1351</v>
      </c>
      <c r="D152" s="1088" t="s">
        <v>1603</v>
      </c>
      <c r="E152" s="93" t="s">
        <v>18</v>
      </c>
      <c r="F152" s="93" t="s">
        <v>18</v>
      </c>
      <c r="G152" s="96">
        <f>2000+2000</f>
        <v>4000</v>
      </c>
      <c r="H152" s="312">
        <v>0</v>
      </c>
      <c r="I152" s="1593">
        <v>0</v>
      </c>
      <c r="J152" s="1594">
        <v>0</v>
      </c>
      <c r="K152" s="1595">
        <v>0</v>
      </c>
      <c r="L152" s="803">
        <v>0</v>
      </c>
      <c r="M152" s="470">
        <v>0</v>
      </c>
      <c r="N152" s="877">
        <v>4000</v>
      </c>
      <c r="O152" s="1222">
        <v>4000</v>
      </c>
      <c r="P152" s="851">
        <v>0</v>
      </c>
      <c r="Q152" s="613">
        <f t="shared" si="7"/>
        <v>4000</v>
      </c>
      <c r="R152" s="519">
        <v>0</v>
      </c>
      <c r="S152" s="519">
        <v>0</v>
      </c>
      <c r="T152" s="803">
        <v>0</v>
      </c>
      <c r="U152" s="470">
        <v>0</v>
      </c>
      <c r="V152" s="877">
        <v>0</v>
      </c>
      <c r="W152" s="803">
        <v>0</v>
      </c>
      <c r="X152" s="470">
        <v>0</v>
      </c>
      <c r="Y152" s="470">
        <v>0</v>
      </c>
      <c r="Z152" s="470">
        <v>0</v>
      </c>
      <c r="AA152" s="877">
        <v>0</v>
      </c>
      <c r="AB152" s="1488" t="s">
        <v>84</v>
      </c>
      <c r="AC152" s="95" t="s">
        <v>13</v>
      </c>
      <c r="AD152" s="515" t="s">
        <v>321</v>
      </c>
      <c r="AE152" s="515" t="s">
        <v>92</v>
      </c>
      <c r="AF152" s="515" t="s">
        <v>101</v>
      </c>
      <c r="AG152" s="514" t="s">
        <v>204</v>
      </c>
      <c r="AH152" s="514"/>
    </row>
    <row r="153" spans="1:34" ht="26.25" outlineLevel="1" thickBot="1" x14ac:dyDescent="0.3">
      <c r="A153" s="1824" t="s">
        <v>1475</v>
      </c>
      <c r="B153" s="2284" t="s">
        <v>87</v>
      </c>
      <c r="C153" s="2285" t="s">
        <v>1355</v>
      </c>
      <c r="D153" s="1131" t="s">
        <v>1603</v>
      </c>
      <c r="E153" s="1514" t="s">
        <v>18</v>
      </c>
      <c r="F153" s="1514" t="s">
        <v>18</v>
      </c>
      <c r="G153" s="2286">
        <f>49900+10000</f>
        <v>59900</v>
      </c>
      <c r="H153" s="2287">
        <v>0</v>
      </c>
      <c r="I153" s="2288">
        <v>0</v>
      </c>
      <c r="J153" s="2289">
        <v>0</v>
      </c>
      <c r="K153" s="2290">
        <v>0</v>
      </c>
      <c r="L153" s="2291">
        <v>0</v>
      </c>
      <c r="M153" s="2292">
        <v>0</v>
      </c>
      <c r="N153" s="2293">
        <v>0</v>
      </c>
      <c r="O153" s="2294">
        <v>0</v>
      </c>
      <c r="P153" s="1925">
        <v>0</v>
      </c>
      <c r="Q153" s="1835">
        <f t="shared" si="7"/>
        <v>0</v>
      </c>
      <c r="R153" s="2295">
        <v>49900</v>
      </c>
      <c r="S153" s="2295">
        <v>10000</v>
      </c>
      <c r="T153" s="2291">
        <v>0</v>
      </c>
      <c r="U153" s="2292">
        <v>0</v>
      </c>
      <c r="V153" s="2293">
        <v>0</v>
      </c>
      <c r="W153" s="2291">
        <v>0</v>
      </c>
      <c r="X153" s="2292">
        <v>0</v>
      </c>
      <c r="Y153" s="2292">
        <v>0</v>
      </c>
      <c r="Z153" s="2292">
        <v>0</v>
      </c>
      <c r="AA153" s="2293">
        <v>0</v>
      </c>
      <c r="AB153" s="2735" t="s">
        <v>1834</v>
      </c>
      <c r="AC153" s="643" t="s">
        <v>11</v>
      </c>
      <c r="AD153" s="622" t="s">
        <v>750</v>
      </c>
      <c r="AE153" s="622" t="s">
        <v>91</v>
      </c>
      <c r="AF153" s="622" t="s">
        <v>101</v>
      </c>
      <c r="AG153" s="1845" t="s">
        <v>206</v>
      </c>
      <c r="AH153" s="1845"/>
    </row>
    <row r="154" spans="1:34" ht="26.25" outlineLevel="1" thickBot="1" x14ac:dyDescent="0.3">
      <c r="A154" s="833" t="s">
        <v>1493</v>
      </c>
      <c r="B154" s="1111" t="s">
        <v>87</v>
      </c>
      <c r="C154" s="2296" t="s">
        <v>1494</v>
      </c>
      <c r="D154" s="681" t="s">
        <v>1722</v>
      </c>
      <c r="E154" s="20" t="s">
        <v>18</v>
      </c>
      <c r="F154" s="20" t="s">
        <v>18</v>
      </c>
      <c r="G154" s="59">
        <v>3977</v>
      </c>
      <c r="H154" s="400">
        <v>0</v>
      </c>
      <c r="I154" s="1596">
        <v>0</v>
      </c>
      <c r="J154" s="1597">
        <v>0</v>
      </c>
      <c r="K154" s="1598">
        <v>0</v>
      </c>
      <c r="L154" s="867">
        <v>0</v>
      </c>
      <c r="M154" s="868">
        <v>0</v>
      </c>
      <c r="N154" s="869">
        <v>3977</v>
      </c>
      <c r="O154" s="2297">
        <v>3977</v>
      </c>
      <c r="P154" s="850">
        <v>0</v>
      </c>
      <c r="Q154" s="533">
        <f t="shared" si="7"/>
        <v>3977</v>
      </c>
      <c r="R154" s="442">
        <v>0</v>
      </c>
      <c r="S154" s="442">
        <v>0</v>
      </c>
      <c r="T154" s="867">
        <v>0</v>
      </c>
      <c r="U154" s="868">
        <v>0</v>
      </c>
      <c r="V154" s="869">
        <v>0</v>
      </c>
      <c r="W154" s="867">
        <v>0</v>
      </c>
      <c r="X154" s="868">
        <v>0</v>
      </c>
      <c r="Y154" s="868">
        <v>0</v>
      </c>
      <c r="Z154" s="868">
        <v>0</v>
      </c>
      <c r="AA154" s="869">
        <v>0</v>
      </c>
      <c r="AB154" s="1070" t="s">
        <v>84</v>
      </c>
      <c r="AC154" s="20" t="s">
        <v>11</v>
      </c>
      <c r="AD154" s="387" t="s">
        <v>750</v>
      </c>
      <c r="AE154" s="387" t="s">
        <v>91</v>
      </c>
      <c r="AF154" s="387" t="s">
        <v>101</v>
      </c>
      <c r="AG154" s="158" t="s">
        <v>203</v>
      </c>
      <c r="AH154" s="158"/>
    </row>
    <row r="155" spans="1:34" outlineLevel="1" x14ac:dyDescent="0.25">
      <c r="A155" s="1929" t="s">
        <v>1835</v>
      </c>
      <c r="B155" s="2298" t="s">
        <v>87</v>
      </c>
      <c r="C155" s="2299" t="s">
        <v>1836</v>
      </c>
      <c r="D155" s="617" t="s">
        <v>84</v>
      </c>
      <c r="E155" s="197" t="s">
        <v>18</v>
      </c>
      <c r="F155" s="197" t="s">
        <v>18</v>
      </c>
      <c r="G155" s="211">
        <v>47201</v>
      </c>
      <c r="H155" s="413">
        <v>0</v>
      </c>
      <c r="I155" s="2109">
        <v>0</v>
      </c>
      <c r="J155" s="2110">
        <v>0</v>
      </c>
      <c r="K155" s="2300">
        <v>0</v>
      </c>
      <c r="L155" s="2028">
        <v>0</v>
      </c>
      <c r="M155" s="2029">
        <v>0</v>
      </c>
      <c r="N155" s="2030">
        <v>7201</v>
      </c>
      <c r="O155" s="2112">
        <v>0</v>
      </c>
      <c r="P155" s="1937">
        <v>7201</v>
      </c>
      <c r="Q155" s="1937">
        <f t="shared" si="7"/>
        <v>7201</v>
      </c>
      <c r="R155" s="1936">
        <v>40000</v>
      </c>
      <c r="S155" s="1936">
        <v>0</v>
      </c>
      <c r="T155" s="2028">
        <v>0</v>
      </c>
      <c r="U155" s="2029">
        <v>0</v>
      </c>
      <c r="V155" s="2030">
        <v>0</v>
      </c>
      <c r="W155" s="2028">
        <v>0</v>
      </c>
      <c r="X155" s="2029">
        <v>0</v>
      </c>
      <c r="Y155" s="2029">
        <v>0</v>
      </c>
      <c r="Z155" s="2029">
        <v>0</v>
      </c>
      <c r="AA155" s="2032">
        <v>0</v>
      </c>
      <c r="AB155" s="1132" t="s">
        <v>84</v>
      </c>
      <c r="AC155" s="414" t="s">
        <v>13</v>
      </c>
      <c r="AD155" s="645" t="s">
        <v>561</v>
      </c>
      <c r="AE155" s="369" t="s">
        <v>92</v>
      </c>
      <c r="AF155" s="369" t="s">
        <v>101</v>
      </c>
      <c r="AG155" s="1945" t="s">
        <v>208</v>
      </c>
      <c r="AH155" s="1945"/>
    </row>
    <row r="156" spans="1:34" ht="25.5" outlineLevel="1" x14ac:dyDescent="0.25">
      <c r="A156" s="1929" t="s">
        <v>1844</v>
      </c>
      <c r="B156" s="2298" t="s">
        <v>87</v>
      </c>
      <c r="C156" s="2299" t="s">
        <v>1845</v>
      </c>
      <c r="D156" s="617" t="s">
        <v>84</v>
      </c>
      <c r="E156" s="197" t="s">
        <v>18</v>
      </c>
      <c r="F156" s="197" t="s">
        <v>18</v>
      </c>
      <c r="G156" s="211">
        <v>130000</v>
      </c>
      <c r="H156" s="413">
        <v>0</v>
      </c>
      <c r="I156" s="2109">
        <v>0</v>
      </c>
      <c r="J156" s="2110">
        <v>0</v>
      </c>
      <c r="K156" s="2300">
        <v>0</v>
      </c>
      <c r="L156" s="2028">
        <v>0</v>
      </c>
      <c r="M156" s="2029">
        <v>0</v>
      </c>
      <c r="N156" s="2030">
        <v>0</v>
      </c>
      <c r="O156" s="2112">
        <v>0</v>
      </c>
      <c r="P156" s="1937">
        <v>0</v>
      </c>
      <c r="Q156" s="1937">
        <f t="shared" si="7"/>
        <v>0</v>
      </c>
      <c r="R156" s="1936">
        <v>10000</v>
      </c>
      <c r="S156" s="1936">
        <v>120000</v>
      </c>
      <c r="T156" s="2028">
        <v>0</v>
      </c>
      <c r="U156" s="2029">
        <v>0</v>
      </c>
      <c r="V156" s="2030">
        <v>0</v>
      </c>
      <c r="W156" s="2028">
        <v>0</v>
      </c>
      <c r="X156" s="2029">
        <v>0</v>
      </c>
      <c r="Y156" s="2029">
        <v>0</v>
      </c>
      <c r="Z156" s="2029">
        <v>0</v>
      </c>
      <c r="AA156" s="2032">
        <v>0</v>
      </c>
      <c r="AB156" s="437" t="s">
        <v>84</v>
      </c>
      <c r="AC156" s="414" t="s">
        <v>11</v>
      </c>
      <c r="AD156" s="645" t="s">
        <v>707</v>
      </c>
      <c r="AE156" s="2675" t="s">
        <v>91</v>
      </c>
      <c r="AF156" s="2675">
        <v>1</v>
      </c>
      <c r="AG156" s="2675" t="s">
        <v>796</v>
      </c>
      <c r="AH156" s="1701"/>
    </row>
    <row r="157" spans="1:34" outlineLevel="1" x14ac:dyDescent="0.25">
      <c r="A157" s="1929" t="s">
        <v>1846</v>
      </c>
      <c r="B157" s="2298" t="s">
        <v>87</v>
      </c>
      <c r="C157" s="2299" t="s">
        <v>1847</v>
      </c>
      <c r="D157" s="617" t="s">
        <v>84</v>
      </c>
      <c r="E157" s="197" t="s">
        <v>18</v>
      </c>
      <c r="F157" s="197" t="s">
        <v>18</v>
      </c>
      <c r="G157" s="211">
        <v>130000</v>
      </c>
      <c r="H157" s="413">
        <v>0</v>
      </c>
      <c r="I157" s="2109">
        <v>0</v>
      </c>
      <c r="J157" s="2110">
        <v>0</v>
      </c>
      <c r="K157" s="2300">
        <v>0</v>
      </c>
      <c r="L157" s="2028">
        <v>0</v>
      </c>
      <c r="M157" s="2029">
        <v>0</v>
      </c>
      <c r="N157" s="2030">
        <v>0</v>
      </c>
      <c r="O157" s="2112">
        <v>0</v>
      </c>
      <c r="P157" s="1937">
        <v>0</v>
      </c>
      <c r="Q157" s="1937">
        <f t="shared" si="7"/>
        <v>0</v>
      </c>
      <c r="R157" s="1936">
        <v>30000</v>
      </c>
      <c r="S157" s="1936">
        <v>100000</v>
      </c>
      <c r="T157" s="2028">
        <v>0</v>
      </c>
      <c r="U157" s="2029">
        <v>0</v>
      </c>
      <c r="V157" s="2030">
        <v>0</v>
      </c>
      <c r="W157" s="2028">
        <v>0</v>
      </c>
      <c r="X157" s="2029">
        <v>0</v>
      </c>
      <c r="Y157" s="2029">
        <v>0</v>
      </c>
      <c r="Z157" s="2029">
        <v>0</v>
      </c>
      <c r="AA157" s="2032">
        <v>0</v>
      </c>
      <c r="AB157" s="437" t="s">
        <v>84</v>
      </c>
      <c r="AC157" s="414" t="s">
        <v>11</v>
      </c>
      <c r="AD157" s="645" t="s">
        <v>627</v>
      </c>
      <c r="AE157" s="2675" t="s">
        <v>91</v>
      </c>
      <c r="AF157" s="2675">
        <v>2</v>
      </c>
      <c r="AG157" s="2675" t="s">
        <v>287</v>
      </c>
      <c r="AH157" s="1701"/>
    </row>
    <row r="158" spans="1:34" outlineLevel="1" x14ac:dyDescent="0.25">
      <c r="A158" s="1929" t="s">
        <v>1848</v>
      </c>
      <c r="B158" s="2298" t="s">
        <v>87</v>
      </c>
      <c r="C158" s="2299" t="s">
        <v>1849</v>
      </c>
      <c r="D158" s="617" t="s">
        <v>84</v>
      </c>
      <c r="E158" s="197" t="s">
        <v>18</v>
      </c>
      <c r="F158" s="197" t="s">
        <v>18</v>
      </c>
      <c r="G158" s="211">
        <v>8000</v>
      </c>
      <c r="H158" s="413">
        <v>0</v>
      </c>
      <c r="I158" s="2109">
        <v>0</v>
      </c>
      <c r="J158" s="2110">
        <v>0</v>
      </c>
      <c r="K158" s="2300">
        <v>0</v>
      </c>
      <c r="L158" s="2028">
        <v>0</v>
      </c>
      <c r="M158" s="2029">
        <v>0</v>
      </c>
      <c r="N158" s="2030">
        <v>0</v>
      </c>
      <c r="O158" s="2112">
        <v>0</v>
      </c>
      <c r="P158" s="1937">
        <v>0</v>
      </c>
      <c r="Q158" s="1937">
        <f t="shared" si="7"/>
        <v>0</v>
      </c>
      <c r="R158" s="1936">
        <v>3500</v>
      </c>
      <c r="S158" s="1936">
        <v>4500</v>
      </c>
      <c r="T158" s="2028">
        <v>0</v>
      </c>
      <c r="U158" s="2029">
        <v>0</v>
      </c>
      <c r="V158" s="2030">
        <v>0</v>
      </c>
      <c r="W158" s="2028">
        <v>0</v>
      </c>
      <c r="X158" s="2029">
        <v>0</v>
      </c>
      <c r="Y158" s="2029">
        <v>0</v>
      </c>
      <c r="Z158" s="2029">
        <v>0</v>
      </c>
      <c r="AA158" s="2032">
        <v>0</v>
      </c>
      <c r="AB158" s="437" t="s">
        <v>84</v>
      </c>
      <c r="AC158" s="414" t="s">
        <v>11</v>
      </c>
      <c r="AD158" s="645" t="s">
        <v>627</v>
      </c>
      <c r="AE158" s="2675" t="s">
        <v>91</v>
      </c>
      <c r="AF158" s="2675">
        <v>2</v>
      </c>
      <c r="AG158" s="2675" t="s">
        <v>212</v>
      </c>
      <c r="AH158" s="1701"/>
    </row>
    <row r="159" spans="1:34" outlineLevel="1" x14ac:dyDescent="0.25">
      <c r="A159" s="1929" t="s">
        <v>1895</v>
      </c>
      <c r="B159" s="2298" t="s">
        <v>87</v>
      </c>
      <c r="C159" s="2299" t="s">
        <v>1850</v>
      </c>
      <c r="D159" s="617" t="s">
        <v>84</v>
      </c>
      <c r="E159" s="197" t="s">
        <v>18</v>
      </c>
      <c r="F159" s="197" t="s">
        <v>18</v>
      </c>
      <c r="G159" s="211">
        <v>20000</v>
      </c>
      <c r="H159" s="413">
        <v>0</v>
      </c>
      <c r="I159" s="2109">
        <v>0</v>
      </c>
      <c r="J159" s="2110">
        <v>0</v>
      </c>
      <c r="K159" s="2300">
        <v>0</v>
      </c>
      <c r="L159" s="2028">
        <v>0</v>
      </c>
      <c r="M159" s="2029">
        <v>0</v>
      </c>
      <c r="N159" s="2030">
        <v>0</v>
      </c>
      <c r="O159" s="2112">
        <v>0</v>
      </c>
      <c r="P159" s="1937">
        <v>0</v>
      </c>
      <c r="Q159" s="1937">
        <f t="shared" si="7"/>
        <v>0</v>
      </c>
      <c r="R159" s="1936">
        <v>20000</v>
      </c>
      <c r="S159" s="1936">
        <v>0</v>
      </c>
      <c r="T159" s="2028">
        <v>0</v>
      </c>
      <c r="U159" s="2029">
        <v>0</v>
      </c>
      <c r="V159" s="2030">
        <v>0</v>
      </c>
      <c r="W159" s="2028">
        <v>0</v>
      </c>
      <c r="X159" s="2029">
        <v>0</v>
      </c>
      <c r="Y159" s="2029">
        <v>0</v>
      </c>
      <c r="Z159" s="2029">
        <v>0</v>
      </c>
      <c r="AA159" s="2032">
        <v>0</v>
      </c>
      <c r="AB159" s="437" t="s">
        <v>84</v>
      </c>
      <c r="AC159" s="414" t="s">
        <v>11</v>
      </c>
      <c r="AD159" s="645" t="s">
        <v>627</v>
      </c>
      <c r="AE159" s="2675" t="s">
        <v>91</v>
      </c>
      <c r="AF159" s="2675">
        <v>2</v>
      </c>
      <c r="AG159" s="2675" t="s">
        <v>212</v>
      </c>
      <c r="AH159" s="1701"/>
    </row>
    <row r="160" spans="1:34" outlineLevel="1" x14ac:dyDescent="0.25">
      <c r="A160" s="1929" t="s">
        <v>1896</v>
      </c>
      <c r="B160" s="2298" t="s">
        <v>87</v>
      </c>
      <c r="C160" s="2299" t="s">
        <v>1851</v>
      </c>
      <c r="D160" s="617" t="s">
        <v>84</v>
      </c>
      <c r="E160" s="197" t="s">
        <v>18</v>
      </c>
      <c r="F160" s="197" t="s">
        <v>18</v>
      </c>
      <c r="G160" s="211">
        <v>18000</v>
      </c>
      <c r="H160" s="413">
        <v>0</v>
      </c>
      <c r="I160" s="2109">
        <v>0</v>
      </c>
      <c r="J160" s="2110">
        <v>0</v>
      </c>
      <c r="K160" s="2300">
        <v>0</v>
      </c>
      <c r="L160" s="2028">
        <v>0</v>
      </c>
      <c r="M160" s="2029">
        <v>0</v>
      </c>
      <c r="N160" s="2030">
        <v>0</v>
      </c>
      <c r="O160" s="2112">
        <v>0</v>
      </c>
      <c r="P160" s="1937">
        <v>0</v>
      </c>
      <c r="Q160" s="1937">
        <f t="shared" si="7"/>
        <v>0</v>
      </c>
      <c r="R160" s="1936">
        <v>8000</v>
      </c>
      <c r="S160" s="1936">
        <v>10000</v>
      </c>
      <c r="T160" s="2028">
        <v>0</v>
      </c>
      <c r="U160" s="2029">
        <v>0</v>
      </c>
      <c r="V160" s="2030">
        <v>0</v>
      </c>
      <c r="W160" s="2028">
        <v>0</v>
      </c>
      <c r="X160" s="2029">
        <v>0</v>
      </c>
      <c r="Y160" s="2029">
        <v>0</v>
      </c>
      <c r="Z160" s="2029">
        <v>0</v>
      </c>
      <c r="AA160" s="2032">
        <v>0</v>
      </c>
      <c r="AB160" s="437" t="s">
        <v>84</v>
      </c>
      <c r="AC160" s="414" t="s">
        <v>11</v>
      </c>
      <c r="AD160" s="645" t="s">
        <v>627</v>
      </c>
      <c r="AE160" s="2675" t="s">
        <v>91</v>
      </c>
      <c r="AF160" s="2675">
        <v>3</v>
      </c>
      <c r="AG160" s="2675" t="s">
        <v>209</v>
      </c>
      <c r="AH160" s="1701"/>
    </row>
    <row r="161" spans="1:34" outlineLevel="1" x14ac:dyDescent="0.25">
      <c r="A161" s="1929" t="s">
        <v>1897</v>
      </c>
      <c r="B161" s="2298" t="s">
        <v>87</v>
      </c>
      <c r="C161" s="2299" t="s">
        <v>1852</v>
      </c>
      <c r="D161" s="617" t="s">
        <v>84</v>
      </c>
      <c r="E161" s="197" t="s">
        <v>18</v>
      </c>
      <c r="F161" s="197" t="s">
        <v>18</v>
      </c>
      <c r="G161" s="211">
        <v>34000</v>
      </c>
      <c r="H161" s="413">
        <v>0</v>
      </c>
      <c r="I161" s="2109">
        <v>0</v>
      </c>
      <c r="J161" s="2110">
        <v>0</v>
      </c>
      <c r="K161" s="2300">
        <v>0</v>
      </c>
      <c r="L161" s="2028">
        <v>0</v>
      </c>
      <c r="M161" s="2029">
        <v>0</v>
      </c>
      <c r="N161" s="2030">
        <v>0</v>
      </c>
      <c r="O161" s="2112">
        <v>0</v>
      </c>
      <c r="P161" s="1937">
        <v>0</v>
      </c>
      <c r="Q161" s="1937">
        <f t="shared" si="7"/>
        <v>0</v>
      </c>
      <c r="R161" s="1936">
        <v>10000</v>
      </c>
      <c r="S161" s="1936">
        <v>24000</v>
      </c>
      <c r="T161" s="2028">
        <v>0</v>
      </c>
      <c r="U161" s="2029">
        <v>0</v>
      </c>
      <c r="V161" s="2030">
        <v>0</v>
      </c>
      <c r="W161" s="2028">
        <v>0</v>
      </c>
      <c r="X161" s="2029">
        <v>0</v>
      </c>
      <c r="Y161" s="2029">
        <v>0</v>
      </c>
      <c r="Z161" s="2029">
        <v>0</v>
      </c>
      <c r="AA161" s="2032">
        <v>0</v>
      </c>
      <c r="AB161" s="437" t="s">
        <v>84</v>
      </c>
      <c r="AC161" s="414" t="s">
        <v>11</v>
      </c>
      <c r="AD161" s="645" t="s">
        <v>627</v>
      </c>
      <c r="AE161" s="2675" t="s">
        <v>91</v>
      </c>
      <c r="AF161" s="2675">
        <v>3</v>
      </c>
      <c r="AG161" s="2675" t="s">
        <v>210</v>
      </c>
      <c r="AH161" s="1701"/>
    </row>
    <row r="162" spans="1:34" outlineLevel="1" x14ac:dyDescent="0.25">
      <c r="A162" s="1929" t="s">
        <v>1898</v>
      </c>
      <c r="B162" s="2298" t="s">
        <v>87</v>
      </c>
      <c r="C162" s="2299" t="s">
        <v>1853</v>
      </c>
      <c r="D162" s="617" t="s">
        <v>84</v>
      </c>
      <c r="E162" s="197" t="s">
        <v>18</v>
      </c>
      <c r="F162" s="197" t="s">
        <v>18</v>
      </c>
      <c r="G162" s="211">
        <v>20000</v>
      </c>
      <c r="H162" s="413">
        <v>0</v>
      </c>
      <c r="I162" s="2109">
        <v>0</v>
      </c>
      <c r="J162" s="2110">
        <v>0</v>
      </c>
      <c r="K162" s="2300">
        <v>0</v>
      </c>
      <c r="L162" s="2028">
        <v>0</v>
      </c>
      <c r="M162" s="2029">
        <v>0</v>
      </c>
      <c r="N162" s="2030">
        <v>0</v>
      </c>
      <c r="O162" s="2112">
        <v>0</v>
      </c>
      <c r="P162" s="1937">
        <v>0</v>
      </c>
      <c r="Q162" s="1937">
        <f t="shared" si="7"/>
        <v>0</v>
      </c>
      <c r="R162" s="1936">
        <v>20000</v>
      </c>
      <c r="S162" s="1936">
        <v>0</v>
      </c>
      <c r="T162" s="2028">
        <v>0</v>
      </c>
      <c r="U162" s="2029">
        <v>0</v>
      </c>
      <c r="V162" s="2030">
        <v>0</v>
      </c>
      <c r="W162" s="2028">
        <v>0</v>
      </c>
      <c r="X162" s="2029">
        <v>0</v>
      </c>
      <c r="Y162" s="2029">
        <v>0</v>
      </c>
      <c r="Z162" s="2029">
        <v>0</v>
      </c>
      <c r="AA162" s="2032">
        <v>0</v>
      </c>
      <c r="AB162" s="437" t="s">
        <v>84</v>
      </c>
      <c r="AC162" s="414" t="s">
        <v>11</v>
      </c>
      <c r="AD162" s="645" t="s">
        <v>627</v>
      </c>
      <c r="AE162" s="2675" t="s">
        <v>91</v>
      </c>
      <c r="AF162" s="2675">
        <v>2</v>
      </c>
      <c r="AG162" s="2675" t="s">
        <v>212</v>
      </c>
      <c r="AH162" s="1701"/>
    </row>
    <row r="163" spans="1:34" outlineLevel="1" x14ac:dyDescent="0.25">
      <c r="A163" s="1929" t="s">
        <v>1899</v>
      </c>
      <c r="B163" s="2298" t="s">
        <v>87</v>
      </c>
      <c r="C163" s="2299" t="s">
        <v>1854</v>
      </c>
      <c r="D163" s="617" t="s">
        <v>84</v>
      </c>
      <c r="E163" s="197" t="s">
        <v>18</v>
      </c>
      <c r="F163" s="197" t="s">
        <v>18</v>
      </c>
      <c r="G163" s="211">
        <v>30000</v>
      </c>
      <c r="H163" s="413">
        <v>0</v>
      </c>
      <c r="I163" s="2109">
        <v>0</v>
      </c>
      <c r="J163" s="2110">
        <v>0</v>
      </c>
      <c r="K163" s="2300">
        <v>0</v>
      </c>
      <c r="L163" s="2028">
        <v>0</v>
      </c>
      <c r="M163" s="2029">
        <v>0</v>
      </c>
      <c r="N163" s="2030">
        <v>0</v>
      </c>
      <c r="O163" s="2112">
        <v>0</v>
      </c>
      <c r="P163" s="1937">
        <v>0</v>
      </c>
      <c r="Q163" s="1937">
        <f t="shared" si="7"/>
        <v>0</v>
      </c>
      <c r="R163" s="1936">
        <v>10000</v>
      </c>
      <c r="S163" s="1936">
        <v>20000</v>
      </c>
      <c r="T163" s="2028">
        <v>0</v>
      </c>
      <c r="U163" s="2029">
        <v>0</v>
      </c>
      <c r="V163" s="2030">
        <v>0</v>
      </c>
      <c r="W163" s="2028">
        <v>0</v>
      </c>
      <c r="X163" s="2029">
        <v>0</v>
      </c>
      <c r="Y163" s="2029">
        <v>0</v>
      </c>
      <c r="Z163" s="2029">
        <v>0</v>
      </c>
      <c r="AA163" s="2032">
        <v>0</v>
      </c>
      <c r="AB163" s="437" t="s">
        <v>84</v>
      </c>
      <c r="AC163" s="414" t="s">
        <v>11</v>
      </c>
      <c r="AD163" s="645" t="s">
        <v>627</v>
      </c>
      <c r="AE163" s="2675" t="s">
        <v>91</v>
      </c>
      <c r="AF163" s="2675">
        <v>3</v>
      </c>
      <c r="AG163" s="2675" t="s">
        <v>206</v>
      </c>
      <c r="AH163" s="1701"/>
    </row>
    <row r="164" spans="1:34" outlineLevel="1" x14ac:dyDescent="0.25">
      <c r="A164" s="1929" t="s">
        <v>1900</v>
      </c>
      <c r="B164" s="2298" t="s">
        <v>87</v>
      </c>
      <c r="C164" s="2299" t="s">
        <v>1855</v>
      </c>
      <c r="D164" s="617" t="s">
        <v>84</v>
      </c>
      <c r="E164" s="197" t="s">
        <v>18</v>
      </c>
      <c r="F164" s="197" t="s">
        <v>18</v>
      </c>
      <c r="G164" s="211">
        <v>38000</v>
      </c>
      <c r="H164" s="413">
        <v>0</v>
      </c>
      <c r="I164" s="2109">
        <v>0</v>
      </c>
      <c r="J164" s="2110">
        <v>0</v>
      </c>
      <c r="K164" s="2300">
        <v>0</v>
      </c>
      <c r="L164" s="2028">
        <v>0</v>
      </c>
      <c r="M164" s="2029">
        <v>0</v>
      </c>
      <c r="N164" s="2030">
        <v>0</v>
      </c>
      <c r="O164" s="2112">
        <v>0</v>
      </c>
      <c r="P164" s="1937">
        <v>0</v>
      </c>
      <c r="Q164" s="1937">
        <f t="shared" si="7"/>
        <v>0</v>
      </c>
      <c r="R164" s="1936">
        <v>8000</v>
      </c>
      <c r="S164" s="1936">
        <v>30000</v>
      </c>
      <c r="T164" s="2028">
        <v>0</v>
      </c>
      <c r="U164" s="2029">
        <v>0</v>
      </c>
      <c r="V164" s="2030">
        <v>0</v>
      </c>
      <c r="W164" s="2028">
        <v>0</v>
      </c>
      <c r="X164" s="2029">
        <v>0</v>
      </c>
      <c r="Y164" s="2029">
        <v>0</v>
      </c>
      <c r="Z164" s="2029">
        <v>0</v>
      </c>
      <c r="AA164" s="2032">
        <v>0</v>
      </c>
      <c r="AB164" s="437" t="s">
        <v>84</v>
      </c>
      <c r="AC164" s="414" t="s">
        <v>11</v>
      </c>
      <c r="AD164" s="645" t="s">
        <v>627</v>
      </c>
      <c r="AE164" s="2675" t="s">
        <v>91</v>
      </c>
      <c r="AF164" s="2675">
        <v>3</v>
      </c>
      <c r="AG164" s="2675" t="s">
        <v>216</v>
      </c>
      <c r="AH164" s="1701"/>
    </row>
    <row r="165" spans="1:34" outlineLevel="1" x14ac:dyDescent="0.25">
      <c r="A165" s="1929" t="s">
        <v>1901</v>
      </c>
      <c r="B165" s="2298" t="s">
        <v>87</v>
      </c>
      <c r="C165" s="2299" t="s">
        <v>1856</v>
      </c>
      <c r="D165" s="617" t="s">
        <v>84</v>
      </c>
      <c r="E165" s="197" t="s">
        <v>18</v>
      </c>
      <c r="F165" s="197" t="s">
        <v>18</v>
      </c>
      <c r="G165" s="211">
        <v>45000</v>
      </c>
      <c r="H165" s="413">
        <v>0</v>
      </c>
      <c r="I165" s="2109">
        <v>0</v>
      </c>
      <c r="J165" s="2110">
        <v>0</v>
      </c>
      <c r="K165" s="2300">
        <v>0</v>
      </c>
      <c r="L165" s="2028">
        <v>0</v>
      </c>
      <c r="M165" s="2029">
        <v>0</v>
      </c>
      <c r="N165" s="2030">
        <v>0</v>
      </c>
      <c r="O165" s="2112">
        <v>0</v>
      </c>
      <c r="P165" s="1937">
        <v>0</v>
      </c>
      <c r="Q165" s="1937">
        <f t="shared" si="7"/>
        <v>0</v>
      </c>
      <c r="R165" s="1936">
        <v>20000</v>
      </c>
      <c r="S165" s="1936">
        <v>25000</v>
      </c>
      <c r="T165" s="2028">
        <v>0</v>
      </c>
      <c r="U165" s="2029">
        <v>0</v>
      </c>
      <c r="V165" s="2030">
        <v>0</v>
      </c>
      <c r="W165" s="2028">
        <v>0</v>
      </c>
      <c r="X165" s="2029">
        <v>0</v>
      </c>
      <c r="Y165" s="2029">
        <v>0</v>
      </c>
      <c r="Z165" s="2029">
        <v>0</v>
      </c>
      <c r="AA165" s="2032">
        <v>0</v>
      </c>
      <c r="AB165" s="437" t="s">
        <v>84</v>
      </c>
      <c r="AC165" s="414" t="s">
        <v>11</v>
      </c>
      <c r="AD165" s="645" t="s">
        <v>627</v>
      </c>
      <c r="AE165" s="2675" t="s">
        <v>91</v>
      </c>
      <c r="AF165" s="2675">
        <v>3</v>
      </c>
      <c r="AG165" s="2675" t="s">
        <v>216</v>
      </c>
      <c r="AH165" s="1701"/>
    </row>
    <row r="166" spans="1:34" outlineLevel="1" x14ac:dyDescent="0.25">
      <c r="A166" s="1929" t="s">
        <v>1902</v>
      </c>
      <c r="B166" s="2298" t="s">
        <v>87</v>
      </c>
      <c r="C166" s="2299" t="s">
        <v>1857</v>
      </c>
      <c r="D166" s="617" t="s">
        <v>84</v>
      </c>
      <c r="E166" s="197" t="s">
        <v>18</v>
      </c>
      <c r="F166" s="197" t="s">
        <v>18</v>
      </c>
      <c r="G166" s="211">
        <v>35000</v>
      </c>
      <c r="H166" s="413">
        <v>0</v>
      </c>
      <c r="I166" s="2109">
        <v>0</v>
      </c>
      <c r="J166" s="2110">
        <v>0</v>
      </c>
      <c r="K166" s="2300">
        <v>0</v>
      </c>
      <c r="L166" s="2028">
        <v>0</v>
      </c>
      <c r="M166" s="2029">
        <v>0</v>
      </c>
      <c r="N166" s="2030">
        <v>0</v>
      </c>
      <c r="O166" s="2112">
        <v>0</v>
      </c>
      <c r="P166" s="1937">
        <v>0</v>
      </c>
      <c r="Q166" s="1937">
        <f t="shared" si="7"/>
        <v>0</v>
      </c>
      <c r="R166" s="1936">
        <v>35000</v>
      </c>
      <c r="S166" s="1936">
        <v>0</v>
      </c>
      <c r="T166" s="2028">
        <v>0</v>
      </c>
      <c r="U166" s="2029">
        <v>0</v>
      </c>
      <c r="V166" s="2030">
        <v>0</v>
      </c>
      <c r="W166" s="2028">
        <v>0</v>
      </c>
      <c r="X166" s="2029">
        <v>0</v>
      </c>
      <c r="Y166" s="2029">
        <v>0</v>
      </c>
      <c r="Z166" s="2029">
        <v>0</v>
      </c>
      <c r="AA166" s="2032">
        <v>0</v>
      </c>
      <c r="AB166" s="437" t="s">
        <v>84</v>
      </c>
      <c r="AC166" s="414" t="s">
        <v>11</v>
      </c>
      <c r="AD166" s="645" t="s">
        <v>627</v>
      </c>
      <c r="AE166" s="2675" t="s">
        <v>91</v>
      </c>
      <c r="AF166" s="2675">
        <v>2</v>
      </c>
      <c r="AG166" s="2675" t="s">
        <v>209</v>
      </c>
      <c r="AH166" s="1701"/>
    </row>
    <row r="167" spans="1:34" outlineLevel="1" x14ac:dyDescent="0.25">
      <c r="A167" s="1929" t="s">
        <v>1903</v>
      </c>
      <c r="B167" s="2298" t="s">
        <v>87</v>
      </c>
      <c r="C167" s="2299" t="s">
        <v>1858</v>
      </c>
      <c r="D167" s="617" t="s">
        <v>84</v>
      </c>
      <c r="E167" s="197" t="s">
        <v>18</v>
      </c>
      <c r="F167" s="197" t="s">
        <v>18</v>
      </c>
      <c r="G167" s="211">
        <v>30000</v>
      </c>
      <c r="H167" s="413">
        <v>0</v>
      </c>
      <c r="I167" s="2109">
        <v>0</v>
      </c>
      <c r="J167" s="2110">
        <v>0</v>
      </c>
      <c r="K167" s="2300">
        <v>0</v>
      </c>
      <c r="L167" s="2028">
        <v>0</v>
      </c>
      <c r="M167" s="2029">
        <v>0</v>
      </c>
      <c r="N167" s="2030">
        <v>0</v>
      </c>
      <c r="O167" s="2112">
        <v>0</v>
      </c>
      <c r="P167" s="1937">
        <v>0</v>
      </c>
      <c r="Q167" s="1937">
        <f t="shared" ref="Q167:Q204" si="8">O167+P167</f>
        <v>0</v>
      </c>
      <c r="R167" s="1936">
        <v>10000</v>
      </c>
      <c r="S167" s="1936">
        <v>20000</v>
      </c>
      <c r="T167" s="2028">
        <v>0</v>
      </c>
      <c r="U167" s="2029">
        <v>0</v>
      </c>
      <c r="V167" s="2030">
        <v>0</v>
      </c>
      <c r="W167" s="2028">
        <v>0</v>
      </c>
      <c r="X167" s="2029">
        <v>0</v>
      </c>
      <c r="Y167" s="2029">
        <v>0</v>
      </c>
      <c r="Z167" s="2029">
        <v>0</v>
      </c>
      <c r="AA167" s="2032">
        <v>0</v>
      </c>
      <c r="AB167" s="437" t="s">
        <v>84</v>
      </c>
      <c r="AC167" s="414" t="s">
        <v>11</v>
      </c>
      <c r="AD167" s="645" t="s">
        <v>627</v>
      </c>
      <c r="AE167" s="2675" t="s">
        <v>91</v>
      </c>
      <c r="AF167" s="2675">
        <v>3</v>
      </c>
      <c r="AG167" s="2675" t="s">
        <v>210</v>
      </c>
      <c r="AH167" s="1701"/>
    </row>
    <row r="168" spans="1:34" outlineLevel="1" x14ac:dyDescent="0.25">
      <c r="A168" s="1929" t="s">
        <v>1904</v>
      </c>
      <c r="B168" s="2298" t="s">
        <v>87</v>
      </c>
      <c r="C168" s="2299" t="s">
        <v>1859</v>
      </c>
      <c r="D168" s="617" t="s">
        <v>84</v>
      </c>
      <c r="E168" s="197" t="s">
        <v>18</v>
      </c>
      <c r="F168" s="197" t="s">
        <v>18</v>
      </c>
      <c r="G168" s="211">
        <v>63000</v>
      </c>
      <c r="H168" s="413">
        <v>0</v>
      </c>
      <c r="I168" s="2109">
        <v>0</v>
      </c>
      <c r="J168" s="2110">
        <v>0</v>
      </c>
      <c r="K168" s="2300">
        <v>0</v>
      </c>
      <c r="L168" s="2028">
        <v>0</v>
      </c>
      <c r="M168" s="2029">
        <v>0</v>
      </c>
      <c r="N168" s="2030">
        <v>0</v>
      </c>
      <c r="O168" s="2112">
        <v>0</v>
      </c>
      <c r="P168" s="1937">
        <v>0</v>
      </c>
      <c r="Q168" s="1937">
        <f t="shared" si="8"/>
        <v>0</v>
      </c>
      <c r="R168" s="1936">
        <v>15000</v>
      </c>
      <c r="S168" s="1936">
        <v>48000</v>
      </c>
      <c r="T168" s="2028">
        <v>0</v>
      </c>
      <c r="U168" s="2029">
        <v>0</v>
      </c>
      <c r="V168" s="2030">
        <v>0</v>
      </c>
      <c r="W168" s="2028">
        <v>0</v>
      </c>
      <c r="X168" s="2029">
        <v>0</v>
      </c>
      <c r="Y168" s="2029">
        <v>0</v>
      </c>
      <c r="Z168" s="2029">
        <v>0</v>
      </c>
      <c r="AA168" s="2032">
        <v>0</v>
      </c>
      <c r="AB168" s="437" t="s">
        <v>84</v>
      </c>
      <c r="AC168" s="414" t="s">
        <v>11</v>
      </c>
      <c r="AD168" s="645" t="s">
        <v>627</v>
      </c>
      <c r="AE168" s="2675" t="s">
        <v>91</v>
      </c>
      <c r="AF168" s="2675">
        <v>3</v>
      </c>
      <c r="AG168" s="2675" t="s">
        <v>206</v>
      </c>
      <c r="AH168" s="1701"/>
    </row>
    <row r="169" spans="1:34" outlineLevel="1" x14ac:dyDescent="0.25">
      <c r="A169" s="1929" t="s">
        <v>1905</v>
      </c>
      <c r="B169" s="2298" t="s">
        <v>87</v>
      </c>
      <c r="C169" s="2299" t="s">
        <v>1860</v>
      </c>
      <c r="D169" s="617" t="s">
        <v>84</v>
      </c>
      <c r="E169" s="197" t="s">
        <v>18</v>
      </c>
      <c r="F169" s="197" t="s">
        <v>18</v>
      </c>
      <c r="G169" s="211">
        <v>1700</v>
      </c>
      <c r="H169" s="413">
        <v>0</v>
      </c>
      <c r="I169" s="2109">
        <v>0</v>
      </c>
      <c r="J169" s="2110">
        <v>0</v>
      </c>
      <c r="K169" s="2300">
        <v>0</v>
      </c>
      <c r="L169" s="2028">
        <v>0</v>
      </c>
      <c r="M169" s="2029">
        <v>0</v>
      </c>
      <c r="N169" s="2030">
        <v>700</v>
      </c>
      <c r="O169" s="2112">
        <v>0</v>
      </c>
      <c r="P169" s="1937">
        <v>700</v>
      </c>
      <c r="Q169" s="1937">
        <f t="shared" si="8"/>
        <v>700</v>
      </c>
      <c r="R169" s="1936">
        <v>1000</v>
      </c>
      <c r="S169" s="1936">
        <v>0</v>
      </c>
      <c r="T169" s="2028">
        <v>0</v>
      </c>
      <c r="U169" s="2029">
        <v>0</v>
      </c>
      <c r="V169" s="2030">
        <v>0</v>
      </c>
      <c r="W169" s="2028">
        <v>0</v>
      </c>
      <c r="X169" s="2029">
        <v>0</v>
      </c>
      <c r="Y169" s="2029">
        <v>0</v>
      </c>
      <c r="Z169" s="2029">
        <v>0</v>
      </c>
      <c r="AA169" s="2032">
        <v>0</v>
      </c>
      <c r="AB169" s="437" t="s">
        <v>84</v>
      </c>
      <c r="AC169" s="414" t="s">
        <v>11</v>
      </c>
      <c r="AD169" s="645" t="s">
        <v>191</v>
      </c>
      <c r="AE169" s="320" t="s">
        <v>91</v>
      </c>
      <c r="AF169" s="320" t="s">
        <v>101</v>
      </c>
      <c r="AG169" s="1701" t="s">
        <v>204</v>
      </c>
      <c r="AH169" s="1701"/>
    </row>
    <row r="170" spans="1:34" outlineLevel="1" x14ac:dyDescent="0.25">
      <c r="A170" s="1929" t="s">
        <v>1906</v>
      </c>
      <c r="B170" s="2298" t="s">
        <v>87</v>
      </c>
      <c r="C170" s="2299" t="s">
        <v>1861</v>
      </c>
      <c r="D170" s="617" t="s">
        <v>84</v>
      </c>
      <c r="E170" s="197" t="s">
        <v>18</v>
      </c>
      <c r="F170" s="197" t="s">
        <v>18</v>
      </c>
      <c r="G170" s="211">
        <v>13000</v>
      </c>
      <c r="H170" s="413">
        <v>0</v>
      </c>
      <c r="I170" s="2109">
        <v>0</v>
      </c>
      <c r="J170" s="2110">
        <v>0</v>
      </c>
      <c r="K170" s="2300">
        <v>0</v>
      </c>
      <c r="L170" s="2028">
        <v>0</v>
      </c>
      <c r="M170" s="2029">
        <v>0</v>
      </c>
      <c r="N170" s="2030">
        <v>0</v>
      </c>
      <c r="O170" s="2112">
        <v>0</v>
      </c>
      <c r="P170" s="1937">
        <v>0</v>
      </c>
      <c r="Q170" s="1937">
        <v>0</v>
      </c>
      <c r="R170" s="1936">
        <v>13000</v>
      </c>
      <c r="S170" s="1936">
        <v>0</v>
      </c>
      <c r="T170" s="2028">
        <v>0</v>
      </c>
      <c r="U170" s="2029">
        <v>0</v>
      </c>
      <c r="V170" s="2030">
        <v>0</v>
      </c>
      <c r="W170" s="2028">
        <v>0</v>
      </c>
      <c r="X170" s="2029">
        <v>0</v>
      </c>
      <c r="Y170" s="2029">
        <v>0</v>
      </c>
      <c r="Z170" s="2029">
        <v>0</v>
      </c>
      <c r="AA170" s="2032">
        <v>0</v>
      </c>
      <c r="AB170" s="437" t="s">
        <v>84</v>
      </c>
      <c r="AC170" s="414" t="s">
        <v>11</v>
      </c>
      <c r="AD170" s="645" t="s">
        <v>627</v>
      </c>
      <c r="AE170" s="2675" t="s">
        <v>91</v>
      </c>
      <c r="AF170" s="320" t="s">
        <v>102</v>
      </c>
      <c r="AG170" s="1701" t="s">
        <v>220</v>
      </c>
      <c r="AH170" s="1701"/>
    </row>
    <row r="171" spans="1:34" outlineLevel="1" x14ac:dyDescent="0.25">
      <c r="A171" s="1929" t="s">
        <v>1907</v>
      </c>
      <c r="B171" s="2298" t="s">
        <v>87</v>
      </c>
      <c r="C171" s="2299" t="s">
        <v>1862</v>
      </c>
      <c r="D171" s="617" t="s">
        <v>84</v>
      </c>
      <c r="E171" s="197" t="s">
        <v>18</v>
      </c>
      <c r="F171" s="197" t="s">
        <v>18</v>
      </c>
      <c r="G171" s="211">
        <v>13000</v>
      </c>
      <c r="H171" s="413">
        <v>0</v>
      </c>
      <c r="I171" s="2109">
        <v>0</v>
      </c>
      <c r="J171" s="2110">
        <v>0</v>
      </c>
      <c r="K171" s="2300">
        <v>0</v>
      </c>
      <c r="L171" s="2028">
        <v>0</v>
      </c>
      <c r="M171" s="2029">
        <v>0</v>
      </c>
      <c r="N171" s="2030">
        <v>0</v>
      </c>
      <c r="O171" s="2112">
        <v>0</v>
      </c>
      <c r="P171" s="1937">
        <v>0</v>
      </c>
      <c r="Q171" s="1937">
        <v>0</v>
      </c>
      <c r="R171" s="1936">
        <v>13000</v>
      </c>
      <c r="S171" s="1936">
        <v>0</v>
      </c>
      <c r="T171" s="2028">
        <v>0</v>
      </c>
      <c r="U171" s="2029">
        <v>0</v>
      </c>
      <c r="V171" s="2030">
        <v>0</v>
      </c>
      <c r="W171" s="2028">
        <v>0</v>
      </c>
      <c r="X171" s="2029">
        <v>0</v>
      </c>
      <c r="Y171" s="2029">
        <v>0</v>
      </c>
      <c r="Z171" s="2029">
        <v>0</v>
      </c>
      <c r="AA171" s="2032">
        <v>0</v>
      </c>
      <c r="AB171" s="437" t="s">
        <v>84</v>
      </c>
      <c r="AC171" s="414" t="s">
        <v>11</v>
      </c>
      <c r="AD171" s="645" t="s">
        <v>627</v>
      </c>
      <c r="AE171" s="2675" t="s">
        <v>91</v>
      </c>
      <c r="AF171" s="320" t="s">
        <v>102</v>
      </c>
      <c r="AG171" s="1701" t="s">
        <v>203</v>
      </c>
      <c r="AH171" s="1701"/>
    </row>
    <row r="172" spans="1:34" outlineLevel="1" x14ac:dyDescent="0.25">
      <c r="A172" s="1929" t="s">
        <v>1908</v>
      </c>
      <c r="B172" s="2298" t="s">
        <v>87</v>
      </c>
      <c r="C172" s="2299" t="s">
        <v>1863</v>
      </c>
      <c r="D172" s="617" t="s">
        <v>84</v>
      </c>
      <c r="E172" s="197" t="s">
        <v>18</v>
      </c>
      <c r="F172" s="197" t="s">
        <v>18</v>
      </c>
      <c r="G172" s="211">
        <v>16000</v>
      </c>
      <c r="H172" s="413">
        <v>0</v>
      </c>
      <c r="I172" s="2109">
        <v>0</v>
      </c>
      <c r="J172" s="2110">
        <v>0</v>
      </c>
      <c r="K172" s="2300">
        <v>0</v>
      </c>
      <c r="L172" s="2028">
        <v>0</v>
      </c>
      <c r="M172" s="2029">
        <v>0</v>
      </c>
      <c r="N172" s="2030">
        <v>0</v>
      </c>
      <c r="O172" s="2112">
        <v>0</v>
      </c>
      <c r="P172" s="1937">
        <v>0</v>
      </c>
      <c r="Q172" s="1937">
        <v>0</v>
      </c>
      <c r="R172" s="1936">
        <v>16000</v>
      </c>
      <c r="S172" s="1936">
        <v>0</v>
      </c>
      <c r="T172" s="2028">
        <v>0</v>
      </c>
      <c r="U172" s="2029">
        <v>0</v>
      </c>
      <c r="V172" s="2030">
        <v>0</v>
      </c>
      <c r="W172" s="2028">
        <v>0</v>
      </c>
      <c r="X172" s="2029">
        <v>0</v>
      </c>
      <c r="Y172" s="2029">
        <v>0</v>
      </c>
      <c r="Z172" s="2029">
        <v>0</v>
      </c>
      <c r="AA172" s="2032">
        <v>0</v>
      </c>
      <c r="AB172" s="437" t="s">
        <v>84</v>
      </c>
      <c r="AC172" s="414" t="s">
        <v>11</v>
      </c>
      <c r="AD172" s="645" t="s">
        <v>627</v>
      </c>
      <c r="AE172" s="2675" t="s">
        <v>91</v>
      </c>
      <c r="AF172" s="320" t="s">
        <v>102</v>
      </c>
      <c r="AG172" s="1701" t="s">
        <v>203</v>
      </c>
      <c r="AH172" s="1701"/>
    </row>
    <row r="173" spans="1:34" outlineLevel="1" x14ac:dyDescent="0.25">
      <c r="A173" s="1929" t="s">
        <v>1909</v>
      </c>
      <c r="B173" s="2298" t="s">
        <v>87</v>
      </c>
      <c r="C173" s="2299" t="s">
        <v>1864</v>
      </c>
      <c r="D173" s="617" t="s">
        <v>84</v>
      </c>
      <c r="E173" s="197" t="s">
        <v>18</v>
      </c>
      <c r="F173" s="197" t="s">
        <v>18</v>
      </c>
      <c r="G173" s="211">
        <v>17000</v>
      </c>
      <c r="H173" s="413">
        <v>0</v>
      </c>
      <c r="I173" s="2109">
        <v>0</v>
      </c>
      <c r="J173" s="2110">
        <v>0</v>
      </c>
      <c r="K173" s="2300">
        <v>0</v>
      </c>
      <c r="L173" s="2028">
        <v>0</v>
      </c>
      <c r="M173" s="2029">
        <v>0</v>
      </c>
      <c r="N173" s="2030">
        <v>0</v>
      </c>
      <c r="O173" s="2112">
        <v>0</v>
      </c>
      <c r="P173" s="1937">
        <v>0</v>
      </c>
      <c r="Q173" s="1937">
        <v>0</v>
      </c>
      <c r="R173" s="1936">
        <v>17000</v>
      </c>
      <c r="S173" s="1936">
        <v>0</v>
      </c>
      <c r="T173" s="2028">
        <v>0</v>
      </c>
      <c r="U173" s="2029">
        <v>0</v>
      </c>
      <c r="V173" s="2030">
        <v>0</v>
      </c>
      <c r="W173" s="2028">
        <v>0</v>
      </c>
      <c r="X173" s="2029">
        <v>0</v>
      </c>
      <c r="Y173" s="2029">
        <v>0</v>
      </c>
      <c r="Z173" s="2029">
        <v>0</v>
      </c>
      <c r="AA173" s="2032">
        <v>0</v>
      </c>
      <c r="AB173" s="437" t="s">
        <v>84</v>
      </c>
      <c r="AC173" s="414" t="s">
        <v>11</v>
      </c>
      <c r="AD173" s="645" t="s">
        <v>627</v>
      </c>
      <c r="AE173" s="2675" t="s">
        <v>91</v>
      </c>
      <c r="AF173" s="320" t="s">
        <v>102</v>
      </c>
      <c r="AG173" s="1701" t="s">
        <v>203</v>
      </c>
      <c r="AH173" s="1701"/>
    </row>
    <row r="174" spans="1:34" outlineLevel="1" x14ac:dyDescent="0.25">
      <c r="A174" s="1929" t="s">
        <v>1910</v>
      </c>
      <c r="B174" s="2298" t="s">
        <v>87</v>
      </c>
      <c r="C174" s="2299" t="s">
        <v>1865</v>
      </c>
      <c r="D174" s="617" t="s">
        <v>84</v>
      </c>
      <c r="E174" s="197" t="s">
        <v>18</v>
      </c>
      <c r="F174" s="197" t="s">
        <v>18</v>
      </c>
      <c r="G174" s="211">
        <v>20000</v>
      </c>
      <c r="H174" s="413">
        <v>0</v>
      </c>
      <c r="I174" s="2109">
        <v>0</v>
      </c>
      <c r="J174" s="2110">
        <v>0</v>
      </c>
      <c r="K174" s="2300">
        <v>0</v>
      </c>
      <c r="L174" s="2028">
        <v>0</v>
      </c>
      <c r="M174" s="2029">
        <v>0</v>
      </c>
      <c r="N174" s="2030">
        <v>0</v>
      </c>
      <c r="O174" s="2112">
        <v>0</v>
      </c>
      <c r="P174" s="1937">
        <v>0</v>
      </c>
      <c r="Q174" s="1937">
        <v>0</v>
      </c>
      <c r="R174" s="1936">
        <v>20000</v>
      </c>
      <c r="S174" s="1936">
        <v>0</v>
      </c>
      <c r="T174" s="2028">
        <v>0</v>
      </c>
      <c r="U174" s="2029">
        <v>0</v>
      </c>
      <c r="V174" s="2030">
        <v>0</v>
      </c>
      <c r="W174" s="2028">
        <v>0</v>
      </c>
      <c r="X174" s="2029">
        <v>0</v>
      </c>
      <c r="Y174" s="2029">
        <v>0</v>
      </c>
      <c r="Z174" s="2029">
        <v>0</v>
      </c>
      <c r="AA174" s="2032">
        <v>0</v>
      </c>
      <c r="AB174" s="437" t="s">
        <v>84</v>
      </c>
      <c r="AC174" s="414" t="s">
        <v>11</v>
      </c>
      <c r="AD174" s="645" t="s">
        <v>627</v>
      </c>
      <c r="AE174" s="2675" t="s">
        <v>91</v>
      </c>
      <c r="AF174" s="320" t="s">
        <v>102</v>
      </c>
      <c r="AG174" s="1701" t="s">
        <v>220</v>
      </c>
      <c r="AH174" s="1701"/>
    </row>
    <row r="175" spans="1:34" ht="25.5" outlineLevel="1" x14ac:dyDescent="0.25">
      <c r="A175" s="1929" t="s">
        <v>1911</v>
      </c>
      <c r="B175" s="2298" t="s">
        <v>87</v>
      </c>
      <c r="C175" s="2299" t="s">
        <v>1866</v>
      </c>
      <c r="D175" s="617" t="s">
        <v>84</v>
      </c>
      <c r="E175" s="197" t="s">
        <v>18</v>
      </c>
      <c r="F175" s="197" t="s">
        <v>18</v>
      </c>
      <c r="G175" s="211">
        <v>21000</v>
      </c>
      <c r="H175" s="413">
        <v>0</v>
      </c>
      <c r="I175" s="2109">
        <v>0</v>
      </c>
      <c r="J175" s="2110">
        <v>0</v>
      </c>
      <c r="K175" s="2300">
        <v>0</v>
      </c>
      <c r="L175" s="2028">
        <v>0</v>
      </c>
      <c r="M175" s="2029">
        <v>0</v>
      </c>
      <c r="N175" s="2030">
        <v>0</v>
      </c>
      <c r="O175" s="2112">
        <v>0</v>
      </c>
      <c r="P175" s="1937">
        <v>0</v>
      </c>
      <c r="Q175" s="1937">
        <v>0</v>
      </c>
      <c r="R175" s="1936">
        <v>21000</v>
      </c>
      <c r="S175" s="1936">
        <v>0</v>
      </c>
      <c r="T175" s="2028">
        <v>0</v>
      </c>
      <c r="U175" s="2029">
        <v>0</v>
      </c>
      <c r="V175" s="2030">
        <v>0</v>
      </c>
      <c r="W175" s="2028">
        <v>0</v>
      </c>
      <c r="X175" s="2029">
        <v>0</v>
      </c>
      <c r="Y175" s="2029">
        <v>0</v>
      </c>
      <c r="Z175" s="2029">
        <v>0</v>
      </c>
      <c r="AA175" s="2032">
        <v>0</v>
      </c>
      <c r="AB175" s="437" t="s">
        <v>84</v>
      </c>
      <c r="AC175" s="414" t="s">
        <v>11</v>
      </c>
      <c r="AD175" s="645" t="s">
        <v>627</v>
      </c>
      <c r="AE175" s="2675" t="s">
        <v>91</v>
      </c>
      <c r="AF175" s="320" t="s">
        <v>102</v>
      </c>
      <c r="AG175" s="1701" t="s">
        <v>214</v>
      </c>
      <c r="AH175" s="1701"/>
    </row>
    <row r="176" spans="1:34" outlineLevel="1" x14ac:dyDescent="0.25">
      <c r="A176" s="1929" t="s">
        <v>1912</v>
      </c>
      <c r="B176" s="2298" t="s">
        <v>87</v>
      </c>
      <c r="C176" s="2299" t="s">
        <v>1867</v>
      </c>
      <c r="D176" s="617" t="s">
        <v>84</v>
      </c>
      <c r="E176" s="197" t="s">
        <v>18</v>
      </c>
      <c r="F176" s="197" t="s">
        <v>18</v>
      </c>
      <c r="G176" s="211">
        <v>10000</v>
      </c>
      <c r="H176" s="413">
        <v>0</v>
      </c>
      <c r="I176" s="2109">
        <v>0</v>
      </c>
      <c r="J176" s="2110">
        <v>0</v>
      </c>
      <c r="K176" s="2300">
        <v>0</v>
      </c>
      <c r="L176" s="2028">
        <v>0</v>
      </c>
      <c r="M176" s="2029">
        <v>0</v>
      </c>
      <c r="N176" s="2030">
        <v>0</v>
      </c>
      <c r="O176" s="2112">
        <v>0</v>
      </c>
      <c r="P176" s="1937">
        <v>0</v>
      </c>
      <c r="Q176" s="1937">
        <v>0</v>
      </c>
      <c r="R176" s="1936">
        <v>10000</v>
      </c>
      <c r="S176" s="1936">
        <v>0</v>
      </c>
      <c r="T176" s="2028">
        <v>0</v>
      </c>
      <c r="U176" s="2029">
        <v>0</v>
      </c>
      <c r="V176" s="2030">
        <v>0</v>
      </c>
      <c r="W176" s="2028">
        <v>0</v>
      </c>
      <c r="X176" s="2029">
        <v>0</v>
      </c>
      <c r="Y176" s="2029">
        <v>0</v>
      </c>
      <c r="Z176" s="2029">
        <v>0</v>
      </c>
      <c r="AA176" s="2032">
        <v>0</v>
      </c>
      <c r="AB176" s="437" t="s">
        <v>84</v>
      </c>
      <c r="AC176" s="414" t="s">
        <v>11</v>
      </c>
      <c r="AD176" s="645" t="s">
        <v>627</v>
      </c>
      <c r="AE176" s="2675" t="s">
        <v>91</v>
      </c>
      <c r="AF176" s="320" t="s">
        <v>102</v>
      </c>
      <c r="AG176" s="1701" t="s">
        <v>307</v>
      </c>
      <c r="AH176" s="1701"/>
    </row>
    <row r="177" spans="1:34" ht="25.5" outlineLevel="1" x14ac:dyDescent="0.25">
      <c r="A177" s="1929" t="s">
        <v>1913</v>
      </c>
      <c r="B177" s="2298" t="s">
        <v>87</v>
      </c>
      <c r="C177" s="2299" t="s">
        <v>1868</v>
      </c>
      <c r="D177" s="617" t="s">
        <v>84</v>
      </c>
      <c r="E177" s="197" t="s">
        <v>18</v>
      </c>
      <c r="F177" s="197" t="s">
        <v>18</v>
      </c>
      <c r="G177" s="211">
        <v>11000</v>
      </c>
      <c r="H177" s="413">
        <v>0</v>
      </c>
      <c r="I177" s="2109">
        <v>0</v>
      </c>
      <c r="J177" s="2110">
        <v>0</v>
      </c>
      <c r="K177" s="2300">
        <v>0</v>
      </c>
      <c r="L177" s="2028">
        <v>0</v>
      </c>
      <c r="M177" s="2029">
        <v>0</v>
      </c>
      <c r="N177" s="2030">
        <v>0</v>
      </c>
      <c r="O177" s="2112">
        <v>0</v>
      </c>
      <c r="P177" s="1937">
        <v>0</v>
      </c>
      <c r="Q177" s="1937">
        <v>0</v>
      </c>
      <c r="R177" s="1936">
        <v>11000</v>
      </c>
      <c r="S177" s="1936">
        <v>0</v>
      </c>
      <c r="T177" s="2028">
        <v>0</v>
      </c>
      <c r="U177" s="2029">
        <v>0</v>
      </c>
      <c r="V177" s="2030">
        <v>0</v>
      </c>
      <c r="W177" s="2028">
        <v>0</v>
      </c>
      <c r="X177" s="2029">
        <v>0</v>
      </c>
      <c r="Y177" s="2029">
        <v>0</v>
      </c>
      <c r="Z177" s="2029">
        <v>0</v>
      </c>
      <c r="AA177" s="2032">
        <v>0</v>
      </c>
      <c r="AB177" s="437" t="s">
        <v>84</v>
      </c>
      <c r="AC177" s="414" t="s">
        <v>11</v>
      </c>
      <c r="AD177" s="645" t="s">
        <v>627</v>
      </c>
      <c r="AE177" s="2675" t="s">
        <v>91</v>
      </c>
      <c r="AF177" s="320" t="s">
        <v>102</v>
      </c>
      <c r="AG177" s="1701" t="s">
        <v>796</v>
      </c>
      <c r="AH177" s="1701"/>
    </row>
    <row r="178" spans="1:34" outlineLevel="1" x14ac:dyDescent="0.25">
      <c r="A178" s="1929" t="s">
        <v>1914</v>
      </c>
      <c r="B178" s="2298" t="s">
        <v>87</v>
      </c>
      <c r="C178" s="2299" t="s">
        <v>1869</v>
      </c>
      <c r="D178" s="617" t="s">
        <v>84</v>
      </c>
      <c r="E178" s="197" t="s">
        <v>18</v>
      </c>
      <c r="F178" s="197" t="s">
        <v>18</v>
      </c>
      <c r="G178" s="211">
        <v>13000</v>
      </c>
      <c r="H178" s="413">
        <v>0</v>
      </c>
      <c r="I178" s="2109">
        <v>0</v>
      </c>
      <c r="J178" s="2110">
        <v>0</v>
      </c>
      <c r="K178" s="2300">
        <v>0</v>
      </c>
      <c r="L178" s="2028">
        <v>0</v>
      </c>
      <c r="M178" s="2029">
        <v>0</v>
      </c>
      <c r="N178" s="2030">
        <v>0</v>
      </c>
      <c r="O178" s="2112">
        <v>0</v>
      </c>
      <c r="P178" s="1937">
        <v>0</v>
      </c>
      <c r="Q178" s="1937">
        <v>0</v>
      </c>
      <c r="R178" s="1936">
        <v>13000</v>
      </c>
      <c r="S178" s="1936">
        <v>0</v>
      </c>
      <c r="T178" s="2028">
        <v>0</v>
      </c>
      <c r="U178" s="2029">
        <v>0</v>
      </c>
      <c r="V178" s="2030">
        <v>0</v>
      </c>
      <c r="W178" s="2028">
        <v>0</v>
      </c>
      <c r="X178" s="2029">
        <v>0</v>
      </c>
      <c r="Y178" s="2029">
        <v>0</v>
      </c>
      <c r="Z178" s="2029">
        <v>0</v>
      </c>
      <c r="AA178" s="2032">
        <v>0</v>
      </c>
      <c r="AB178" s="437" t="s">
        <v>84</v>
      </c>
      <c r="AC178" s="414" t="s">
        <v>11</v>
      </c>
      <c r="AD178" s="645" t="s">
        <v>627</v>
      </c>
      <c r="AE178" s="2675" t="s">
        <v>91</v>
      </c>
      <c r="AF178" s="320" t="s">
        <v>102</v>
      </c>
      <c r="AG178" s="1701" t="s">
        <v>203</v>
      </c>
      <c r="AH178" s="1701"/>
    </row>
    <row r="179" spans="1:34" outlineLevel="1" x14ac:dyDescent="0.25">
      <c r="A179" s="1929" t="s">
        <v>1915</v>
      </c>
      <c r="B179" s="2298" t="s">
        <v>87</v>
      </c>
      <c r="C179" s="2299" t="s">
        <v>1870</v>
      </c>
      <c r="D179" s="617" t="s">
        <v>84</v>
      </c>
      <c r="E179" s="197" t="s">
        <v>18</v>
      </c>
      <c r="F179" s="197" t="s">
        <v>18</v>
      </c>
      <c r="G179" s="211">
        <v>16000</v>
      </c>
      <c r="H179" s="413">
        <v>0</v>
      </c>
      <c r="I179" s="2109">
        <v>0</v>
      </c>
      <c r="J179" s="2110">
        <v>0</v>
      </c>
      <c r="K179" s="2300">
        <v>0</v>
      </c>
      <c r="L179" s="2028">
        <v>0</v>
      </c>
      <c r="M179" s="2029">
        <v>0</v>
      </c>
      <c r="N179" s="2030">
        <v>0</v>
      </c>
      <c r="O179" s="2112">
        <v>0</v>
      </c>
      <c r="P179" s="1937">
        <v>0</v>
      </c>
      <c r="Q179" s="1937">
        <v>0</v>
      </c>
      <c r="R179" s="1936">
        <v>16000</v>
      </c>
      <c r="S179" s="1936">
        <v>0</v>
      </c>
      <c r="T179" s="2028">
        <v>0</v>
      </c>
      <c r="U179" s="2029">
        <v>0</v>
      </c>
      <c r="V179" s="2030">
        <v>0</v>
      </c>
      <c r="W179" s="2028">
        <v>0</v>
      </c>
      <c r="X179" s="2029">
        <v>0</v>
      </c>
      <c r="Y179" s="2029">
        <v>0</v>
      </c>
      <c r="Z179" s="2029">
        <v>0</v>
      </c>
      <c r="AA179" s="2032">
        <v>0</v>
      </c>
      <c r="AB179" s="437" t="s">
        <v>84</v>
      </c>
      <c r="AC179" s="414" t="s">
        <v>11</v>
      </c>
      <c r="AD179" s="645" t="s">
        <v>627</v>
      </c>
      <c r="AE179" s="2675" t="s">
        <v>91</v>
      </c>
      <c r="AF179" s="320" t="s">
        <v>102</v>
      </c>
      <c r="AG179" s="1701" t="s">
        <v>203</v>
      </c>
      <c r="AH179" s="1701"/>
    </row>
    <row r="180" spans="1:34" ht="25.5" outlineLevel="1" x14ac:dyDescent="0.25">
      <c r="A180" s="1929" t="s">
        <v>1916</v>
      </c>
      <c r="B180" s="2298" t="s">
        <v>87</v>
      </c>
      <c r="C180" s="2299" t="s">
        <v>1871</v>
      </c>
      <c r="D180" s="617" t="s">
        <v>84</v>
      </c>
      <c r="E180" s="197" t="s">
        <v>18</v>
      </c>
      <c r="F180" s="197" t="s">
        <v>18</v>
      </c>
      <c r="G180" s="211">
        <v>27000</v>
      </c>
      <c r="H180" s="413">
        <v>0</v>
      </c>
      <c r="I180" s="2109">
        <v>0</v>
      </c>
      <c r="J180" s="2110">
        <v>0</v>
      </c>
      <c r="K180" s="2300">
        <v>0</v>
      </c>
      <c r="L180" s="2028">
        <v>0</v>
      </c>
      <c r="M180" s="2029">
        <v>0</v>
      </c>
      <c r="N180" s="2030">
        <v>0</v>
      </c>
      <c r="O180" s="2112">
        <v>0</v>
      </c>
      <c r="P180" s="1937">
        <v>0</v>
      </c>
      <c r="Q180" s="1937">
        <v>0</v>
      </c>
      <c r="R180" s="1936">
        <v>27000</v>
      </c>
      <c r="S180" s="1936">
        <v>0</v>
      </c>
      <c r="T180" s="2028">
        <v>0</v>
      </c>
      <c r="U180" s="2029">
        <v>0</v>
      </c>
      <c r="V180" s="2030">
        <v>0</v>
      </c>
      <c r="W180" s="2028">
        <v>0</v>
      </c>
      <c r="X180" s="2029">
        <v>0</v>
      </c>
      <c r="Y180" s="2029">
        <v>0</v>
      </c>
      <c r="Z180" s="2029">
        <v>0</v>
      </c>
      <c r="AA180" s="2032">
        <v>0</v>
      </c>
      <c r="AB180" s="437" t="s">
        <v>84</v>
      </c>
      <c r="AC180" s="414" t="s">
        <v>11</v>
      </c>
      <c r="AD180" s="645" t="s">
        <v>627</v>
      </c>
      <c r="AE180" s="2675" t="s">
        <v>91</v>
      </c>
      <c r="AF180" s="320" t="s">
        <v>102</v>
      </c>
      <c r="AG180" s="1701" t="s">
        <v>796</v>
      </c>
      <c r="AH180" s="1701"/>
    </row>
    <row r="181" spans="1:34" outlineLevel="1" x14ac:dyDescent="0.25">
      <c r="A181" s="1929" t="s">
        <v>1917</v>
      </c>
      <c r="B181" s="2298" t="s">
        <v>87</v>
      </c>
      <c r="C181" s="2299" t="s">
        <v>1872</v>
      </c>
      <c r="D181" s="617" t="s">
        <v>84</v>
      </c>
      <c r="E181" s="197" t="s">
        <v>18</v>
      </c>
      <c r="F181" s="197" t="s">
        <v>18</v>
      </c>
      <c r="G181" s="211">
        <v>10000</v>
      </c>
      <c r="H181" s="413">
        <v>0</v>
      </c>
      <c r="I181" s="2109">
        <v>0</v>
      </c>
      <c r="J181" s="2110">
        <v>0</v>
      </c>
      <c r="K181" s="2300">
        <v>0</v>
      </c>
      <c r="L181" s="2028">
        <v>0</v>
      </c>
      <c r="M181" s="2029">
        <v>0</v>
      </c>
      <c r="N181" s="2030">
        <v>0</v>
      </c>
      <c r="O181" s="2112">
        <v>0</v>
      </c>
      <c r="P181" s="1937">
        <v>0</v>
      </c>
      <c r="Q181" s="1937">
        <v>0</v>
      </c>
      <c r="R181" s="1936">
        <v>10000</v>
      </c>
      <c r="S181" s="1936">
        <v>0</v>
      </c>
      <c r="T181" s="2028">
        <v>0</v>
      </c>
      <c r="U181" s="2029">
        <v>0</v>
      </c>
      <c r="V181" s="2030">
        <v>0</v>
      </c>
      <c r="W181" s="2028">
        <v>0</v>
      </c>
      <c r="X181" s="2029">
        <v>0</v>
      </c>
      <c r="Y181" s="2029">
        <v>0</v>
      </c>
      <c r="Z181" s="2029">
        <v>0</v>
      </c>
      <c r="AA181" s="2032">
        <v>0</v>
      </c>
      <c r="AB181" s="437" t="s">
        <v>84</v>
      </c>
      <c r="AC181" s="414" t="s">
        <v>11</v>
      </c>
      <c r="AD181" s="645" t="s">
        <v>627</v>
      </c>
      <c r="AE181" s="2675" t="s">
        <v>91</v>
      </c>
      <c r="AF181" s="320" t="s">
        <v>102</v>
      </c>
      <c r="AG181" s="1701" t="s">
        <v>208</v>
      </c>
      <c r="AH181" s="1701"/>
    </row>
    <row r="182" spans="1:34" outlineLevel="1" x14ac:dyDescent="0.25">
      <c r="A182" s="1929" t="s">
        <v>1918</v>
      </c>
      <c r="B182" s="2298" t="s">
        <v>87</v>
      </c>
      <c r="C182" s="2299" t="s">
        <v>1873</v>
      </c>
      <c r="D182" s="617" t="s">
        <v>84</v>
      </c>
      <c r="E182" s="197" t="s">
        <v>18</v>
      </c>
      <c r="F182" s="197" t="s">
        <v>18</v>
      </c>
      <c r="G182" s="211">
        <v>15000</v>
      </c>
      <c r="H182" s="413">
        <v>0</v>
      </c>
      <c r="I182" s="2109">
        <v>0</v>
      </c>
      <c r="J182" s="2110">
        <v>0</v>
      </c>
      <c r="K182" s="2300">
        <v>0</v>
      </c>
      <c r="L182" s="2028">
        <v>0</v>
      </c>
      <c r="M182" s="2029">
        <v>0</v>
      </c>
      <c r="N182" s="2030">
        <v>0</v>
      </c>
      <c r="O182" s="2112">
        <v>0</v>
      </c>
      <c r="P182" s="1937">
        <v>0</v>
      </c>
      <c r="Q182" s="1937">
        <v>0</v>
      </c>
      <c r="R182" s="1936">
        <v>15000</v>
      </c>
      <c r="S182" s="1936">
        <v>0</v>
      </c>
      <c r="T182" s="2028">
        <v>0</v>
      </c>
      <c r="U182" s="2029">
        <v>0</v>
      </c>
      <c r="V182" s="2030">
        <v>0</v>
      </c>
      <c r="W182" s="2028">
        <v>0</v>
      </c>
      <c r="X182" s="2029">
        <v>0</v>
      </c>
      <c r="Y182" s="2029">
        <v>0</v>
      </c>
      <c r="Z182" s="2029">
        <v>0</v>
      </c>
      <c r="AA182" s="2032">
        <v>0</v>
      </c>
      <c r="AB182" s="437" t="s">
        <v>84</v>
      </c>
      <c r="AC182" s="414" t="s">
        <v>11</v>
      </c>
      <c r="AD182" s="645" t="s">
        <v>627</v>
      </c>
      <c r="AE182" s="2675" t="s">
        <v>91</v>
      </c>
      <c r="AF182" s="320" t="s">
        <v>102</v>
      </c>
      <c r="AG182" s="1701" t="s">
        <v>222</v>
      </c>
      <c r="AH182" s="1701"/>
    </row>
    <row r="183" spans="1:34" outlineLevel="1" x14ac:dyDescent="0.25">
      <c r="A183" s="1929" t="s">
        <v>1919</v>
      </c>
      <c r="B183" s="2298" t="s">
        <v>87</v>
      </c>
      <c r="C183" s="2299" t="s">
        <v>1874</v>
      </c>
      <c r="D183" s="617" t="s">
        <v>84</v>
      </c>
      <c r="E183" s="197" t="s">
        <v>18</v>
      </c>
      <c r="F183" s="197" t="s">
        <v>18</v>
      </c>
      <c r="G183" s="211">
        <v>11400</v>
      </c>
      <c r="H183" s="413">
        <v>0</v>
      </c>
      <c r="I183" s="2109">
        <v>0</v>
      </c>
      <c r="J183" s="2110">
        <v>0</v>
      </c>
      <c r="K183" s="2300">
        <v>0</v>
      </c>
      <c r="L183" s="2028">
        <v>0</v>
      </c>
      <c r="M183" s="2029">
        <v>0</v>
      </c>
      <c r="N183" s="2030">
        <v>0</v>
      </c>
      <c r="O183" s="2112">
        <v>0</v>
      </c>
      <c r="P183" s="1937">
        <v>0</v>
      </c>
      <c r="Q183" s="1937">
        <v>0</v>
      </c>
      <c r="R183" s="1936">
        <v>11400</v>
      </c>
      <c r="S183" s="1936">
        <v>0</v>
      </c>
      <c r="T183" s="2028">
        <v>0</v>
      </c>
      <c r="U183" s="2029">
        <v>0</v>
      </c>
      <c r="V183" s="2030">
        <v>0</v>
      </c>
      <c r="W183" s="2028">
        <v>0</v>
      </c>
      <c r="X183" s="2029">
        <v>0</v>
      </c>
      <c r="Y183" s="2029">
        <v>0</v>
      </c>
      <c r="Z183" s="2029">
        <v>0</v>
      </c>
      <c r="AA183" s="2032">
        <v>0</v>
      </c>
      <c r="AB183" s="437" t="s">
        <v>84</v>
      </c>
      <c r="AC183" s="414" t="s">
        <v>11</v>
      </c>
      <c r="AD183" s="645" t="s">
        <v>627</v>
      </c>
      <c r="AE183" s="2675" t="s">
        <v>91</v>
      </c>
      <c r="AF183" s="320" t="s">
        <v>102</v>
      </c>
      <c r="AG183" s="1701" t="s">
        <v>224</v>
      </c>
      <c r="AH183" s="1701"/>
    </row>
    <row r="184" spans="1:34" outlineLevel="1" x14ac:dyDescent="0.25">
      <c r="A184" s="1929" t="s">
        <v>1920</v>
      </c>
      <c r="B184" s="2298" t="s">
        <v>87</v>
      </c>
      <c r="C184" s="2299" t="s">
        <v>1875</v>
      </c>
      <c r="D184" s="617" t="s">
        <v>84</v>
      </c>
      <c r="E184" s="197" t="s">
        <v>18</v>
      </c>
      <c r="F184" s="197" t="s">
        <v>18</v>
      </c>
      <c r="G184" s="211">
        <v>20461.037789999998</v>
      </c>
      <c r="H184" s="413">
        <v>0</v>
      </c>
      <c r="I184" s="2109">
        <v>0</v>
      </c>
      <c r="J184" s="2110">
        <v>0</v>
      </c>
      <c r="K184" s="2300">
        <v>0</v>
      </c>
      <c r="L184" s="2028">
        <v>0</v>
      </c>
      <c r="M184" s="2029">
        <v>0</v>
      </c>
      <c r="N184" s="2030">
        <v>0</v>
      </c>
      <c r="O184" s="2112">
        <v>0</v>
      </c>
      <c r="P184" s="1937">
        <v>0</v>
      </c>
      <c r="Q184" s="1937">
        <v>0</v>
      </c>
      <c r="R184" s="1936">
        <v>20461.037789999998</v>
      </c>
      <c r="S184" s="1936">
        <v>0</v>
      </c>
      <c r="T184" s="2028">
        <v>0</v>
      </c>
      <c r="U184" s="2029">
        <v>0</v>
      </c>
      <c r="V184" s="2030">
        <v>0</v>
      </c>
      <c r="W184" s="2028">
        <v>0</v>
      </c>
      <c r="X184" s="2029">
        <v>0</v>
      </c>
      <c r="Y184" s="2029">
        <v>0</v>
      </c>
      <c r="Z184" s="2029">
        <v>0</v>
      </c>
      <c r="AA184" s="2032">
        <v>0</v>
      </c>
      <c r="AB184" s="437" t="s">
        <v>84</v>
      </c>
      <c r="AC184" s="414" t="s">
        <v>11</v>
      </c>
      <c r="AD184" s="645" t="s">
        <v>627</v>
      </c>
      <c r="AE184" s="2675" t="s">
        <v>91</v>
      </c>
      <c r="AF184" s="320" t="s">
        <v>102</v>
      </c>
      <c r="AG184" s="1701" t="s">
        <v>218</v>
      </c>
      <c r="AH184" s="1701"/>
    </row>
    <row r="185" spans="1:34" outlineLevel="1" x14ac:dyDescent="0.25">
      <c r="A185" s="1929" t="s">
        <v>1921</v>
      </c>
      <c r="B185" s="2298" t="s">
        <v>87</v>
      </c>
      <c r="C185" s="2299" t="s">
        <v>1876</v>
      </c>
      <c r="D185" s="617" t="s">
        <v>84</v>
      </c>
      <c r="E185" s="197" t="s">
        <v>18</v>
      </c>
      <c r="F185" s="197" t="s">
        <v>18</v>
      </c>
      <c r="G185" s="211">
        <v>13052.053</v>
      </c>
      <c r="H185" s="413">
        <v>0</v>
      </c>
      <c r="I185" s="2109">
        <v>0</v>
      </c>
      <c r="J185" s="2110">
        <v>0</v>
      </c>
      <c r="K185" s="2300">
        <v>0</v>
      </c>
      <c r="L185" s="2028">
        <v>0</v>
      </c>
      <c r="M185" s="2029">
        <v>0</v>
      </c>
      <c r="N185" s="2030">
        <v>0</v>
      </c>
      <c r="O185" s="2112">
        <v>0</v>
      </c>
      <c r="P185" s="1937">
        <v>0</v>
      </c>
      <c r="Q185" s="1937">
        <v>0</v>
      </c>
      <c r="R185" s="1936">
        <v>13052.053</v>
      </c>
      <c r="S185" s="1936">
        <v>0</v>
      </c>
      <c r="T185" s="2028">
        <v>0</v>
      </c>
      <c r="U185" s="2029">
        <v>0</v>
      </c>
      <c r="V185" s="2030">
        <v>0</v>
      </c>
      <c r="W185" s="2028">
        <v>0</v>
      </c>
      <c r="X185" s="2029">
        <v>0</v>
      </c>
      <c r="Y185" s="2029">
        <v>0</v>
      </c>
      <c r="Z185" s="2029">
        <v>0</v>
      </c>
      <c r="AA185" s="2032">
        <v>0</v>
      </c>
      <c r="AB185" s="437" t="s">
        <v>84</v>
      </c>
      <c r="AC185" s="414" t="s">
        <v>11</v>
      </c>
      <c r="AD185" s="645" t="s">
        <v>627</v>
      </c>
      <c r="AE185" s="2675" t="s">
        <v>91</v>
      </c>
      <c r="AF185" s="320" t="s">
        <v>102</v>
      </c>
      <c r="AG185" s="1701" t="s">
        <v>208</v>
      </c>
      <c r="AH185" s="1701"/>
    </row>
    <row r="186" spans="1:34" outlineLevel="1" x14ac:dyDescent="0.25">
      <c r="A186" s="1929" t="s">
        <v>1922</v>
      </c>
      <c r="B186" s="2298" t="s">
        <v>87</v>
      </c>
      <c r="C186" s="2299" t="s">
        <v>1877</v>
      </c>
      <c r="D186" s="617" t="s">
        <v>84</v>
      </c>
      <c r="E186" s="197" t="s">
        <v>18</v>
      </c>
      <c r="F186" s="197" t="s">
        <v>18</v>
      </c>
      <c r="G186" s="211">
        <v>13000</v>
      </c>
      <c r="H186" s="413">
        <v>0</v>
      </c>
      <c r="I186" s="2109">
        <v>0</v>
      </c>
      <c r="J186" s="2110">
        <v>0</v>
      </c>
      <c r="K186" s="2300">
        <v>0</v>
      </c>
      <c r="L186" s="2028">
        <v>0</v>
      </c>
      <c r="M186" s="2029">
        <v>0</v>
      </c>
      <c r="N186" s="2030">
        <v>0</v>
      </c>
      <c r="O186" s="2112">
        <v>0</v>
      </c>
      <c r="P186" s="1937">
        <v>0</v>
      </c>
      <c r="Q186" s="1937">
        <v>0</v>
      </c>
      <c r="R186" s="1936">
        <v>13000</v>
      </c>
      <c r="S186" s="1936">
        <v>0</v>
      </c>
      <c r="T186" s="2028">
        <v>0</v>
      </c>
      <c r="U186" s="2029">
        <v>0</v>
      </c>
      <c r="V186" s="2030">
        <v>0</v>
      </c>
      <c r="W186" s="2028">
        <v>0</v>
      </c>
      <c r="X186" s="2029">
        <v>0</v>
      </c>
      <c r="Y186" s="2029">
        <v>0</v>
      </c>
      <c r="Z186" s="2029">
        <v>0</v>
      </c>
      <c r="AA186" s="2032">
        <v>0</v>
      </c>
      <c r="AB186" s="437" t="s">
        <v>84</v>
      </c>
      <c r="AC186" s="414" t="s">
        <v>11</v>
      </c>
      <c r="AD186" s="645" t="s">
        <v>627</v>
      </c>
      <c r="AE186" s="2675" t="s">
        <v>91</v>
      </c>
      <c r="AF186" s="320" t="s">
        <v>102</v>
      </c>
      <c r="AG186" s="1701" t="s">
        <v>208</v>
      </c>
      <c r="AH186" s="1701"/>
    </row>
    <row r="187" spans="1:34" outlineLevel="1" x14ac:dyDescent="0.25">
      <c r="A187" s="1929" t="s">
        <v>1923</v>
      </c>
      <c r="B187" s="2298" t="s">
        <v>87</v>
      </c>
      <c r="C187" s="2299" t="s">
        <v>1878</v>
      </c>
      <c r="D187" s="617" t="s">
        <v>84</v>
      </c>
      <c r="E187" s="197" t="s">
        <v>18</v>
      </c>
      <c r="F187" s="197" t="s">
        <v>18</v>
      </c>
      <c r="G187" s="211">
        <v>65000</v>
      </c>
      <c r="H187" s="413">
        <v>0</v>
      </c>
      <c r="I187" s="2109">
        <v>0</v>
      </c>
      <c r="J187" s="2110">
        <v>0</v>
      </c>
      <c r="K187" s="2300">
        <v>0</v>
      </c>
      <c r="L187" s="2028">
        <v>0</v>
      </c>
      <c r="M187" s="2029">
        <v>0</v>
      </c>
      <c r="N187" s="2030">
        <v>0</v>
      </c>
      <c r="O187" s="2112">
        <v>0</v>
      </c>
      <c r="P187" s="1937">
        <v>0</v>
      </c>
      <c r="Q187" s="1937">
        <v>0</v>
      </c>
      <c r="R187" s="1936">
        <v>65000</v>
      </c>
      <c r="S187" s="1936">
        <v>0</v>
      </c>
      <c r="T187" s="2028">
        <v>0</v>
      </c>
      <c r="U187" s="2029">
        <v>0</v>
      </c>
      <c r="V187" s="2030">
        <v>0</v>
      </c>
      <c r="W187" s="2028">
        <v>0</v>
      </c>
      <c r="X187" s="2029">
        <v>0</v>
      </c>
      <c r="Y187" s="2029">
        <v>0</v>
      </c>
      <c r="Z187" s="2029">
        <v>0</v>
      </c>
      <c r="AA187" s="2032">
        <v>0</v>
      </c>
      <c r="AB187" s="437" t="s">
        <v>84</v>
      </c>
      <c r="AC187" s="414" t="s">
        <v>11</v>
      </c>
      <c r="AD187" s="645" t="s">
        <v>627</v>
      </c>
      <c r="AE187" s="320" t="s">
        <v>91</v>
      </c>
      <c r="AF187" s="320" t="s">
        <v>102</v>
      </c>
      <c r="AG187" s="1701" t="s">
        <v>223</v>
      </c>
      <c r="AH187" s="1701"/>
    </row>
    <row r="188" spans="1:34" outlineLevel="1" x14ac:dyDescent="0.25">
      <c r="A188" s="1929" t="s">
        <v>1924</v>
      </c>
      <c r="B188" s="2298" t="s">
        <v>87</v>
      </c>
      <c r="C188" s="2299" t="s">
        <v>1879</v>
      </c>
      <c r="D188" s="617" t="s">
        <v>84</v>
      </c>
      <c r="E188" s="197" t="s">
        <v>18</v>
      </c>
      <c r="F188" s="197" t="s">
        <v>18</v>
      </c>
      <c r="G188" s="211">
        <v>19000</v>
      </c>
      <c r="H188" s="413">
        <v>0</v>
      </c>
      <c r="I188" s="2109">
        <v>0</v>
      </c>
      <c r="J188" s="2110">
        <v>0</v>
      </c>
      <c r="K188" s="2300">
        <v>0</v>
      </c>
      <c r="L188" s="2028">
        <v>0</v>
      </c>
      <c r="M188" s="2029">
        <v>0</v>
      </c>
      <c r="N188" s="2030">
        <v>0</v>
      </c>
      <c r="O188" s="2112">
        <v>0</v>
      </c>
      <c r="P188" s="1937">
        <v>0</v>
      </c>
      <c r="Q188" s="1937">
        <v>0</v>
      </c>
      <c r="R188" s="1936">
        <v>19000</v>
      </c>
      <c r="S188" s="1936">
        <v>0</v>
      </c>
      <c r="T188" s="2028">
        <v>0</v>
      </c>
      <c r="U188" s="2029">
        <v>0</v>
      </c>
      <c r="V188" s="2030">
        <v>0</v>
      </c>
      <c r="W188" s="2028">
        <v>0</v>
      </c>
      <c r="X188" s="2029">
        <v>0</v>
      </c>
      <c r="Y188" s="2029">
        <v>0</v>
      </c>
      <c r="Z188" s="2029">
        <v>0</v>
      </c>
      <c r="AA188" s="2032">
        <v>0</v>
      </c>
      <c r="AB188" s="437" t="s">
        <v>84</v>
      </c>
      <c r="AC188" s="414" t="s">
        <v>11</v>
      </c>
      <c r="AD188" s="645" t="s">
        <v>627</v>
      </c>
      <c r="AE188" s="2675" t="s">
        <v>91</v>
      </c>
      <c r="AF188" s="320" t="s">
        <v>102</v>
      </c>
      <c r="AG188" s="1701" t="s">
        <v>215</v>
      </c>
      <c r="AH188" s="1701"/>
    </row>
    <row r="189" spans="1:34" outlineLevel="1" x14ac:dyDescent="0.25">
      <c r="A189" s="1929" t="s">
        <v>1925</v>
      </c>
      <c r="B189" s="2298" t="s">
        <v>87</v>
      </c>
      <c r="C189" s="2299" t="s">
        <v>1880</v>
      </c>
      <c r="D189" s="617" t="s">
        <v>84</v>
      </c>
      <c r="E189" s="197" t="s">
        <v>18</v>
      </c>
      <c r="F189" s="197" t="s">
        <v>18</v>
      </c>
      <c r="G189" s="211">
        <v>6000</v>
      </c>
      <c r="H189" s="413">
        <v>0</v>
      </c>
      <c r="I189" s="2109">
        <v>0</v>
      </c>
      <c r="J189" s="2110">
        <v>0</v>
      </c>
      <c r="K189" s="2300">
        <v>0</v>
      </c>
      <c r="L189" s="2028">
        <v>0</v>
      </c>
      <c r="M189" s="2029">
        <v>0</v>
      </c>
      <c r="N189" s="2030">
        <v>0</v>
      </c>
      <c r="O189" s="2112">
        <v>0</v>
      </c>
      <c r="P189" s="1937">
        <v>0</v>
      </c>
      <c r="Q189" s="1937">
        <f t="shared" si="8"/>
        <v>0</v>
      </c>
      <c r="R189" s="1936">
        <v>6000</v>
      </c>
      <c r="S189" s="1936">
        <v>0</v>
      </c>
      <c r="T189" s="2028">
        <v>0</v>
      </c>
      <c r="U189" s="2029">
        <v>0</v>
      </c>
      <c r="V189" s="2030">
        <v>0</v>
      </c>
      <c r="W189" s="2028">
        <v>0</v>
      </c>
      <c r="X189" s="2029">
        <v>0</v>
      </c>
      <c r="Y189" s="2029">
        <v>0</v>
      </c>
      <c r="Z189" s="2029">
        <v>0</v>
      </c>
      <c r="AA189" s="2032">
        <v>0</v>
      </c>
      <c r="AB189" s="437" t="s">
        <v>84</v>
      </c>
      <c r="AC189" s="414" t="s">
        <v>11</v>
      </c>
      <c r="AD189" s="645" t="s">
        <v>627</v>
      </c>
      <c r="AE189" s="2675" t="s">
        <v>91</v>
      </c>
      <c r="AF189" s="320" t="s">
        <v>102</v>
      </c>
      <c r="AG189" s="1701" t="s">
        <v>215</v>
      </c>
      <c r="AH189" s="1701"/>
    </row>
    <row r="190" spans="1:34" outlineLevel="1" x14ac:dyDescent="0.25">
      <c r="A190" s="1929" t="s">
        <v>1926</v>
      </c>
      <c r="B190" s="2298" t="s">
        <v>87</v>
      </c>
      <c r="C190" s="2299" t="s">
        <v>1881</v>
      </c>
      <c r="D190" s="617" t="s">
        <v>84</v>
      </c>
      <c r="E190" s="197" t="s">
        <v>18</v>
      </c>
      <c r="F190" s="197" t="s">
        <v>18</v>
      </c>
      <c r="G190" s="211">
        <v>6000</v>
      </c>
      <c r="H190" s="413">
        <v>0</v>
      </c>
      <c r="I190" s="2109">
        <v>0</v>
      </c>
      <c r="J190" s="2110">
        <v>0</v>
      </c>
      <c r="K190" s="2300">
        <v>0</v>
      </c>
      <c r="L190" s="2028">
        <v>0</v>
      </c>
      <c r="M190" s="2029">
        <v>0</v>
      </c>
      <c r="N190" s="2030">
        <v>0</v>
      </c>
      <c r="O190" s="2112">
        <v>0</v>
      </c>
      <c r="P190" s="1937">
        <v>0</v>
      </c>
      <c r="Q190" s="1937">
        <f t="shared" si="8"/>
        <v>0</v>
      </c>
      <c r="R190" s="1936">
        <v>6000</v>
      </c>
      <c r="S190" s="1936">
        <v>0</v>
      </c>
      <c r="T190" s="2028">
        <v>0</v>
      </c>
      <c r="U190" s="2029">
        <v>0</v>
      </c>
      <c r="V190" s="2030">
        <v>0</v>
      </c>
      <c r="W190" s="2028">
        <v>0</v>
      </c>
      <c r="X190" s="2029">
        <v>0</v>
      </c>
      <c r="Y190" s="2029">
        <v>0</v>
      </c>
      <c r="Z190" s="2029">
        <v>0</v>
      </c>
      <c r="AA190" s="2032">
        <v>0</v>
      </c>
      <c r="AB190" s="437" t="s">
        <v>84</v>
      </c>
      <c r="AC190" s="414" t="s">
        <v>11</v>
      </c>
      <c r="AD190" s="645" t="s">
        <v>627</v>
      </c>
      <c r="AE190" s="2675" t="s">
        <v>91</v>
      </c>
      <c r="AF190" s="320" t="s">
        <v>102</v>
      </c>
      <c r="AG190" s="1701" t="s">
        <v>215</v>
      </c>
      <c r="AH190" s="1701"/>
    </row>
    <row r="191" spans="1:34" outlineLevel="1" x14ac:dyDescent="0.25">
      <c r="A191" s="1929" t="s">
        <v>1927</v>
      </c>
      <c r="B191" s="2298" t="s">
        <v>87</v>
      </c>
      <c r="C191" s="2299" t="s">
        <v>1882</v>
      </c>
      <c r="D191" s="617" t="s">
        <v>84</v>
      </c>
      <c r="E191" s="197" t="s">
        <v>18</v>
      </c>
      <c r="F191" s="197" t="s">
        <v>18</v>
      </c>
      <c r="G191" s="211">
        <v>20000</v>
      </c>
      <c r="H191" s="413">
        <v>0</v>
      </c>
      <c r="I191" s="2109">
        <v>0</v>
      </c>
      <c r="J191" s="2110">
        <v>0</v>
      </c>
      <c r="K191" s="2300">
        <v>0</v>
      </c>
      <c r="L191" s="2028">
        <v>0</v>
      </c>
      <c r="M191" s="2029">
        <v>0</v>
      </c>
      <c r="N191" s="2030">
        <v>0</v>
      </c>
      <c r="O191" s="2112">
        <v>0</v>
      </c>
      <c r="P191" s="1937">
        <v>0</v>
      </c>
      <c r="Q191" s="1937">
        <f t="shared" si="8"/>
        <v>0</v>
      </c>
      <c r="R191" s="1936">
        <v>20000</v>
      </c>
      <c r="S191" s="1936">
        <v>0</v>
      </c>
      <c r="T191" s="2028">
        <v>0</v>
      </c>
      <c r="U191" s="2029">
        <v>0</v>
      </c>
      <c r="V191" s="2030">
        <v>0</v>
      </c>
      <c r="W191" s="2028">
        <v>0</v>
      </c>
      <c r="X191" s="2029">
        <v>0</v>
      </c>
      <c r="Y191" s="2029">
        <v>0</v>
      </c>
      <c r="Z191" s="2029">
        <v>0</v>
      </c>
      <c r="AA191" s="2032">
        <v>0</v>
      </c>
      <c r="AB191" s="437" t="s">
        <v>84</v>
      </c>
      <c r="AC191" s="414" t="s">
        <v>11</v>
      </c>
      <c r="AD191" s="645" t="s">
        <v>627</v>
      </c>
      <c r="AE191" s="2675" t="s">
        <v>91</v>
      </c>
      <c r="AF191" s="320" t="s">
        <v>102</v>
      </c>
      <c r="AG191" s="1701" t="s">
        <v>215</v>
      </c>
      <c r="AH191" s="1701"/>
    </row>
    <row r="192" spans="1:34" outlineLevel="1" x14ac:dyDescent="0.25">
      <c r="A192" s="1929" t="s">
        <v>1928</v>
      </c>
      <c r="B192" s="2298" t="s">
        <v>87</v>
      </c>
      <c r="C192" s="2299" t="s">
        <v>1883</v>
      </c>
      <c r="D192" s="617" t="s">
        <v>84</v>
      </c>
      <c r="E192" s="197" t="s">
        <v>18</v>
      </c>
      <c r="F192" s="197" t="s">
        <v>18</v>
      </c>
      <c r="G192" s="211">
        <v>18000</v>
      </c>
      <c r="H192" s="413">
        <v>0</v>
      </c>
      <c r="I192" s="2109">
        <v>0</v>
      </c>
      <c r="J192" s="2110">
        <v>0</v>
      </c>
      <c r="K192" s="2300">
        <v>0</v>
      </c>
      <c r="L192" s="2028">
        <v>0</v>
      </c>
      <c r="M192" s="2029">
        <v>0</v>
      </c>
      <c r="N192" s="2030">
        <v>0</v>
      </c>
      <c r="O192" s="2112">
        <v>0</v>
      </c>
      <c r="P192" s="1937">
        <v>0</v>
      </c>
      <c r="Q192" s="1937">
        <f t="shared" si="8"/>
        <v>0</v>
      </c>
      <c r="R192" s="1936">
        <v>18000</v>
      </c>
      <c r="S192" s="1936">
        <v>0</v>
      </c>
      <c r="T192" s="2028">
        <v>0</v>
      </c>
      <c r="U192" s="2029">
        <v>0</v>
      </c>
      <c r="V192" s="2030">
        <v>0</v>
      </c>
      <c r="W192" s="2028">
        <v>0</v>
      </c>
      <c r="X192" s="2029">
        <v>0</v>
      </c>
      <c r="Y192" s="2029">
        <v>0</v>
      </c>
      <c r="Z192" s="2029">
        <v>0</v>
      </c>
      <c r="AA192" s="2032">
        <v>0</v>
      </c>
      <c r="AB192" s="437" t="s">
        <v>84</v>
      </c>
      <c r="AC192" s="414" t="s">
        <v>11</v>
      </c>
      <c r="AD192" s="645" t="s">
        <v>627</v>
      </c>
      <c r="AE192" s="2675" t="s">
        <v>91</v>
      </c>
      <c r="AF192" s="320" t="s">
        <v>102</v>
      </c>
      <c r="AG192" s="1701" t="s">
        <v>215</v>
      </c>
      <c r="AH192" s="1701"/>
    </row>
    <row r="193" spans="1:34" outlineLevel="1" x14ac:dyDescent="0.25">
      <c r="A193" s="1929" t="s">
        <v>1929</v>
      </c>
      <c r="B193" s="2298" t="s">
        <v>87</v>
      </c>
      <c r="C193" s="2299" t="s">
        <v>1884</v>
      </c>
      <c r="D193" s="617" t="s">
        <v>84</v>
      </c>
      <c r="E193" s="197" t="s">
        <v>18</v>
      </c>
      <c r="F193" s="197" t="s">
        <v>18</v>
      </c>
      <c r="G193" s="211">
        <v>8000</v>
      </c>
      <c r="H193" s="413">
        <v>0</v>
      </c>
      <c r="I193" s="2109">
        <v>0</v>
      </c>
      <c r="J193" s="2110">
        <v>0</v>
      </c>
      <c r="K193" s="2300">
        <v>0</v>
      </c>
      <c r="L193" s="2028">
        <v>0</v>
      </c>
      <c r="M193" s="2029">
        <v>0</v>
      </c>
      <c r="N193" s="2030">
        <v>0</v>
      </c>
      <c r="O193" s="2112">
        <v>0</v>
      </c>
      <c r="P193" s="1937">
        <v>0</v>
      </c>
      <c r="Q193" s="1937">
        <f t="shared" si="8"/>
        <v>0</v>
      </c>
      <c r="R193" s="1936">
        <v>8000</v>
      </c>
      <c r="S193" s="1936">
        <v>0</v>
      </c>
      <c r="T193" s="2028">
        <v>0</v>
      </c>
      <c r="U193" s="2029">
        <v>0</v>
      </c>
      <c r="V193" s="2030">
        <v>0</v>
      </c>
      <c r="W193" s="2028">
        <v>0</v>
      </c>
      <c r="X193" s="2029">
        <v>0</v>
      </c>
      <c r="Y193" s="2029">
        <v>0</v>
      </c>
      <c r="Z193" s="2029">
        <v>0</v>
      </c>
      <c r="AA193" s="2032">
        <v>0</v>
      </c>
      <c r="AB193" s="437" t="s">
        <v>84</v>
      </c>
      <c r="AC193" s="414" t="s">
        <v>11</v>
      </c>
      <c r="AD193" s="645" t="s">
        <v>627</v>
      </c>
      <c r="AE193" s="2675" t="s">
        <v>91</v>
      </c>
      <c r="AF193" s="320" t="s">
        <v>102</v>
      </c>
      <c r="AG193" s="1701" t="s">
        <v>215</v>
      </c>
      <c r="AH193" s="1701"/>
    </row>
    <row r="194" spans="1:34" outlineLevel="1" x14ac:dyDescent="0.25">
      <c r="A194" s="1929" t="s">
        <v>1930</v>
      </c>
      <c r="B194" s="2298" t="s">
        <v>87</v>
      </c>
      <c r="C194" s="2299" t="s">
        <v>1885</v>
      </c>
      <c r="D194" s="617" t="s">
        <v>84</v>
      </c>
      <c r="E194" s="197" t="s">
        <v>18</v>
      </c>
      <c r="F194" s="197" t="s">
        <v>18</v>
      </c>
      <c r="G194" s="211">
        <v>14000</v>
      </c>
      <c r="H194" s="413">
        <v>0</v>
      </c>
      <c r="I194" s="2109">
        <v>0</v>
      </c>
      <c r="J194" s="2110">
        <v>0</v>
      </c>
      <c r="K194" s="2300">
        <v>0</v>
      </c>
      <c r="L194" s="2028">
        <v>0</v>
      </c>
      <c r="M194" s="2029">
        <v>0</v>
      </c>
      <c r="N194" s="2030">
        <v>0</v>
      </c>
      <c r="O194" s="2112">
        <v>0</v>
      </c>
      <c r="P194" s="1937">
        <v>0</v>
      </c>
      <c r="Q194" s="1937">
        <f t="shared" si="8"/>
        <v>0</v>
      </c>
      <c r="R194" s="1936">
        <v>14000</v>
      </c>
      <c r="S194" s="1936">
        <v>0</v>
      </c>
      <c r="T194" s="2028">
        <v>0</v>
      </c>
      <c r="U194" s="2029">
        <v>0</v>
      </c>
      <c r="V194" s="2030">
        <v>0</v>
      </c>
      <c r="W194" s="2028">
        <v>0</v>
      </c>
      <c r="X194" s="2029">
        <v>0</v>
      </c>
      <c r="Y194" s="2029">
        <v>0</v>
      </c>
      <c r="Z194" s="2029">
        <v>0</v>
      </c>
      <c r="AA194" s="2032">
        <v>0</v>
      </c>
      <c r="AB194" s="437" t="s">
        <v>84</v>
      </c>
      <c r="AC194" s="414" t="s">
        <v>11</v>
      </c>
      <c r="AD194" s="645" t="s">
        <v>627</v>
      </c>
      <c r="AE194" s="2675" t="s">
        <v>91</v>
      </c>
      <c r="AF194" s="320" t="s">
        <v>102</v>
      </c>
      <c r="AG194" s="1701" t="s">
        <v>215</v>
      </c>
      <c r="AH194" s="1701"/>
    </row>
    <row r="195" spans="1:34" outlineLevel="1" x14ac:dyDescent="0.25">
      <c r="A195" s="1929" t="s">
        <v>1931</v>
      </c>
      <c r="B195" s="2298" t="s">
        <v>87</v>
      </c>
      <c r="C195" s="2299" t="s">
        <v>1886</v>
      </c>
      <c r="D195" s="617" t="s">
        <v>84</v>
      </c>
      <c r="E195" s="197" t="s">
        <v>18</v>
      </c>
      <c r="F195" s="197" t="s">
        <v>18</v>
      </c>
      <c r="G195" s="211">
        <v>20000</v>
      </c>
      <c r="H195" s="413">
        <v>0</v>
      </c>
      <c r="I195" s="2109">
        <v>0</v>
      </c>
      <c r="J195" s="2110">
        <v>0</v>
      </c>
      <c r="K195" s="2300">
        <v>0</v>
      </c>
      <c r="L195" s="2028">
        <v>0</v>
      </c>
      <c r="M195" s="2029">
        <v>0</v>
      </c>
      <c r="N195" s="2030">
        <v>0</v>
      </c>
      <c r="O195" s="2112">
        <v>0</v>
      </c>
      <c r="P195" s="1937">
        <v>0</v>
      </c>
      <c r="Q195" s="1937">
        <f t="shared" si="8"/>
        <v>0</v>
      </c>
      <c r="R195" s="1936">
        <v>20000</v>
      </c>
      <c r="S195" s="1936">
        <v>0</v>
      </c>
      <c r="T195" s="2028">
        <v>0</v>
      </c>
      <c r="U195" s="2029">
        <v>0</v>
      </c>
      <c r="V195" s="2030">
        <v>0</v>
      </c>
      <c r="W195" s="2028">
        <v>0</v>
      </c>
      <c r="X195" s="2029">
        <v>0</v>
      </c>
      <c r="Y195" s="2029">
        <v>0</v>
      </c>
      <c r="Z195" s="2029">
        <v>0</v>
      </c>
      <c r="AA195" s="2032">
        <v>0</v>
      </c>
      <c r="AB195" s="437" t="s">
        <v>84</v>
      </c>
      <c r="AC195" s="414" t="s">
        <v>11</v>
      </c>
      <c r="AD195" s="645" t="s">
        <v>627</v>
      </c>
      <c r="AE195" s="2675" t="s">
        <v>91</v>
      </c>
      <c r="AF195" s="320" t="s">
        <v>102</v>
      </c>
      <c r="AG195" s="1701" t="s">
        <v>215</v>
      </c>
      <c r="AH195" s="1701"/>
    </row>
    <row r="196" spans="1:34" outlineLevel="1" x14ac:dyDescent="0.25">
      <c r="A196" s="1929" t="s">
        <v>1932</v>
      </c>
      <c r="B196" s="2298" t="s">
        <v>87</v>
      </c>
      <c r="C196" s="2299" t="s">
        <v>1887</v>
      </c>
      <c r="D196" s="617" t="s">
        <v>84</v>
      </c>
      <c r="E196" s="197" t="s">
        <v>18</v>
      </c>
      <c r="F196" s="197" t="s">
        <v>18</v>
      </c>
      <c r="G196" s="211">
        <v>15000</v>
      </c>
      <c r="H196" s="413">
        <v>0</v>
      </c>
      <c r="I196" s="2109">
        <v>0</v>
      </c>
      <c r="J196" s="2110">
        <v>0</v>
      </c>
      <c r="K196" s="2300">
        <v>0</v>
      </c>
      <c r="L196" s="2028">
        <v>0</v>
      </c>
      <c r="M196" s="2029">
        <v>0</v>
      </c>
      <c r="N196" s="2030">
        <v>0</v>
      </c>
      <c r="O196" s="2112">
        <v>0</v>
      </c>
      <c r="P196" s="1937">
        <v>0</v>
      </c>
      <c r="Q196" s="1937">
        <f t="shared" si="8"/>
        <v>0</v>
      </c>
      <c r="R196" s="1936">
        <v>15000</v>
      </c>
      <c r="S196" s="1936">
        <v>0</v>
      </c>
      <c r="T196" s="2028">
        <v>0</v>
      </c>
      <c r="U196" s="2029">
        <v>0</v>
      </c>
      <c r="V196" s="2030">
        <v>0</v>
      </c>
      <c r="W196" s="2028">
        <v>0</v>
      </c>
      <c r="X196" s="2029">
        <v>0</v>
      </c>
      <c r="Y196" s="2029">
        <v>0</v>
      </c>
      <c r="Z196" s="2029">
        <v>0</v>
      </c>
      <c r="AA196" s="2032">
        <v>0</v>
      </c>
      <c r="AB196" s="437" t="s">
        <v>84</v>
      </c>
      <c r="AC196" s="414" t="s">
        <v>11</v>
      </c>
      <c r="AD196" s="645" t="s">
        <v>627</v>
      </c>
      <c r="AE196" s="2675" t="s">
        <v>91</v>
      </c>
      <c r="AF196" s="320" t="s">
        <v>102</v>
      </c>
      <c r="AG196" s="1701" t="s">
        <v>217</v>
      </c>
      <c r="AH196" s="1701"/>
    </row>
    <row r="197" spans="1:34" outlineLevel="1" x14ac:dyDescent="0.25">
      <c r="A197" s="1929" t="s">
        <v>1933</v>
      </c>
      <c r="B197" s="2298" t="s">
        <v>87</v>
      </c>
      <c r="C197" s="2299" t="s">
        <v>1888</v>
      </c>
      <c r="D197" s="617" t="s">
        <v>84</v>
      </c>
      <c r="E197" s="197" t="s">
        <v>18</v>
      </c>
      <c r="F197" s="197" t="s">
        <v>18</v>
      </c>
      <c r="G197" s="211">
        <v>16000</v>
      </c>
      <c r="H197" s="413">
        <v>0</v>
      </c>
      <c r="I197" s="2109">
        <v>0</v>
      </c>
      <c r="J197" s="2110">
        <v>0</v>
      </c>
      <c r="K197" s="2300">
        <v>0</v>
      </c>
      <c r="L197" s="2028">
        <v>0</v>
      </c>
      <c r="M197" s="2029">
        <v>0</v>
      </c>
      <c r="N197" s="2030">
        <v>0</v>
      </c>
      <c r="O197" s="2112">
        <v>0</v>
      </c>
      <c r="P197" s="1937">
        <v>0</v>
      </c>
      <c r="Q197" s="1937">
        <f t="shared" si="8"/>
        <v>0</v>
      </c>
      <c r="R197" s="1936">
        <v>16000</v>
      </c>
      <c r="S197" s="1936">
        <v>0</v>
      </c>
      <c r="T197" s="2028">
        <v>0</v>
      </c>
      <c r="U197" s="2029">
        <v>0</v>
      </c>
      <c r="V197" s="2030">
        <v>0</v>
      </c>
      <c r="W197" s="2028">
        <v>0</v>
      </c>
      <c r="X197" s="2029">
        <v>0</v>
      </c>
      <c r="Y197" s="2029">
        <v>0</v>
      </c>
      <c r="Z197" s="2029">
        <v>0</v>
      </c>
      <c r="AA197" s="2032">
        <v>0</v>
      </c>
      <c r="AB197" s="437" t="s">
        <v>84</v>
      </c>
      <c r="AC197" s="414" t="s">
        <v>11</v>
      </c>
      <c r="AD197" s="645" t="s">
        <v>627</v>
      </c>
      <c r="AE197" s="2675" t="s">
        <v>91</v>
      </c>
      <c r="AF197" s="320" t="s">
        <v>102</v>
      </c>
      <c r="AG197" s="1701" t="s">
        <v>213</v>
      </c>
      <c r="AH197" s="1701"/>
    </row>
    <row r="198" spans="1:34" outlineLevel="1" x14ac:dyDescent="0.25">
      <c r="A198" s="1929" t="s">
        <v>1934</v>
      </c>
      <c r="B198" s="2298" t="s">
        <v>87</v>
      </c>
      <c r="C198" s="2299" t="s">
        <v>1889</v>
      </c>
      <c r="D198" s="617" t="s">
        <v>84</v>
      </c>
      <c r="E198" s="197" t="s">
        <v>18</v>
      </c>
      <c r="F198" s="197" t="s">
        <v>18</v>
      </c>
      <c r="G198" s="211">
        <v>6000</v>
      </c>
      <c r="H198" s="413">
        <v>0</v>
      </c>
      <c r="I198" s="2109">
        <v>0</v>
      </c>
      <c r="J198" s="2110">
        <v>0</v>
      </c>
      <c r="K198" s="2300">
        <v>0</v>
      </c>
      <c r="L198" s="2028">
        <v>0</v>
      </c>
      <c r="M198" s="2029">
        <v>0</v>
      </c>
      <c r="N198" s="2030">
        <v>0</v>
      </c>
      <c r="O198" s="2112">
        <v>0</v>
      </c>
      <c r="P198" s="1937">
        <v>0</v>
      </c>
      <c r="Q198" s="1937">
        <f t="shared" si="8"/>
        <v>0</v>
      </c>
      <c r="R198" s="1936">
        <v>6000</v>
      </c>
      <c r="S198" s="1936">
        <v>0</v>
      </c>
      <c r="T198" s="2028">
        <v>0</v>
      </c>
      <c r="U198" s="2029">
        <v>0</v>
      </c>
      <c r="V198" s="2030">
        <v>0</v>
      </c>
      <c r="W198" s="2028">
        <v>0</v>
      </c>
      <c r="X198" s="2029">
        <v>0</v>
      </c>
      <c r="Y198" s="2029">
        <v>0</v>
      </c>
      <c r="Z198" s="2029">
        <v>0</v>
      </c>
      <c r="AA198" s="2032">
        <v>0</v>
      </c>
      <c r="AB198" s="437" t="s">
        <v>84</v>
      </c>
      <c r="AC198" s="414" t="s">
        <v>11</v>
      </c>
      <c r="AD198" s="645" t="s">
        <v>627</v>
      </c>
      <c r="AE198" s="2675" t="s">
        <v>91</v>
      </c>
      <c r="AF198" s="320" t="s">
        <v>100</v>
      </c>
      <c r="AG198" s="1701" t="s">
        <v>213</v>
      </c>
      <c r="AH198" s="1701"/>
    </row>
    <row r="199" spans="1:34" outlineLevel="1" x14ac:dyDescent="0.25">
      <c r="A199" s="1929" t="s">
        <v>1935</v>
      </c>
      <c r="B199" s="2298" t="s">
        <v>87</v>
      </c>
      <c r="C199" s="2299" t="s">
        <v>1890</v>
      </c>
      <c r="D199" s="617" t="s">
        <v>84</v>
      </c>
      <c r="E199" s="197" t="s">
        <v>18</v>
      </c>
      <c r="F199" s="197" t="s">
        <v>18</v>
      </c>
      <c r="G199" s="211">
        <v>13500</v>
      </c>
      <c r="H199" s="413">
        <v>0</v>
      </c>
      <c r="I199" s="2109">
        <v>0</v>
      </c>
      <c r="J199" s="2110">
        <v>0</v>
      </c>
      <c r="K199" s="2300">
        <v>0</v>
      </c>
      <c r="L199" s="2028">
        <v>0</v>
      </c>
      <c r="M199" s="2029">
        <v>0</v>
      </c>
      <c r="N199" s="2030">
        <v>0</v>
      </c>
      <c r="O199" s="2112">
        <v>0</v>
      </c>
      <c r="P199" s="1937">
        <v>0</v>
      </c>
      <c r="Q199" s="1937">
        <f t="shared" si="8"/>
        <v>0</v>
      </c>
      <c r="R199" s="1936">
        <v>13500</v>
      </c>
      <c r="S199" s="1936">
        <v>0</v>
      </c>
      <c r="T199" s="2028">
        <v>0</v>
      </c>
      <c r="U199" s="2029">
        <v>0</v>
      </c>
      <c r="V199" s="2030">
        <v>0</v>
      </c>
      <c r="W199" s="2028">
        <v>0</v>
      </c>
      <c r="X199" s="2029">
        <v>0</v>
      </c>
      <c r="Y199" s="2029">
        <v>0</v>
      </c>
      <c r="Z199" s="2029">
        <v>0</v>
      </c>
      <c r="AA199" s="2032">
        <v>0</v>
      </c>
      <c r="AB199" s="437" t="s">
        <v>84</v>
      </c>
      <c r="AC199" s="414" t="s">
        <v>11</v>
      </c>
      <c r="AD199" s="645" t="s">
        <v>627</v>
      </c>
      <c r="AE199" s="2675" t="s">
        <v>91</v>
      </c>
      <c r="AF199" s="320" t="s">
        <v>100</v>
      </c>
      <c r="AG199" s="1701" t="s">
        <v>213</v>
      </c>
      <c r="AH199" s="1701"/>
    </row>
    <row r="200" spans="1:34" outlineLevel="1" x14ac:dyDescent="0.25">
      <c r="A200" s="1929" t="s">
        <v>1936</v>
      </c>
      <c r="B200" s="2298" t="s">
        <v>87</v>
      </c>
      <c r="C200" s="2299" t="s">
        <v>1891</v>
      </c>
      <c r="D200" s="617" t="s">
        <v>84</v>
      </c>
      <c r="E200" s="197" t="s">
        <v>18</v>
      </c>
      <c r="F200" s="197" t="s">
        <v>18</v>
      </c>
      <c r="G200" s="211">
        <v>8500</v>
      </c>
      <c r="H200" s="413">
        <v>0</v>
      </c>
      <c r="I200" s="2109">
        <v>0</v>
      </c>
      <c r="J200" s="2110">
        <v>0</v>
      </c>
      <c r="K200" s="2300">
        <v>0</v>
      </c>
      <c r="L200" s="2028">
        <v>0</v>
      </c>
      <c r="M200" s="2029">
        <v>0</v>
      </c>
      <c r="N200" s="2030">
        <v>0</v>
      </c>
      <c r="O200" s="2112">
        <v>0</v>
      </c>
      <c r="P200" s="1937">
        <v>0</v>
      </c>
      <c r="Q200" s="1937">
        <f t="shared" si="8"/>
        <v>0</v>
      </c>
      <c r="R200" s="1936">
        <v>8500</v>
      </c>
      <c r="S200" s="1936">
        <v>0</v>
      </c>
      <c r="T200" s="2028">
        <v>0</v>
      </c>
      <c r="U200" s="2029">
        <v>0</v>
      </c>
      <c r="V200" s="2030">
        <v>0</v>
      </c>
      <c r="W200" s="2028">
        <v>0</v>
      </c>
      <c r="X200" s="2029">
        <v>0</v>
      </c>
      <c r="Y200" s="2029">
        <v>0</v>
      </c>
      <c r="Z200" s="2029">
        <v>0</v>
      </c>
      <c r="AA200" s="2032">
        <v>0</v>
      </c>
      <c r="AB200" s="437" t="s">
        <v>84</v>
      </c>
      <c r="AC200" s="414" t="s">
        <v>11</v>
      </c>
      <c r="AD200" s="645" t="s">
        <v>627</v>
      </c>
      <c r="AE200" s="2675" t="s">
        <v>91</v>
      </c>
      <c r="AF200" s="320" t="s">
        <v>100</v>
      </c>
      <c r="AG200" s="1701" t="s">
        <v>213</v>
      </c>
      <c r="AH200" s="1701"/>
    </row>
    <row r="201" spans="1:34" outlineLevel="1" x14ac:dyDescent="0.25">
      <c r="A201" s="1929" t="s">
        <v>1937</v>
      </c>
      <c r="B201" s="2298" t="s">
        <v>87</v>
      </c>
      <c r="C201" s="2299" t="s">
        <v>1892</v>
      </c>
      <c r="D201" s="617" t="s">
        <v>84</v>
      </c>
      <c r="E201" s="197" t="s">
        <v>18</v>
      </c>
      <c r="F201" s="197" t="s">
        <v>18</v>
      </c>
      <c r="G201" s="211">
        <v>14000</v>
      </c>
      <c r="H201" s="413">
        <v>0</v>
      </c>
      <c r="I201" s="2109">
        <v>0</v>
      </c>
      <c r="J201" s="2110">
        <v>0</v>
      </c>
      <c r="K201" s="2300">
        <v>0</v>
      </c>
      <c r="L201" s="2028">
        <v>0</v>
      </c>
      <c r="M201" s="2029">
        <v>0</v>
      </c>
      <c r="N201" s="2030">
        <v>0</v>
      </c>
      <c r="O201" s="2112">
        <v>0</v>
      </c>
      <c r="P201" s="1937">
        <v>0</v>
      </c>
      <c r="Q201" s="1937">
        <f t="shared" si="8"/>
        <v>0</v>
      </c>
      <c r="R201" s="1936">
        <v>14000</v>
      </c>
      <c r="S201" s="1936">
        <v>0</v>
      </c>
      <c r="T201" s="2028">
        <v>0</v>
      </c>
      <c r="U201" s="2029">
        <v>0</v>
      </c>
      <c r="V201" s="2030">
        <v>0</v>
      </c>
      <c r="W201" s="2028">
        <v>0</v>
      </c>
      <c r="X201" s="2029">
        <v>0</v>
      </c>
      <c r="Y201" s="2029">
        <v>0</v>
      </c>
      <c r="Z201" s="2029">
        <v>0</v>
      </c>
      <c r="AA201" s="2032">
        <v>0</v>
      </c>
      <c r="AB201" s="437" t="s">
        <v>84</v>
      </c>
      <c r="AC201" s="414" t="s">
        <v>11</v>
      </c>
      <c r="AD201" s="645" t="s">
        <v>627</v>
      </c>
      <c r="AE201" s="2675" t="s">
        <v>91</v>
      </c>
      <c r="AF201" s="320" t="s">
        <v>100</v>
      </c>
      <c r="AG201" s="1701" t="s">
        <v>213</v>
      </c>
      <c r="AH201" s="1701"/>
    </row>
    <row r="202" spans="1:34" outlineLevel="1" x14ac:dyDescent="0.25">
      <c r="A202" s="1929" t="s">
        <v>1938</v>
      </c>
      <c r="B202" s="2298" t="s">
        <v>87</v>
      </c>
      <c r="C202" s="2299" t="s">
        <v>1893</v>
      </c>
      <c r="D202" s="617" t="s">
        <v>84</v>
      </c>
      <c r="E202" s="197" t="s">
        <v>18</v>
      </c>
      <c r="F202" s="197" t="s">
        <v>18</v>
      </c>
      <c r="G202" s="211">
        <v>6000</v>
      </c>
      <c r="H202" s="413">
        <v>0</v>
      </c>
      <c r="I202" s="2109">
        <v>0</v>
      </c>
      <c r="J202" s="2110">
        <v>0</v>
      </c>
      <c r="K202" s="2300">
        <v>0</v>
      </c>
      <c r="L202" s="2028">
        <v>0</v>
      </c>
      <c r="M202" s="2029">
        <v>0</v>
      </c>
      <c r="N202" s="2030">
        <v>0</v>
      </c>
      <c r="O202" s="2112">
        <v>0</v>
      </c>
      <c r="P202" s="1937">
        <v>0</v>
      </c>
      <c r="Q202" s="1937">
        <f t="shared" si="8"/>
        <v>0</v>
      </c>
      <c r="R202" s="1936">
        <v>6000</v>
      </c>
      <c r="S202" s="1936">
        <v>0</v>
      </c>
      <c r="T202" s="2028">
        <v>0</v>
      </c>
      <c r="U202" s="2029">
        <v>0</v>
      </c>
      <c r="V202" s="2030">
        <v>0</v>
      </c>
      <c r="W202" s="2028">
        <v>0</v>
      </c>
      <c r="X202" s="2029">
        <v>0</v>
      </c>
      <c r="Y202" s="2029">
        <v>0</v>
      </c>
      <c r="Z202" s="2029">
        <v>0</v>
      </c>
      <c r="AA202" s="2032">
        <v>0</v>
      </c>
      <c r="AB202" s="437" t="s">
        <v>84</v>
      </c>
      <c r="AC202" s="414" t="s">
        <v>11</v>
      </c>
      <c r="AD202" s="645" t="s">
        <v>627</v>
      </c>
      <c r="AE202" s="2675" t="s">
        <v>91</v>
      </c>
      <c r="AF202" s="320" t="s">
        <v>100</v>
      </c>
      <c r="AG202" s="1701" t="s">
        <v>204</v>
      </c>
      <c r="AH202" s="1701"/>
    </row>
    <row r="203" spans="1:34" outlineLevel="1" x14ac:dyDescent="0.25">
      <c r="A203" s="1929" t="s">
        <v>1939</v>
      </c>
      <c r="B203" s="2298" t="s">
        <v>87</v>
      </c>
      <c r="C203" s="2299" t="s">
        <v>1894</v>
      </c>
      <c r="D203" s="617" t="s">
        <v>84</v>
      </c>
      <c r="E203" s="197" t="s">
        <v>18</v>
      </c>
      <c r="F203" s="197" t="s">
        <v>18</v>
      </c>
      <c r="G203" s="211">
        <v>4000</v>
      </c>
      <c r="H203" s="413">
        <v>0</v>
      </c>
      <c r="I203" s="2109">
        <v>0</v>
      </c>
      <c r="J203" s="2110">
        <v>0</v>
      </c>
      <c r="K203" s="2300">
        <v>0</v>
      </c>
      <c r="L203" s="2028">
        <v>0</v>
      </c>
      <c r="M203" s="2029">
        <v>0</v>
      </c>
      <c r="N203" s="2030">
        <v>0</v>
      </c>
      <c r="O203" s="2112">
        <v>0</v>
      </c>
      <c r="P203" s="1937">
        <v>0</v>
      </c>
      <c r="Q203" s="1937">
        <f t="shared" si="8"/>
        <v>0</v>
      </c>
      <c r="R203" s="1936">
        <v>4000</v>
      </c>
      <c r="S203" s="1936">
        <v>0</v>
      </c>
      <c r="T203" s="2028">
        <v>0</v>
      </c>
      <c r="U203" s="2029">
        <v>0</v>
      </c>
      <c r="V203" s="2030">
        <v>0</v>
      </c>
      <c r="W203" s="2028">
        <v>0</v>
      </c>
      <c r="X203" s="2029">
        <v>0</v>
      </c>
      <c r="Y203" s="2029">
        <v>0</v>
      </c>
      <c r="Z203" s="2029">
        <v>0</v>
      </c>
      <c r="AA203" s="2032">
        <v>0</v>
      </c>
      <c r="AB203" s="437" t="s">
        <v>84</v>
      </c>
      <c r="AC203" s="414" t="s">
        <v>11</v>
      </c>
      <c r="AD203" s="645" t="s">
        <v>627</v>
      </c>
      <c r="AE203" s="2675" t="s">
        <v>91</v>
      </c>
      <c r="AF203" s="320" t="s">
        <v>100</v>
      </c>
      <c r="AG203" s="1701" t="s">
        <v>223</v>
      </c>
      <c r="AH203" s="1701"/>
    </row>
    <row r="204" spans="1:34" ht="18" customHeight="1" outlineLevel="1" x14ac:dyDescent="0.25">
      <c r="A204" s="1929" t="s">
        <v>2084</v>
      </c>
      <c r="B204" s="2715" t="s">
        <v>87</v>
      </c>
      <c r="C204" s="2299" t="s">
        <v>2085</v>
      </c>
      <c r="D204" s="463" t="s">
        <v>84</v>
      </c>
      <c r="E204" s="197" t="s">
        <v>18</v>
      </c>
      <c r="F204" s="197" t="s">
        <v>18</v>
      </c>
      <c r="G204" s="211">
        <v>34614</v>
      </c>
      <c r="H204" s="413">
        <v>0</v>
      </c>
      <c r="I204" s="2109">
        <v>0</v>
      </c>
      <c r="J204" s="2110">
        <v>0</v>
      </c>
      <c r="K204" s="2300">
        <v>0</v>
      </c>
      <c r="L204" s="2028">
        <v>0</v>
      </c>
      <c r="M204" s="2029">
        <v>0</v>
      </c>
      <c r="N204" s="2112">
        <v>12653.061229999999</v>
      </c>
      <c r="O204" s="2112">
        <v>0</v>
      </c>
      <c r="P204" s="1937">
        <v>12653.061229999999</v>
      </c>
      <c r="Q204" s="1937">
        <f t="shared" si="8"/>
        <v>12653.061229999999</v>
      </c>
      <c r="R204" s="1936">
        <f>34614-12653.06123</f>
        <v>21960.938770000001</v>
      </c>
      <c r="S204" s="2716">
        <v>0</v>
      </c>
      <c r="T204" s="2028">
        <v>0</v>
      </c>
      <c r="U204" s="2029">
        <v>0</v>
      </c>
      <c r="V204" s="2716">
        <v>0</v>
      </c>
      <c r="W204" s="2028">
        <v>0</v>
      </c>
      <c r="X204" s="2029">
        <v>0</v>
      </c>
      <c r="Y204" s="2029">
        <v>0</v>
      </c>
      <c r="Z204" s="2029">
        <v>0</v>
      </c>
      <c r="AA204" s="2032">
        <v>0</v>
      </c>
      <c r="AB204" s="1132" t="s">
        <v>2086</v>
      </c>
      <c r="AC204" s="414" t="s">
        <v>13</v>
      </c>
      <c r="AD204" s="645" t="s">
        <v>191</v>
      </c>
      <c r="AE204" s="2717" t="s">
        <v>92</v>
      </c>
      <c r="AF204" s="369" t="s">
        <v>102</v>
      </c>
      <c r="AG204" s="1945" t="s">
        <v>204</v>
      </c>
      <c r="AH204" s="1945"/>
    </row>
    <row r="205" spans="1:34" ht="16.5" outlineLevel="1" thickBot="1" x14ac:dyDescent="0.3">
      <c r="A205" s="1359" t="s">
        <v>96</v>
      </c>
      <c r="B205" s="1360" t="s">
        <v>96</v>
      </c>
      <c r="C205" s="1303" t="s">
        <v>96</v>
      </c>
      <c r="D205" s="311" t="s">
        <v>96</v>
      </c>
      <c r="E205" s="611" t="s">
        <v>96</v>
      </c>
      <c r="F205" s="611" t="s">
        <v>96</v>
      </c>
      <c r="G205" s="492" t="s">
        <v>96</v>
      </c>
      <c r="H205" s="1523" t="s">
        <v>96</v>
      </c>
      <c r="I205" s="1524" t="s">
        <v>96</v>
      </c>
      <c r="J205" s="1357" t="s">
        <v>96</v>
      </c>
      <c r="K205" s="1603" t="s">
        <v>96</v>
      </c>
      <c r="L205" s="388" t="s">
        <v>96</v>
      </c>
      <c r="M205" s="334" t="s">
        <v>96</v>
      </c>
      <c r="N205" s="318" t="s">
        <v>96</v>
      </c>
      <c r="O205" s="215" t="s">
        <v>96</v>
      </c>
      <c r="P205" s="215" t="s">
        <v>96</v>
      </c>
      <c r="Q205" s="215" t="s">
        <v>96</v>
      </c>
      <c r="R205" s="215" t="s">
        <v>96</v>
      </c>
      <c r="S205" s="332" t="s">
        <v>96</v>
      </c>
      <c r="T205" s="388" t="s">
        <v>96</v>
      </c>
      <c r="U205" s="334" t="s">
        <v>96</v>
      </c>
      <c r="V205" s="332" t="s">
        <v>96</v>
      </c>
      <c r="W205" s="388" t="s">
        <v>96</v>
      </c>
      <c r="X205" s="336" t="s">
        <v>96</v>
      </c>
      <c r="Y205" s="336" t="s">
        <v>96</v>
      </c>
      <c r="Z205" s="336" t="s">
        <v>96</v>
      </c>
      <c r="AA205" s="332" t="s">
        <v>96</v>
      </c>
      <c r="AB205" s="335" t="s">
        <v>96</v>
      </c>
      <c r="AC205" s="311" t="s">
        <v>96</v>
      </c>
      <c r="AD205" s="90" t="s">
        <v>96</v>
      </c>
      <c r="AE205" s="84" t="s">
        <v>96</v>
      </c>
      <c r="AF205" s="84" t="s">
        <v>96</v>
      </c>
      <c r="AG205" s="611" t="s">
        <v>96</v>
      </c>
      <c r="AH205" s="611" t="s">
        <v>96</v>
      </c>
    </row>
    <row r="206" spans="1:34" s="1495" customFormat="1" ht="26.25" thickBot="1" x14ac:dyDescent="0.3">
      <c r="A206" s="1078" t="s">
        <v>109</v>
      </c>
      <c r="B206" s="1079"/>
      <c r="C206" s="1093"/>
      <c r="D206" s="38" t="s">
        <v>84</v>
      </c>
      <c r="E206" s="1493" t="s">
        <v>84</v>
      </c>
      <c r="F206" s="1493" t="s">
        <v>84</v>
      </c>
      <c r="G206" s="504">
        <f t="shared" ref="G206:AA206" si="9">SUM(G38:G205)</f>
        <v>5612100.0735400021</v>
      </c>
      <c r="H206" s="504">
        <f t="shared" si="9"/>
        <v>1425043.0052899995</v>
      </c>
      <c r="I206" s="504">
        <f t="shared" si="9"/>
        <v>103909.27080999999</v>
      </c>
      <c r="J206" s="504">
        <f t="shared" si="9"/>
        <v>192179.53237</v>
      </c>
      <c r="K206" s="504">
        <v>235005.88189999989</v>
      </c>
      <c r="L206" s="504">
        <f t="shared" si="9"/>
        <v>103909.27080999999</v>
      </c>
      <c r="M206" s="504">
        <f t="shared" si="9"/>
        <v>192179.53237</v>
      </c>
      <c r="N206" s="504">
        <f t="shared" si="9"/>
        <v>817895.3907499999</v>
      </c>
      <c r="O206" s="504">
        <f t="shared" si="9"/>
        <v>1242028.9375499999</v>
      </c>
      <c r="P206" s="504">
        <f t="shared" si="9"/>
        <v>-128044.74362000002</v>
      </c>
      <c r="Q206" s="504">
        <f t="shared" si="9"/>
        <v>1113984.1939299998</v>
      </c>
      <c r="R206" s="504">
        <f t="shared" si="9"/>
        <v>1949251.9342400001</v>
      </c>
      <c r="S206" s="504">
        <f t="shared" si="9"/>
        <v>1013680.94008</v>
      </c>
      <c r="T206" s="504">
        <f t="shared" si="9"/>
        <v>0</v>
      </c>
      <c r="U206" s="504">
        <f t="shared" si="9"/>
        <v>110140</v>
      </c>
      <c r="V206" s="504">
        <f t="shared" si="9"/>
        <v>0</v>
      </c>
      <c r="W206" s="504">
        <f t="shared" si="9"/>
        <v>243231.19183000003</v>
      </c>
      <c r="X206" s="504">
        <f t="shared" si="9"/>
        <v>198138.33107000001</v>
      </c>
      <c r="Y206" s="504">
        <v>21495.44673</v>
      </c>
      <c r="Z206" s="504">
        <f t="shared" si="9"/>
        <v>40092.86076000001</v>
      </c>
      <c r="AA206" s="504">
        <f t="shared" si="9"/>
        <v>5000</v>
      </c>
      <c r="AB206" s="1389" t="s">
        <v>1663</v>
      </c>
      <c r="AC206" s="38" t="s">
        <v>84</v>
      </c>
      <c r="AD206" s="1496" t="s">
        <v>84</v>
      </c>
      <c r="AE206" s="1496" t="s">
        <v>84</v>
      </c>
      <c r="AF206" s="41" t="s">
        <v>84</v>
      </c>
      <c r="AG206" s="1493" t="s">
        <v>84</v>
      </c>
      <c r="AH206" s="1493" t="s">
        <v>84</v>
      </c>
    </row>
    <row r="207" spans="1:34" ht="31.5" outlineLevel="1" x14ac:dyDescent="0.25">
      <c r="A207" s="802" t="s">
        <v>259</v>
      </c>
      <c r="B207" s="1109" t="s">
        <v>423</v>
      </c>
      <c r="C207" s="1335" t="s">
        <v>278</v>
      </c>
      <c r="D207" s="501" t="s">
        <v>1618</v>
      </c>
      <c r="E207" s="19" t="s">
        <v>119</v>
      </c>
      <c r="F207" s="95" t="s">
        <v>119</v>
      </c>
      <c r="G207" s="96">
        <f>24585.773+2500+525+8094.26608+ 2813.88844+287.621</f>
        <v>38806.548520000004</v>
      </c>
      <c r="H207" s="1340">
        <v>16060.280909999999</v>
      </c>
      <c r="I207" s="517">
        <v>17395.707880000002</v>
      </c>
      <c r="J207" s="488">
        <v>113.4859</v>
      </c>
      <c r="K207" s="1341">
        <v>-6799.0769700000001</v>
      </c>
      <c r="L207" s="517">
        <f>17395.26761+0.44027</f>
        <v>17395.707879999998</v>
      </c>
      <c r="M207" s="516">
        <f>0+113.4859</f>
        <v>113.4859</v>
      </c>
      <c r="N207" s="516">
        <f>4251-0.44027-113.4859</f>
        <v>4137.0738300000003</v>
      </c>
      <c r="O207" s="841">
        <v>21646.267609999999</v>
      </c>
      <c r="P207" s="849">
        <v>0</v>
      </c>
      <c r="Q207" s="613">
        <f t="shared" ref="Q207:Q269" si="10">O207+P207</f>
        <v>21646.267609999999</v>
      </c>
      <c r="R207" s="97">
        <v>0</v>
      </c>
      <c r="S207" s="97">
        <v>0</v>
      </c>
      <c r="T207" s="518">
        <v>0</v>
      </c>
      <c r="U207" s="516">
        <v>0</v>
      </c>
      <c r="V207" s="12">
        <v>1100</v>
      </c>
      <c r="W207" s="411">
        <v>0</v>
      </c>
      <c r="X207" s="893">
        <v>0</v>
      </c>
      <c r="Y207" s="893">
        <v>0</v>
      </c>
      <c r="Z207" s="752">
        <v>0</v>
      </c>
      <c r="AA207" s="135">
        <v>0</v>
      </c>
      <c r="AB207" s="501" t="s">
        <v>84</v>
      </c>
      <c r="AC207" s="501" t="s">
        <v>186</v>
      </c>
      <c r="AD207" s="685" t="s">
        <v>190</v>
      </c>
      <c r="AE207" s="685" t="s">
        <v>92</v>
      </c>
      <c r="AF207" s="45" t="s">
        <v>101</v>
      </c>
      <c r="AG207" s="514" t="s">
        <v>203</v>
      </c>
      <c r="AH207" s="514" t="s">
        <v>971</v>
      </c>
    </row>
    <row r="208" spans="1:34" ht="25.5" outlineLevel="1" x14ac:dyDescent="0.25">
      <c r="A208" s="72" t="s">
        <v>260</v>
      </c>
      <c r="B208" s="1376" t="s">
        <v>424</v>
      </c>
      <c r="C208" s="1123" t="s">
        <v>243</v>
      </c>
      <c r="D208" s="27" t="s">
        <v>1619</v>
      </c>
      <c r="E208" s="31" t="s">
        <v>26</v>
      </c>
      <c r="F208" s="28" t="s">
        <v>26</v>
      </c>
      <c r="G208" s="7">
        <v>17597.462920000002</v>
      </c>
      <c r="H208" s="1047">
        <v>4141.5085300000001</v>
      </c>
      <c r="I208" s="1555">
        <v>9532.5436300000001</v>
      </c>
      <c r="J208" s="1620">
        <v>3923.4107599999998</v>
      </c>
      <c r="K208" s="1371">
        <v>0</v>
      </c>
      <c r="L208" s="140">
        <v>9532.5436300000001</v>
      </c>
      <c r="M208" s="103">
        <v>3923.4107600000002</v>
      </c>
      <c r="N208" s="8">
        <v>0</v>
      </c>
      <c r="O208" s="691">
        <v>13455.954390000001</v>
      </c>
      <c r="P208" s="557">
        <v>0</v>
      </c>
      <c r="Q208" s="535">
        <f t="shared" si="10"/>
        <v>13455.954390000001</v>
      </c>
      <c r="R208" s="9">
        <v>0</v>
      </c>
      <c r="S208" s="9">
        <v>0</v>
      </c>
      <c r="T208" s="140">
        <v>0</v>
      </c>
      <c r="U208" s="103">
        <v>0</v>
      </c>
      <c r="V208" s="1001">
        <v>0</v>
      </c>
      <c r="W208" s="560">
        <v>0</v>
      </c>
      <c r="X208" s="596">
        <v>0</v>
      </c>
      <c r="Y208" s="596">
        <v>0</v>
      </c>
      <c r="Z208" s="595">
        <v>0</v>
      </c>
      <c r="AA208" s="136">
        <v>0</v>
      </c>
      <c r="AB208" s="407" t="s">
        <v>84</v>
      </c>
      <c r="AC208" s="30" t="s">
        <v>95</v>
      </c>
      <c r="AD208" s="26" t="s">
        <v>314</v>
      </c>
      <c r="AE208" s="106" t="s">
        <v>92</v>
      </c>
      <c r="AF208" s="26" t="s">
        <v>101</v>
      </c>
      <c r="AG208" s="28" t="s">
        <v>209</v>
      </c>
      <c r="AH208" s="28" t="s">
        <v>971</v>
      </c>
    </row>
    <row r="209" spans="1:34" ht="52.5" customHeight="1" outlineLevel="1" x14ac:dyDescent="0.25">
      <c r="A209" s="1803" t="s">
        <v>261</v>
      </c>
      <c r="B209" s="1724" t="s">
        <v>425</v>
      </c>
      <c r="C209" s="1685" t="s">
        <v>244</v>
      </c>
      <c r="D209" s="220" t="s">
        <v>1619</v>
      </c>
      <c r="E209" s="2349" t="s">
        <v>27</v>
      </c>
      <c r="F209" s="1686" t="s">
        <v>27</v>
      </c>
      <c r="G209" s="251">
        <v>375100</v>
      </c>
      <c r="H209" s="2350">
        <v>4516.4943999999996</v>
      </c>
      <c r="I209" s="348">
        <v>0</v>
      </c>
      <c r="J209" s="349">
        <v>0</v>
      </c>
      <c r="K209" s="2351">
        <v>0</v>
      </c>
      <c r="L209" s="353">
        <v>0</v>
      </c>
      <c r="M209" s="1728">
        <v>0</v>
      </c>
      <c r="N209" s="1728">
        <v>932.5</v>
      </c>
      <c r="O209" s="1726">
        <v>3932.5</v>
      </c>
      <c r="P209" s="1727">
        <v>-3000</v>
      </c>
      <c r="Q209" s="1692">
        <f t="shared" si="10"/>
        <v>932.5</v>
      </c>
      <c r="R209" s="257">
        <v>223583.5056</v>
      </c>
      <c r="S209" s="1728">
        <v>146067.5</v>
      </c>
      <c r="T209" s="353">
        <v>0</v>
      </c>
      <c r="U209" s="354">
        <v>0</v>
      </c>
      <c r="V209" s="1900">
        <v>0</v>
      </c>
      <c r="W209" s="1902">
        <v>0</v>
      </c>
      <c r="X209" s="1816">
        <v>0</v>
      </c>
      <c r="Y209" s="1816">
        <v>0</v>
      </c>
      <c r="Z209" s="1897">
        <v>0</v>
      </c>
      <c r="AA209" s="356">
        <v>0</v>
      </c>
      <c r="AB209" s="468" t="s">
        <v>1953</v>
      </c>
      <c r="AC209" s="220" t="s">
        <v>11</v>
      </c>
      <c r="AD209" s="252" t="s">
        <v>1067</v>
      </c>
      <c r="AE209" s="2162" t="s">
        <v>91</v>
      </c>
      <c r="AF209" s="525" t="s">
        <v>103</v>
      </c>
      <c r="AG209" s="1686" t="s">
        <v>203</v>
      </c>
      <c r="AH209" s="1686" t="s">
        <v>971</v>
      </c>
    </row>
    <row r="210" spans="1:34" ht="32.25" outlineLevel="1" thickBot="1" x14ac:dyDescent="0.3">
      <c r="A210" s="579" t="s">
        <v>262</v>
      </c>
      <c r="B210" s="1110" t="s">
        <v>426</v>
      </c>
      <c r="C210" s="1336" t="s">
        <v>1224</v>
      </c>
      <c r="D210" s="98" t="s">
        <v>1620</v>
      </c>
      <c r="E210" s="216" t="s">
        <v>29</v>
      </c>
      <c r="F210" s="502" t="s">
        <v>29</v>
      </c>
      <c r="G210" s="15">
        <f>18098.52+3050</f>
        <v>21148.52</v>
      </c>
      <c r="H210" s="222">
        <v>498.52</v>
      </c>
      <c r="I210" s="1585">
        <v>0</v>
      </c>
      <c r="J210" s="1470">
        <v>2991.7080599999999</v>
      </c>
      <c r="K210" s="1586">
        <v>8659.4616199999982</v>
      </c>
      <c r="L210" s="330">
        <v>0</v>
      </c>
      <c r="M210" s="101">
        <v>2991.7080599999999</v>
      </c>
      <c r="N210" s="4">
        <f>7600+3050+7008.29194</f>
        <v>17658.291939999999</v>
      </c>
      <c r="O210" s="839">
        <v>20650</v>
      </c>
      <c r="P210" s="555">
        <v>0</v>
      </c>
      <c r="Q210" s="630">
        <f t="shared" si="10"/>
        <v>20650</v>
      </c>
      <c r="R210" s="18">
        <v>0</v>
      </c>
      <c r="S210" s="18">
        <v>0</v>
      </c>
      <c r="T210" s="330">
        <v>0</v>
      </c>
      <c r="U210" s="101">
        <v>0</v>
      </c>
      <c r="V210" s="1312">
        <v>0</v>
      </c>
      <c r="W210" s="862">
        <v>0</v>
      </c>
      <c r="X210" s="1298">
        <v>0</v>
      </c>
      <c r="Y210" s="1298">
        <v>0</v>
      </c>
      <c r="Z210" s="1288">
        <v>0</v>
      </c>
      <c r="AA210" s="137">
        <v>0</v>
      </c>
      <c r="AB210" s="98" t="s">
        <v>84</v>
      </c>
      <c r="AC210" s="98" t="s">
        <v>13</v>
      </c>
      <c r="AD210" s="90" t="s">
        <v>190</v>
      </c>
      <c r="AE210" s="89" t="s">
        <v>92</v>
      </c>
      <c r="AF210" s="58" t="s">
        <v>101</v>
      </c>
      <c r="AG210" s="502" t="s">
        <v>208</v>
      </c>
      <c r="AH210" s="502" t="s">
        <v>971</v>
      </c>
    </row>
    <row r="211" spans="1:34" ht="39" outlineLevel="1" thickBot="1" x14ac:dyDescent="0.3">
      <c r="A211" s="2125" t="s">
        <v>263</v>
      </c>
      <c r="B211" s="2352" t="s">
        <v>626</v>
      </c>
      <c r="C211" s="2353" t="s">
        <v>597</v>
      </c>
      <c r="D211" s="275" t="s">
        <v>97</v>
      </c>
      <c r="E211" s="423" t="s">
        <v>33</v>
      </c>
      <c r="F211" s="275" t="s">
        <v>33</v>
      </c>
      <c r="G211" s="2354">
        <v>10449.56</v>
      </c>
      <c r="H211" s="2354">
        <v>164.56</v>
      </c>
      <c r="I211" s="2132">
        <v>0</v>
      </c>
      <c r="J211" s="1516">
        <v>0</v>
      </c>
      <c r="K211" s="2131">
        <v>0</v>
      </c>
      <c r="L211" s="2132">
        <v>0</v>
      </c>
      <c r="M211" s="1516">
        <v>0</v>
      </c>
      <c r="N211" s="1541">
        <f>500-500</f>
        <v>0</v>
      </c>
      <c r="O211" s="1791">
        <v>500</v>
      </c>
      <c r="P211" s="1541">
        <v>-500</v>
      </c>
      <c r="Q211" s="1792">
        <f t="shared" si="10"/>
        <v>0</v>
      </c>
      <c r="R211" s="2139">
        <f>9785+500</f>
        <v>10285</v>
      </c>
      <c r="S211" s="2156">
        <v>0</v>
      </c>
      <c r="T211" s="2132">
        <v>0</v>
      </c>
      <c r="U211" s="1516">
        <v>0</v>
      </c>
      <c r="V211" s="2355">
        <v>0</v>
      </c>
      <c r="W211" s="1798">
        <v>0</v>
      </c>
      <c r="X211" s="1799">
        <v>0</v>
      </c>
      <c r="Y211" s="1799">
        <v>0</v>
      </c>
      <c r="Z211" s="1799">
        <v>0</v>
      </c>
      <c r="AA211" s="1800">
        <v>0</v>
      </c>
      <c r="AB211" s="528" t="s">
        <v>2057</v>
      </c>
      <c r="AC211" s="275" t="s">
        <v>11</v>
      </c>
      <c r="AD211" s="1515" t="s">
        <v>190</v>
      </c>
      <c r="AE211" s="1515" t="s">
        <v>91</v>
      </c>
      <c r="AF211" s="577" t="s">
        <v>100</v>
      </c>
      <c r="AG211" s="1127" t="s">
        <v>211</v>
      </c>
      <c r="AH211" s="1127" t="s">
        <v>971</v>
      </c>
    </row>
    <row r="212" spans="1:34" ht="31.5" outlineLevel="1" x14ac:dyDescent="0.25">
      <c r="A212" s="807" t="s">
        <v>117</v>
      </c>
      <c r="B212" s="1387" t="s">
        <v>584</v>
      </c>
      <c r="C212" s="1475" t="s">
        <v>344</v>
      </c>
      <c r="D212" s="678" t="s">
        <v>1609</v>
      </c>
      <c r="E212" s="455" t="s">
        <v>71</v>
      </c>
      <c r="F212" s="678" t="s">
        <v>71</v>
      </c>
      <c r="G212" s="1134">
        <v>3360.8554399999998</v>
      </c>
      <c r="H212" s="1476">
        <v>0</v>
      </c>
      <c r="I212" s="1374">
        <v>3360.8554399999998</v>
      </c>
      <c r="J212" s="1372">
        <v>0</v>
      </c>
      <c r="K212" s="1477">
        <v>0</v>
      </c>
      <c r="L212" s="1374">
        <v>3360.8554399999998</v>
      </c>
      <c r="M212" s="1372">
        <v>0</v>
      </c>
      <c r="N212" s="1373">
        <v>0</v>
      </c>
      <c r="O212" s="808">
        <v>3360.8554400000003</v>
      </c>
      <c r="P212" s="861">
        <v>0</v>
      </c>
      <c r="Q212" s="809">
        <f t="shared" si="10"/>
        <v>3360.8554400000003</v>
      </c>
      <c r="R212" s="1478">
        <v>0</v>
      </c>
      <c r="S212" s="1478">
        <v>0</v>
      </c>
      <c r="T212" s="1479">
        <v>0</v>
      </c>
      <c r="U212" s="1372">
        <v>0</v>
      </c>
      <c r="V212" s="1135">
        <v>0</v>
      </c>
      <c r="W212" s="977">
        <v>0</v>
      </c>
      <c r="X212" s="978">
        <v>0</v>
      </c>
      <c r="Y212" s="978">
        <v>0</v>
      </c>
      <c r="Z212" s="978">
        <v>0</v>
      </c>
      <c r="AA212" s="979">
        <v>0</v>
      </c>
      <c r="AB212" s="679" t="s">
        <v>84</v>
      </c>
      <c r="AC212" s="678" t="s">
        <v>95</v>
      </c>
      <c r="AD212" s="1480" t="s">
        <v>472</v>
      </c>
      <c r="AE212" s="1480" t="s">
        <v>92</v>
      </c>
      <c r="AF212" s="1546" t="s">
        <v>101</v>
      </c>
      <c r="AG212" s="678" t="s">
        <v>212</v>
      </c>
      <c r="AH212" s="678" t="s">
        <v>971</v>
      </c>
    </row>
    <row r="213" spans="1:34" ht="26.25" outlineLevel="1" thickBot="1" x14ac:dyDescent="0.3">
      <c r="A213" s="76" t="s">
        <v>118</v>
      </c>
      <c r="B213" s="1455" t="s">
        <v>427</v>
      </c>
      <c r="C213" s="1124" t="s">
        <v>245</v>
      </c>
      <c r="D213" s="73" t="s">
        <v>1609</v>
      </c>
      <c r="E213" s="214" t="s">
        <v>114</v>
      </c>
      <c r="F213" s="73" t="s">
        <v>114</v>
      </c>
      <c r="G213" s="692">
        <f>16748+0.08485</f>
        <v>16748.084849999999</v>
      </c>
      <c r="H213" s="1471">
        <v>12738.44461</v>
      </c>
      <c r="I213" s="167">
        <v>4009.6402399999997</v>
      </c>
      <c r="J213" s="161">
        <v>0</v>
      </c>
      <c r="K213" s="168">
        <v>0</v>
      </c>
      <c r="L213" s="167">
        <v>4009.6402400000002</v>
      </c>
      <c r="M213" s="161">
        <v>0</v>
      </c>
      <c r="N213" s="207">
        <v>0</v>
      </c>
      <c r="O213" s="417">
        <v>4009.6402400000015</v>
      </c>
      <c r="P213" s="556">
        <v>0</v>
      </c>
      <c r="Q213" s="532">
        <f t="shared" si="10"/>
        <v>4009.6402400000015</v>
      </c>
      <c r="R213" s="271">
        <v>0</v>
      </c>
      <c r="S213" s="271">
        <v>0</v>
      </c>
      <c r="T213" s="894">
        <v>0</v>
      </c>
      <c r="U213" s="161">
        <v>0</v>
      </c>
      <c r="V213" s="234">
        <v>0</v>
      </c>
      <c r="W213" s="562">
        <v>0</v>
      </c>
      <c r="X213" s="634">
        <v>0</v>
      </c>
      <c r="Y213" s="634">
        <v>0</v>
      </c>
      <c r="Z213" s="634">
        <v>0</v>
      </c>
      <c r="AA213" s="460">
        <v>0</v>
      </c>
      <c r="AB213" s="73" t="s">
        <v>84</v>
      </c>
      <c r="AC213" s="73" t="s">
        <v>95</v>
      </c>
      <c r="AD213" s="162" t="s">
        <v>640</v>
      </c>
      <c r="AE213" s="162" t="s">
        <v>92</v>
      </c>
      <c r="AF213" s="78" t="s">
        <v>101</v>
      </c>
      <c r="AG213" s="73" t="s">
        <v>218</v>
      </c>
      <c r="AH213" s="73" t="s">
        <v>971</v>
      </c>
    </row>
    <row r="214" spans="1:34" ht="26.25" outlineLevel="1" thickBot="1" x14ac:dyDescent="0.3">
      <c r="A214" s="833" t="s">
        <v>154</v>
      </c>
      <c r="B214" s="1300" t="s">
        <v>585</v>
      </c>
      <c r="C214" s="1447" t="s">
        <v>1954</v>
      </c>
      <c r="D214" s="20" t="s">
        <v>164</v>
      </c>
      <c r="E214" s="246" t="s">
        <v>74</v>
      </c>
      <c r="F214" s="20" t="s">
        <v>74</v>
      </c>
      <c r="G214" s="1330">
        <v>15000</v>
      </c>
      <c r="H214" s="1467">
        <v>0</v>
      </c>
      <c r="I214" s="331">
        <v>509.16800000000001</v>
      </c>
      <c r="J214" s="143">
        <v>0</v>
      </c>
      <c r="K214" s="1333">
        <v>0</v>
      </c>
      <c r="L214" s="331">
        <v>509.16800000000001</v>
      </c>
      <c r="M214" s="143">
        <v>0</v>
      </c>
      <c r="N214" s="306">
        <v>140.602</v>
      </c>
      <c r="O214" s="840">
        <v>649.77000000000044</v>
      </c>
      <c r="P214" s="850">
        <v>0</v>
      </c>
      <c r="Q214" s="533">
        <f t="shared" si="10"/>
        <v>649.77000000000044</v>
      </c>
      <c r="R214" s="539">
        <v>14350.23</v>
      </c>
      <c r="S214" s="539">
        <v>0</v>
      </c>
      <c r="T214" s="174">
        <v>0</v>
      </c>
      <c r="U214" s="143">
        <v>0</v>
      </c>
      <c r="V214" s="155">
        <v>0</v>
      </c>
      <c r="W214" s="984">
        <v>0</v>
      </c>
      <c r="X214" s="1281">
        <v>0</v>
      </c>
      <c r="Y214" s="1281">
        <v>0</v>
      </c>
      <c r="Z214" s="1281">
        <v>0</v>
      </c>
      <c r="AA214" s="755">
        <v>0</v>
      </c>
      <c r="AB214" s="43" t="s">
        <v>84</v>
      </c>
      <c r="AC214" s="20" t="s">
        <v>11</v>
      </c>
      <c r="AD214" s="310" t="s">
        <v>190</v>
      </c>
      <c r="AE214" s="310" t="s">
        <v>91</v>
      </c>
      <c r="AF214" s="387" t="s">
        <v>100</v>
      </c>
      <c r="AG214" s="20" t="s">
        <v>217</v>
      </c>
      <c r="AH214" s="20" t="s">
        <v>971</v>
      </c>
    </row>
    <row r="215" spans="1:34" ht="25.5" outlineLevel="1" x14ac:dyDescent="0.25">
      <c r="A215" s="628" t="s">
        <v>229</v>
      </c>
      <c r="B215" s="810" t="s">
        <v>428</v>
      </c>
      <c r="C215" s="1123" t="s">
        <v>683</v>
      </c>
      <c r="D215" s="30" t="s">
        <v>282</v>
      </c>
      <c r="E215" s="827" t="s">
        <v>230</v>
      </c>
      <c r="F215" s="27" t="s">
        <v>230</v>
      </c>
      <c r="G215" s="811">
        <v>6681.6033699999998</v>
      </c>
      <c r="H215" s="524">
        <v>352.95015999999998</v>
      </c>
      <c r="I215" s="498">
        <v>5210.1478299999999</v>
      </c>
      <c r="J215" s="235">
        <v>1118.5053800000001</v>
      </c>
      <c r="K215" s="616">
        <v>0</v>
      </c>
      <c r="L215" s="498">
        <v>5210.1478299999999</v>
      </c>
      <c r="M215" s="235">
        <v>1118.5053800000001</v>
      </c>
      <c r="N215" s="105">
        <v>0</v>
      </c>
      <c r="O215" s="1621">
        <v>6328.6532100000004</v>
      </c>
      <c r="P215" s="1165">
        <v>0</v>
      </c>
      <c r="Q215" s="1622">
        <f t="shared" si="10"/>
        <v>6328.6532100000004</v>
      </c>
      <c r="R215" s="134">
        <v>0</v>
      </c>
      <c r="S215" s="134">
        <v>0</v>
      </c>
      <c r="T215" s="595">
        <v>0</v>
      </c>
      <c r="U215" s="541">
        <v>0</v>
      </c>
      <c r="V215" s="202">
        <v>0</v>
      </c>
      <c r="W215" s="139">
        <v>0</v>
      </c>
      <c r="X215" s="347">
        <v>0</v>
      </c>
      <c r="Y215" s="347">
        <v>0</v>
      </c>
      <c r="Z215" s="175">
        <v>0</v>
      </c>
      <c r="AA215" s="124">
        <v>0</v>
      </c>
      <c r="AB215" s="1046" t="s">
        <v>84</v>
      </c>
      <c r="AC215" s="678" t="s">
        <v>95</v>
      </c>
      <c r="AD215" s="26" t="s">
        <v>314</v>
      </c>
      <c r="AE215" s="26" t="s">
        <v>92</v>
      </c>
      <c r="AF215" s="171">
        <v>1</v>
      </c>
      <c r="AG215" s="26" t="s">
        <v>209</v>
      </c>
      <c r="AH215" s="26" t="s">
        <v>971</v>
      </c>
    </row>
    <row r="216" spans="1:34" ht="25.5" outlineLevel="1" x14ac:dyDescent="0.25">
      <c r="A216" s="628" t="s">
        <v>231</v>
      </c>
      <c r="B216" s="810" t="s">
        <v>586</v>
      </c>
      <c r="C216" s="1123" t="s">
        <v>246</v>
      </c>
      <c r="D216" s="30" t="s">
        <v>282</v>
      </c>
      <c r="E216" s="827" t="s">
        <v>30</v>
      </c>
      <c r="F216" s="27" t="s">
        <v>30</v>
      </c>
      <c r="G216" s="811">
        <v>968.61</v>
      </c>
      <c r="H216" s="524">
        <v>0</v>
      </c>
      <c r="I216" s="498">
        <v>968.61</v>
      </c>
      <c r="J216" s="235">
        <v>0</v>
      </c>
      <c r="K216" s="616">
        <v>0</v>
      </c>
      <c r="L216" s="498">
        <f>0+968.61</f>
        <v>968.61</v>
      </c>
      <c r="M216" s="235">
        <f>968.61-968.61</f>
        <v>0</v>
      </c>
      <c r="N216" s="105">
        <v>0</v>
      </c>
      <c r="O216" s="629">
        <v>968.6099999999999</v>
      </c>
      <c r="P216" s="1165">
        <v>0</v>
      </c>
      <c r="Q216" s="535">
        <f t="shared" si="10"/>
        <v>968.6099999999999</v>
      </c>
      <c r="R216" s="134">
        <v>0</v>
      </c>
      <c r="S216" s="134">
        <v>0</v>
      </c>
      <c r="T216" s="595">
        <v>0</v>
      </c>
      <c r="U216" s="541">
        <v>0</v>
      </c>
      <c r="V216" s="202">
        <v>0</v>
      </c>
      <c r="W216" s="139">
        <v>0</v>
      </c>
      <c r="X216" s="347">
        <v>0</v>
      </c>
      <c r="Y216" s="347">
        <v>0</v>
      </c>
      <c r="Z216" s="175">
        <v>0</v>
      </c>
      <c r="AA216" s="124">
        <v>0</v>
      </c>
      <c r="AB216" s="407" t="s">
        <v>84</v>
      </c>
      <c r="AC216" s="30" t="s">
        <v>95</v>
      </c>
      <c r="AD216" s="26" t="s">
        <v>472</v>
      </c>
      <c r="AE216" s="26" t="s">
        <v>92</v>
      </c>
      <c r="AF216" s="1547">
        <v>1</v>
      </c>
      <c r="AG216" s="26" t="s">
        <v>207</v>
      </c>
      <c r="AH216" s="26" t="s">
        <v>971</v>
      </c>
    </row>
    <row r="217" spans="1:34" ht="25.5" outlineLevel="1" x14ac:dyDescent="0.25">
      <c r="A217" s="834" t="s">
        <v>232</v>
      </c>
      <c r="B217" s="835" t="s">
        <v>519</v>
      </c>
      <c r="C217" s="1335" t="s">
        <v>247</v>
      </c>
      <c r="D217" s="93" t="s">
        <v>282</v>
      </c>
      <c r="E217" s="19" t="s">
        <v>233</v>
      </c>
      <c r="F217" s="95" t="s">
        <v>233</v>
      </c>
      <c r="G217" s="924">
        <v>204490</v>
      </c>
      <c r="H217" s="878">
        <v>166.98</v>
      </c>
      <c r="I217" s="803">
        <v>0</v>
      </c>
      <c r="J217" s="470">
        <v>0</v>
      </c>
      <c r="K217" s="877">
        <v>0</v>
      </c>
      <c r="L217" s="803">
        <v>0</v>
      </c>
      <c r="M217" s="470">
        <v>0</v>
      </c>
      <c r="N217" s="513">
        <v>0</v>
      </c>
      <c r="O217" s="844">
        <v>0</v>
      </c>
      <c r="P217" s="1121">
        <v>0</v>
      </c>
      <c r="Q217" s="613">
        <f t="shared" si="10"/>
        <v>0</v>
      </c>
      <c r="R217" s="130">
        <v>54323.02</v>
      </c>
      <c r="S217" s="130">
        <v>150000</v>
      </c>
      <c r="T217" s="752">
        <v>0</v>
      </c>
      <c r="U217" s="240">
        <v>0</v>
      </c>
      <c r="V217" s="327">
        <v>0</v>
      </c>
      <c r="W217" s="408">
        <v>0</v>
      </c>
      <c r="X217" s="1405">
        <v>0</v>
      </c>
      <c r="Y217" s="1405">
        <v>0</v>
      </c>
      <c r="Z217" s="173">
        <v>0</v>
      </c>
      <c r="AA217" s="113">
        <v>0</v>
      </c>
      <c r="AB217" s="509" t="s">
        <v>84</v>
      </c>
      <c r="AC217" s="515" t="s">
        <v>11</v>
      </c>
      <c r="AD217" s="515" t="s">
        <v>1067</v>
      </c>
      <c r="AE217" s="515" t="s">
        <v>91</v>
      </c>
      <c r="AF217" s="170">
        <v>4</v>
      </c>
      <c r="AG217" s="95" t="s">
        <v>796</v>
      </c>
      <c r="AH217" s="95" t="s">
        <v>971</v>
      </c>
    </row>
    <row r="218" spans="1:34" ht="25.5" outlineLevel="1" x14ac:dyDescent="0.25">
      <c r="A218" s="628" t="s">
        <v>234</v>
      </c>
      <c r="B218" s="810" t="s">
        <v>87</v>
      </c>
      <c r="C218" s="1123" t="s">
        <v>236</v>
      </c>
      <c r="D218" s="30" t="s">
        <v>282</v>
      </c>
      <c r="E218" s="51" t="s">
        <v>1955</v>
      </c>
      <c r="F218" s="51" t="s">
        <v>1955</v>
      </c>
      <c r="G218" s="811">
        <f>1400-1400</f>
        <v>0</v>
      </c>
      <c r="H218" s="524">
        <v>0</v>
      </c>
      <c r="I218" s="498">
        <v>0</v>
      </c>
      <c r="J218" s="235">
        <v>0</v>
      </c>
      <c r="K218" s="616">
        <v>0</v>
      </c>
      <c r="L218" s="498">
        <v>0</v>
      </c>
      <c r="M218" s="235">
        <v>0</v>
      </c>
      <c r="N218" s="105">
        <v>0</v>
      </c>
      <c r="O218" s="629">
        <v>0</v>
      </c>
      <c r="P218" s="1165">
        <v>0</v>
      </c>
      <c r="Q218" s="535">
        <f t="shared" si="10"/>
        <v>0</v>
      </c>
      <c r="R218" s="134">
        <f>1400-1400</f>
        <v>0</v>
      </c>
      <c r="S218" s="134">
        <v>0</v>
      </c>
      <c r="T218" s="595">
        <v>0</v>
      </c>
      <c r="U218" s="541">
        <v>0</v>
      </c>
      <c r="V218" s="202">
        <v>0</v>
      </c>
      <c r="W218" s="139">
        <v>0</v>
      </c>
      <c r="X218" s="347">
        <v>0</v>
      </c>
      <c r="Y218" s="347">
        <v>0</v>
      </c>
      <c r="Z218" s="175">
        <v>0</v>
      </c>
      <c r="AA218" s="124">
        <v>0</v>
      </c>
      <c r="AB218" s="30" t="s">
        <v>84</v>
      </c>
      <c r="AC218" s="27" t="s">
        <v>93</v>
      </c>
      <c r="AD218" s="26" t="s">
        <v>321</v>
      </c>
      <c r="AE218" s="26" t="s">
        <v>91</v>
      </c>
      <c r="AF218" s="171">
        <v>3</v>
      </c>
      <c r="AG218" s="27" t="s">
        <v>203</v>
      </c>
      <c r="AH218" s="27" t="s">
        <v>971</v>
      </c>
    </row>
    <row r="219" spans="1:34" ht="25.5" outlineLevel="1" x14ac:dyDescent="0.25">
      <c r="A219" s="834" t="s">
        <v>235</v>
      </c>
      <c r="B219" s="835" t="s">
        <v>429</v>
      </c>
      <c r="C219" s="1335" t="s">
        <v>249</v>
      </c>
      <c r="D219" s="93" t="s">
        <v>282</v>
      </c>
      <c r="E219" s="19" t="s">
        <v>7</v>
      </c>
      <c r="F219" s="95" t="s">
        <v>248</v>
      </c>
      <c r="G219" s="924">
        <f>25880+16305.217</f>
        <v>42185.217000000004</v>
      </c>
      <c r="H219" s="878">
        <v>1107.1500000000001</v>
      </c>
      <c r="I219" s="803">
        <v>0</v>
      </c>
      <c r="J219" s="470">
        <v>0</v>
      </c>
      <c r="K219" s="877">
        <v>0</v>
      </c>
      <c r="L219" s="803">
        <v>0</v>
      </c>
      <c r="M219" s="470">
        <v>0</v>
      </c>
      <c r="N219" s="513">
        <v>0</v>
      </c>
      <c r="O219" s="844">
        <v>0</v>
      </c>
      <c r="P219" s="1121">
        <v>0</v>
      </c>
      <c r="Q219" s="613">
        <f t="shared" si="10"/>
        <v>0</v>
      </c>
      <c r="R219" s="130">
        <v>41078.067000000003</v>
      </c>
      <c r="S219" s="130">
        <v>0</v>
      </c>
      <c r="T219" s="752">
        <v>0</v>
      </c>
      <c r="U219" s="240">
        <v>0</v>
      </c>
      <c r="V219" s="327">
        <v>0</v>
      </c>
      <c r="W219" s="408">
        <v>0</v>
      </c>
      <c r="X219" s="1405">
        <v>0</v>
      </c>
      <c r="Y219" s="1405">
        <v>0</v>
      </c>
      <c r="Z219" s="173">
        <v>0</v>
      </c>
      <c r="AA219" s="113">
        <v>0</v>
      </c>
      <c r="AB219" s="399" t="s">
        <v>84</v>
      </c>
      <c r="AC219" s="95" t="s">
        <v>11</v>
      </c>
      <c r="AD219" s="515" t="s">
        <v>1067</v>
      </c>
      <c r="AE219" s="515" t="s">
        <v>91</v>
      </c>
      <c r="AF219" s="170">
        <v>3</v>
      </c>
      <c r="AG219" s="95" t="s">
        <v>216</v>
      </c>
      <c r="AH219" s="95" t="s">
        <v>971</v>
      </c>
    </row>
    <row r="220" spans="1:34" ht="26.25" outlineLevel="1" thickBot="1" x14ac:dyDescent="0.3">
      <c r="A220" s="450" t="s">
        <v>237</v>
      </c>
      <c r="B220" s="836" t="s">
        <v>430</v>
      </c>
      <c r="C220" s="1336" t="s">
        <v>1225</v>
      </c>
      <c r="D220" s="93" t="s">
        <v>282</v>
      </c>
      <c r="E220" s="88" t="s">
        <v>24</v>
      </c>
      <c r="F220" s="98" t="s">
        <v>24</v>
      </c>
      <c r="G220" s="1302">
        <v>13960</v>
      </c>
      <c r="H220" s="882">
        <v>665.5</v>
      </c>
      <c r="I220" s="870">
        <v>0</v>
      </c>
      <c r="J220" s="880">
        <v>0</v>
      </c>
      <c r="K220" s="881">
        <v>0</v>
      </c>
      <c r="L220" s="870">
        <v>0</v>
      </c>
      <c r="M220" s="880">
        <v>0</v>
      </c>
      <c r="N220" s="217">
        <v>0</v>
      </c>
      <c r="O220" s="845">
        <v>0</v>
      </c>
      <c r="P220" s="981">
        <v>0</v>
      </c>
      <c r="Q220" s="531">
        <f t="shared" si="10"/>
        <v>0</v>
      </c>
      <c r="R220" s="129">
        <v>13294.5</v>
      </c>
      <c r="S220" s="129">
        <v>0</v>
      </c>
      <c r="T220" s="1288">
        <v>0</v>
      </c>
      <c r="U220" s="542">
        <v>0</v>
      </c>
      <c r="V220" s="684">
        <v>0</v>
      </c>
      <c r="W220" s="409">
        <v>0</v>
      </c>
      <c r="X220" s="1468">
        <v>0</v>
      </c>
      <c r="Y220" s="1468">
        <v>0</v>
      </c>
      <c r="Z220" s="176">
        <v>0</v>
      </c>
      <c r="AA220" s="232">
        <v>0</v>
      </c>
      <c r="AB220" s="58" t="s">
        <v>84</v>
      </c>
      <c r="AC220" s="95" t="s">
        <v>9</v>
      </c>
      <c r="AD220" s="58" t="s">
        <v>190</v>
      </c>
      <c r="AE220" s="58" t="s">
        <v>91</v>
      </c>
      <c r="AF220" s="193">
        <v>3</v>
      </c>
      <c r="AG220" s="98" t="s">
        <v>217</v>
      </c>
      <c r="AH220" s="98" t="s">
        <v>971</v>
      </c>
    </row>
    <row r="221" spans="1:34" ht="26.25" outlineLevel="1" thickBot="1" x14ac:dyDescent="0.3">
      <c r="A221" s="1300" t="s">
        <v>288</v>
      </c>
      <c r="B221" s="1300" t="s">
        <v>431</v>
      </c>
      <c r="C221" s="1447" t="s">
        <v>290</v>
      </c>
      <c r="D221" s="20" t="s">
        <v>1612</v>
      </c>
      <c r="E221" s="159" t="s">
        <v>289</v>
      </c>
      <c r="F221" s="20" t="s">
        <v>289</v>
      </c>
      <c r="G221" s="1330">
        <v>54890.041859999998</v>
      </c>
      <c r="H221" s="1290">
        <v>500</v>
      </c>
      <c r="I221" s="867">
        <v>99.745800000000003</v>
      </c>
      <c r="J221" s="868">
        <v>3169.3254200000001</v>
      </c>
      <c r="K221" s="869">
        <v>8653.2634799999996</v>
      </c>
      <c r="L221" s="867">
        <f>5000-4900.2542</f>
        <v>99.74579999999969</v>
      </c>
      <c r="M221" s="868">
        <f>10000+4900.2542-11730.92878</f>
        <v>3169.3254199999992</v>
      </c>
      <c r="N221" s="819">
        <f>29390.04186+11730.92878</f>
        <v>41120.97064</v>
      </c>
      <c r="O221" s="1301">
        <v>44390.041859999903</v>
      </c>
      <c r="P221" s="1255">
        <v>0</v>
      </c>
      <c r="Q221" s="533">
        <f t="shared" si="10"/>
        <v>44390.041859999903</v>
      </c>
      <c r="R221" s="539">
        <v>10000</v>
      </c>
      <c r="S221" s="539">
        <v>0</v>
      </c>
      <c r="T221" s="1281">
        <v>0</v>
      </c>
      <c r="U221" s="1082">
        <v>0</v>
      </c>
      <c r="V221" s="1299">
        <v>0</v>
      </c>
      <c r="W221" s="984">
        <v>0</v>
      </c>
      <c r="X221" s="1281">
        <v>0</v>
      </c>
      <c r="Y221" s="1281">
        <v>0</v>
      </c>
      <c r="Z221" s="1281">
        <v>0</v>
      </c>
      <c r="AA221" s="1299">
        <v>0</v>
      </c>
      <c r="AB221" s="43" t="s">
        <v>1357</v>
      </c>
      <c r="AC221" s="20" t="s">
        <v>13</v>
      </c>
      <c r="AD221" s="387" t="s">
        <v>1067</v>
      </c>
      <c r="AE221" s="387" t="s">
        <v>92</v>
      </c>
      <c r="AF221" s="1144" t="s">
        <v>102</v>
      </c>
      <c r="AG221" s="20" t="s">
        <v>204</v>
      </c>
      <c r="AH221" s="20" t="s">
        <v>974</v>
      </c>
    </row>
    <row r="222" spans="1:34" ht="39" outlineLevel="1" thickBot="1" x14ac:dyDescent="0.3">
      <c r="A222" s="150" t="s">
        <v>345</v>
      </c>
      <c r="B222" s="1377" t="s">
        <v>432</v>
      </c>
      <c r="C222" s="1150" t="s">
        <v>346</v>
      </c>
      <c r="D222" s="151" t="s">
        <v>1609</v>
      </c>
      <c r="E222" s="169" t="s">
        <v>25</v>
      </c>
      <c r="F222" s="151" t="s">
        <v>25</v>
      </c>
      <c r="G222" s="1403">
        <v>1036.28514</v>
      </c>
      <c r="H222" s="1481">
        <v>729.79214000000002</v>
      </c>
      <c r="I222" s="490">
        <v>306.49299999999999</v>
      </c>
      <c r="J222" s="475">
        <v>0</v>
      </c>
      <c r="K222" s="1219">
        <v>0</v>
      </c>
      <c r="L222" s="490">
        <v>306.49299999999999</v>
      </c>
      <c r="M222" s="475">
        <f>550-550</f>
        <v>0</v>
      </c>
      <c r="N222" s="459">
        <v>0</v>
      </c>
      <c r="O222" s="847">
        <v>306.49299999999999</v>
      </c>
      <c r="P222" s="1482">
        <v>0</v>
      </c>
      <c r="Q222" s="537">
        <f t="shared" si="10"/>
        <v>306.49299999999999</v>
      </c>
      <c r="R222" s="690">
        <v>0</v>
      </c>
      <c r="S222" s="690">
        <v>0</v>
      </c>
      <c r="T222" s="888">
        <v>0</v>
      </c>
      <c r="U222" s="633">
        <v>0</v>
      </c>
      <c r="V222" s="1483">
        <v>0</v>
      </c>
      <c r="W222" s="887">
        <v>0</v>
      </c>
      <c r="X222" s="888">
        <v>0</v>
      </c>
      <c r="Y222" s="888">
        <v>0</v>
      </c>
      <c r="Z222" s="888">
        <v>0</v>
      </c>
      <c r="AA222" s="1483">
        <v>0</v>
      </c>
      <c r="AB222" s="178" t="s">
        <v>84</v>
      </c>
      <c r="AC222" s="177" t="s">
        <v>95</v>
      </c>
      <c r="AD222" s="192" t="s">
        <v>472</v>
      </c>
      <c r="AE222" s="178" t="s">
        <v>92</v>
      </c>
      <c r="AF222" s="153" t="s">
        <v>101</v>
      </c>
      <c r="AG222" s="151" t="s">
        <v>209</v>
      </c>
      <c r="AH222" s="151" t="s">
        <v>971</v>
      </c>
    </row>
    <row r="223" spans="1:34" ht="25.5" outlineLevel="1" x14ac:dyDescent="0.25">
      <c r="A223" s="1803" t="s">
        <v>360</v>
      </c>
      <c r="B223" s="2356" t="s">
        <v>521</v>
      </c>
      <c r="C223" s="1685" t="s">
        <v>684</v>
      </c>
      <c r="D223" s="219" t="s">
        <v>1615</v>
      </c>
      <c r="E223" s="255" t="s">
        <v>361</v>
      </c>
      <c r="F223" s="219" t="s">
        <v>361</v>
      </c>
      <c r="G223" s="1806">
        <v>18000</v>
      </c>
      <c r="H223" s="467">
        <v>0</v>
      </c>
      <c r="I223" s="2136">
        <v>1835.6115299999999</v>
      </c>
      <c r="J223" s="1846">
        <v>4622.6602199999998</v>
      </c>
      <c r="K223" s="2245">
        <v>4065.0484400000005</v>
      </c>
      <c r="L223" s="2136">
        <f>4000-2164.38847</f>
        <v>1835.6115300000001</v>
      </c>
      <c r="M223" s="1846">
        <f>3000+2164.38847-541.72825</f>
        <v>4622.6602199999998</v>
      </c>
      <c r="N223" s="2612">
        <f>7000+541.72825</f>
        <v>7541.7282500000001</v>
      </c>
      <c r="O223" s="2357">
        <v>18000</v>
      </c>
      <c r="P223" s="2704">
        <v>-4000</v>
      </c>
      <c r="Q223" s="1692">
        <f t="shared" si="10"/>
        <v>14000</v>
      </c>
      <c r="R223" s="2357">
        <v>4000</v>
      </c>
      <c r="S223" s="2357">
        <v>0</v>
      </c>
      <c r="T223" s="1816">
        <v>0</v>
      </c>
      <c r="U223" s="1809">
        <v>0</v>
      </c>
      <c r="V223" s="2358">
        <v>0</v>
      </c>
      <c r="W223" s="1808">
        <v>0</v>
      </c>
      <c r="X223" s="1816">
        <v>0</v>
      </c>
      <c r="Y223" s="1816">
        <v>0</v>
      </c>
      <c r="Z223" s="1816">
        <v>0</v>
      </c>
      <c r="AA223" s="2358">
        <v>0</v>
      </c>
      <c r="AB223" s="219" t="s">
        <v>1956</v>
      </c>
      <c r="AC223" s="219" t="s">
        <v>13</v>
      </c>
      <c r="AD223" s="2359" t="s">
        <v>1067</v>
      </c>
      <c r="AE223" s="2359" t="s">
        <v>92</v>
      </c>
      <c r="AF223" s="379" t="s">
        <v>102</v>
      </c>
      <c r="AG223" s="219" t="s">
        <v>214</v>
      </c>
      <c r="AH223" s="219" t="s">
        <v>974</v>
      </c>
    </row>
    <row r="224" spans="1:34" ht="26.25" outlineLevel="1" thickBot="1" x14ac:dyDescent="0.3">
      <c r="A224" s="2001" t="s">
        <v>522</v>
      </c>
      <c r="B224" s="2360" t="s">
        <v>721</v>
      </c>
      <c r="C224" s="2124" t="s">
        <v>587</v>
      </c>
      <c r="D224" s="427" t="s">
        <v>1616</v>
      </c>
      <c r="E224" s="422" t="s">
        <v>536</v>
      </c>
      <c r="F224" s="427" t="s">
        <v>536</v>
      </c>
      <c r="G224" s="2361">
        <v>4000</v>
      </c>
      <c r="H224" s="1992">
        <v>238</v>
      </c>
      <c r="I224" s="1994">
        <v>0</v>
      </c>
      <c r="J224" s="1990">
        <v>0</v>
      </c>
      <c r="K224" s="2362">
        <v>0</v>
      </c>
      <c r="L224" s="1994">
        <v>0</v>
      </c>
      <c r="M224" s="1990">
        <v>0</v>
      </c>
      <c r="N224" s="1995">
        <v>262</v>
      </c>
      <c r="O224" s="2363">
        <v>762</v>
      </c>
      <c r="P224" s="2705">
        <v>-500</v>
      </c>
      <c r="Q224" s="1993">
        <f t="shared" si="10"/>
        <v>262</v>
      </c>
      <c r="R224" s="2363">
        <v>3500</v>
      </c>
      <c r="S224" s="2363">
        <v>0</v>
      </c>
      <c r="T224" s="2364">
        <v>0</v>
      </c>
      <c r="U224" s="2365">
        <v>0</v>
      </c>
      <c r="V224" s="2366">
        <v>0</v>
      </c>
      <c r="W224" s="2367">
        <v>0</v>
      </c>
      <c r="X224" s="2364">
        <v>0</v>
      </c>
      <c r="Y224" s="2364">
        <v>0</v>
      </c>
      <c r="Z224" s="2364">
        <v>0</v>
      </c>
      <c r="AA224" s="2368">
        <v>0</v>
      </c>
      <c r="AB224" s="427" t="s">
        <v>1992</v>
      </c>
      <c r="AC224" s="427" t="s">
        <v>11</v>
      </c>
      <c r="AD224" s="2369" t="s">
        <v>190</v>
      </c>
      <c r="AE224" s="2369" t="s">
        <v>91</v>
      </c>
      <c r="AF224" s="570" t="s">
        <v>100</v>
      </c>
      <c r="AG224" s="427" t="s">
        <v>218</v>
      </c>
      <c r="AH224" s="427" t="s">
        <v>974</v>
      </c>
    </row>
    <row r="225" spans="1:34" ht="25.5" outlineLevel="1" x14ac:dyDescent="0.25">
      <c r="A225" s="831" t="s">
        <v>588</v>
      </c>
      <c r="B225" s="834" t="s">
        <v>685</v>
      </c>
      <c r="C225" s="1334" t="s">
        <v>589</v>
      </c>
      <c r="D225" s="93" t="s">
        <v>1498</v>
      </c>
      <c r="E225" s="94" t="s">
        <v>22</v>
      </c>
      <c r="F225" s="93" t="s">
        <v>22</v>
      </c>
      <c r="G225" s="895">
        <v>3100</v>
      </c>
      <c r="H225" s="476">
        <v>175.14749999999998</v>
      </c>
      <c r="I225" s="864">
        <v>273.22581000000002</v>
      </c>
      <c r="J225" s="319">
        <v>0</v>
      </c>
      <c r="K225" s="968">
        <v>0</v>
      </c>
      <c r="L225" s="864">
        <v>273.22581000000002</v>
      </c>
      <c r="M225" s="319">
        <v>0</v>
      </c>
      <c r="N225" s="500">
        <v>432.22282999999999</v>
      </c>
      <c r="O225" s="843">
        <v>705.44864000000007</v>
      </c>
      <c r="P225" s="854">
        <v>0</v>
      </c>
      <c r="Q225" s="612">
        <f t="shared" si="10"/>
        <v>705.44864000000007</v>
      </c>
      <c r="R225" s="451">
        <v>0</v>
      </c>
      <c r="S225" s="205">
        <v>0</v>
      </c>
      <c r="T225" s="1430">
        <f>1085.975+1133.42886</f>
        <v>2219.4038599999999</v>
      </c>
      <c r="U225" s="452">
        <v>0</v>
      </c>
      <c r="V225" s="1107">
        <v>0</v>
      </c>
      <c r="W225" s="451">
        <v>0</v>
      </c>
      <c r="X225" s="893">
        <v>0</v>
      </c>
      <c r="Y225" s="452">
        <v>0</v>
      </c>
      <c r="Z225" s="452">
        <v>0</v>
      </c>
      <c r="AA225" s="1107">
        <v>0</v>
      </c>
      <c r="AB225" s="501" t="s">
        <v>84</v>
      </c>
      <c r="AC225" s="95" t="s">
        <v>13</v>
      </c>
      <c r="AD225" s="1273" t="s">
        <v>190</v>
      </c>
      <c r="AE225" s="1273" t="s">
        <v>92</v>
      </c>
      <c r="AF225" s="484" t="s">
        <v>101</v>
      </c>
      <c r="AG225" s="93" t="s">
        <v>206</v>
      </c>
      <c r="AH225" s="93" t="s">
        <v>974</v>
      </c>
    </row>
    <row r="226" spans="1:34" ht="31.5" outlineLevel="1" x14ac:dyDescent="0.25">
      <c r="A226" s="1683" t="s">
        <v>590</v>
      </c>
      <c r="B226" s="1893" t="s">
        <v>686</v>
      </c>
      <c r="C226" s="1685" t="s">
        <v>591</v>
      </c>
      <c r="D226" s="219" t="s">
        <v>1498</v>
      </c>
      <c r="E226" s="196" t="s">
        <v>22</v>
      </c>
      <c r="F226" s="220" t="s">
        <v>22</v>
      </c>
      <c r="G226" s="2370">
        <v>4000</v>
      </c>
      <c r="H226" s="2326">
        <v>0</v>
      </c>
      <c r="I226" s="1693">
        <v>0</v>
      </c>
      <c r="J226" s="1728">
        <v>0</v>
      </c>
      <c r="K226" s="2247">
        <v>0</v>
      </c>
      <c r="L226" s="1693">
        <v>0</v>
      </c>
      <c r="M226" s="1728">
        <v>0</v>
      </c>
      <c r="N226" s="1696">
        <v>760</v>
      </c>
      <c r="O226" s="357">
        <v>4000</v>
      </c>
      <c r="P226" s="2706">
        <v>-3240</v>
      </c>
      <c r="Q226" s="1692">
        <f t="shared" si="10"/>
        <v>760</v>
      </c>
      <c r="R226" s="1808">
        <v>3240</v>
      </c>
      <c r="S226" s="2357">
        <v>0</v>
      </c>
      <c r="T226" s="2358">
        <v>0</v>
      </c>
      <c r="U226" s="571">
        <v>0</v>
      </c>
      <c r="V226" s="1898">
        <v>0</v>
      </c>
      <c r="W226" s="1808">
        <v>0</v>
      </c>
      <c r="X226" s="1897">
        <v>0</v>
      </c>
      <c r="Y226" s="571">
        <v>0</v>
      </c>
      <c r="Z226" s="571">
        <v>0</v>
      </c>
      <c r="AA226" s="1898">
        <v>0</v>
      </c>
      <c r="AB226" s="468" t="s">
        <v>1958</v>
      </c>
      <c r="AC226" s="2371" t="s">
        <v>11</v>
      </c>
      <c r="AD226" s="2359" t="s">
        <v>190</v>
      </c>
      <c r="AE226" s="2162" t="s">
        <v>91</v>
      </c>
      <c r="AF226" s="252" t="s">
        <v>100</v>
      </c>
      <c r="AG226" s="220" t="s">
        <v>206</v>
      </c>
      <c r="AH226" s="220" t="s">
        <v>974</v>
      </c>
    </row>
    <row r="227" spans="1:34" ht="31.5" outlineLevel="1" x14ac:dyDescent="0.25">
      <c r="A227" s="831" t="s">
        <v>592</v>
      </c>
      <c r="B227" s="834" t="s">
        <v>687</v>
      </c>
      <c r="C227" s="1092" t="s">
        <v>594</v>
      </c>
      <c r="D227" s="93" t="s">
        <v>1498</v>
      </c>
      <c r="E227" s="94" t="s">
        <v>76</v>
      </c>
      <c r="F227" s="36" t="s">
        <v>76</v>
      </c>
      <c r="G227" s="895">
        <f>8429.947+2200</f>
        <v>10629.947</v>
      </c>
      <c r="H227" s="878">
        <v>30</v>
      </c>
      <c r="I227" s="803">
        <v>120</v>
      </c>
      <c r="J227" s="470">
        <v>40</v>
      </c>
      <c r="K227" s="877">
        <v>2396.2456000000002</v>
      </c>
      <c r="L227" s="803">
        <f>0+120</f>
        <v>120</v>
      </c>
      <c r="M227" s="470">
        <v>40</v>
      </c>
      <c r="N227" s="500">
        <v>10439.947</v>
      </c>
      <c r="O227" s="844">
        <v>10599.947</v>
      </c>
      <c r="P227" s="855">
        <v>0</v>
      </c>
      <c r="Q227" s="613">
        <f t="shared" si="10"/>
        <v>10599.947</v>
      </c>
      <c r="R227" s="451">
        <v>0</v>
      </c>
      <c r="S227" s="205">
        <v>0</v>
      </c>
      <c r="T227" s="229">
        <v>0</v>
      </c>
      <c r="U227" s="240">
        <v>0</v>
      </c>
      <c r="V227" s="950">
        <v>0</v>
      </c>
      <c r="W227" s="451">
        <v>0</v>
      </c>
      <c r="X227" s="752">
        <v>0</v>
      </c>
      <c r="Y227" s="240">
        <v>0</v>
      </c>
      <c r="Z227" s="240">
        <v>0</v>
      </c>
      <c r="AA227" s="950">
        <v>0</v>
      </c>
      <c r="AB227" s="509" t="s">
        <v>84</v>
      </c>
      <c r="AC227" s="2372" t="s">
        <v>13</v>
      </c>
      <c r="AD227" s="1273" t="s">
        <v>190</v>
      </c>
      <c r="AE227" s="1273" t="s">
        <v>92</v>
      </c>
      <c r="AF227" s="484" t="s">
        <v>102</v>
      </c>
      <c r="AG227" s="93" t="s">
        <v>212</v>
      </c>
      <c r="AH227" s="93" t="s">
        <v>971</v>
      </c>
    </row>
    <row r="228" spans="1:34" ht="31.5" outlineLevel="1" x14ac:dyDescent="0.25">
      <c r="A228" s="72" t="s">
        <v>593</v>
      </c>
      <c r="B228" s="628" t="s">
        <v>688</v>
      </c>
      <c r="C228" s="1224" t="s">
        <v>1315</v>
      </c>
      <c r="D228" s="30" t="s">
        <v>1498</v>
      </c>
      <c r="E228" s="278" t="s">
        <v>1316</v>
      </c>
      <c r="F228" s="278" t="s">
        <v>75</v>
      </c>
      <c r="G228" s="374">
        <v>10000</v>
      </c>
      <c r="H228" s="524">
        <v>0</v>
      </c>
      <c r="I228" s="498">
        <v>0</v>
      </c>
      <c r="J228" s="235">
        <v>10000</v>
      </c>
      <c r="K228" s="616">
        <v>0</v>
      </c>
      <c r="L228" s="498">
        <v>0</v>
      </c>
      <c r="M228" s="472">
        <v>10000</v>
      </c>
      <c r="N228" s="279">
        <v>0</v>
      </c>
      <c r="O228" s="985">
        <v>10000</v>
      </c>
      <c r="P228" s="1164">
        <v>0</v>
      </c>
      <c r="Q228" s="535">
        <f t="shared" si="10"/>
        <v>10000</v>
      </c>
      <c r="R228" s="561">
        <v>0</v>
      </c>
      <c r="S228" s="431">
        <v>0</v>
      </c>
      <c r="T228" s="462">
        <v>0</v>
      </c>
      <c r="U228" s="541">
        <v>0</v>
      </c>
      <c r="V228" s="1196">
        <v>0</v>
      </c>
      <c r="W228" s="561">
        <v>0</v>
      </c>
      <c r="X228" s="595">
        <v>0</v>
      </c>
      <c r="Y228" s="541">
        <v>0</v>
      </c>
      <c r="Z228" s="541">
        <v>0</v>
      </c>
      <c r="AA228" s="1196">
        <v>0</v>
      </c>
      <c r="AB228" s="407" t="s">
        <v>1324</v>
      </c>
      <c r="AC228" s="30" t="s">
        <v>95</v>
      </c>
      <c r="AD228" s="282" t="s">
        <v>321</v>
      </c>
      <c r="AE228" s="282" t="s">
        <v>91</v>
      </c>
      <c r="AF228" s="228" t="s">
        <v>102</v>
      </c>
      <c r="AG228" s="30" t="s">
        <v>217</v>
      </c>
      <c r="AH228" s="30" t="s">
        <v>971</v>
      </c>
    </row>
    <row r="229" spans="1:34" ht="31.5" outlineLevel="1" x14ac:dyDescent="0.25">
      <c r="A229" s="802" t="s">
        <v>595</v>
      </c>
      <c r="B229" s="835" t="s">
        <v>689</v>
      </c>
      <c r="C229" s="1334" t="s">
        <v>1359</v>
      </c>
      <c r="D229" s="93" t="s">
        <v>1498</v>
      </c>
      <c r="E229" s="19" t="s">
        <v>73</v>
      </c>
      <c r="F229" s="481" t="s">
        <v>73</v>
      </c>
      <c r="G229" s="924">
        <v>2500</v>
      </c>
      <c r="H229" s="878">
        <v>0</v>
      </c>
      <c r="I229" s="803">
        <v>0</v>
      </c>
      <c r="J229" s="470">
        <v>0</v>
      </c>
      <c r="K229" s="877">
        <v>0</v>
      </c>
      <c r="L229" s="878">
        <v>0</v>
      </c>
      <c r="M229" s="470">
        <v>0</v>
      </c>
      <c r="N229" s="513">
        <v>2500</v>
      </c>
      <c r="O229" s="844">
        <v>2500</v>
      </c>
      <c r="P229" s="1121">
        <v>0</v>
      </c>
      <c r="Q229" s="613">
        <f t="shared" si="10"/>
        <v>2500</v>
      </c>
      <c r="R229" s="411">
        <v>0</v>
      </c>
      <c r="S229" s="130">
        <v>0</v>
      </c>
      <c r="T229" s="327">
        <v>0</v>
      </c>
      <c r="U229" s="240">
        <v>0</v>
      </c>
      <c r="V229" s="950">
        <v>0</v>
      </c>
      <c r="W229" s="411">
        <v>0</v>
      </c>
      <c r="X229" s="752">
        <v>0</v>
      </c>
      <c r="Y229" s="240">
        <v>0</v>
      </c>
      <c r="Z229" s="240">
        <v>0</v>
      </c>
      <c r="AA229" s="950">
        <v>0</v>
      </c>
      <c r="AB229" s="509" t="s">
        <v>84</v>
      </c>
      <c r="AC229" s="1484" t="s">
        <v>11</v>
      </c>
      <c r="AD229" s="789" t="s">
        <v>190</v>
      </c>
      <c r="AE229" s="685" t="s">
        <v>91</v>
      </c>
      <c r="AF229" s="515" t="s">
        <v>102</v>
      </c>
      <c r="AG229" s="95" t="s">
        <v>217</v>
      </c>
      <c r="AH229" s="95" t="s">
        <v>971</v>
      </c>
    </row>
    <row r="230" spans="1:34" ht="30.75" outlineLevel="1" thickBot="1" x14ac:dyDescent="0.3">
      <c r="A230" s="2632" t="s">
        <v>596</v>
      </c>
      <c r="B230" s="2633" t="s">
        <v>690</v>
      </c>
      <c r="C230" s="2634" t="s">
        <v>1360</v>
      </c>
      <c r="D230" s="2635" t="s">
        <v>1498</v>
      </c>
      <c r="E230" s="623" t="s">
        <v>77</v>
      </c>
      <c r="F230" s="1178" t="s">
        <v>77</v>
      </c>
      <c r="G230" s="2636">
        <v>25000</v>
      </c>
      <c r="H230" s="2637">
        <v>63</v>
      </c>
      <c r="I230" s="2638">
        <v>0</v>
      </c>
      <c r="J230" s="2639">
        <v>0</v>
      </c>
      <c r="K230" s="2640">
        <v>0</v>
      </c>
      <c r="L230" s="2637">
        <v>0</v>
      </c>
      <c r="M230" s="2639">
        <f>4000-4000</f>
        <v>0</v>
      </c>
      <c r="N230" s="2641">
        <f>13937+4000-17000</f>
        <v>937</v>
      </c>
      <c r="O230" s="2642">
        <v>17937</v>
      </c>
      <c r="P230" s="2707">
        <v>-17000</v>
      </c>
      <c r="Q230" s="2643">
        <f t="shared" si="10"/>
        <v>937</v>
      </c>
      <c r="R230" s="2644">
        <v>24000</v>
      </c>
      <c r="S230" s="2642">
        <v>0</v>
      </c>
      <c r="T230" s="2645">
        <v>0</v>
      </c>
      <c r="U230" s="2646">
        <v>0</v>
      </c>
      <c r="V230" s="2647">
        <v>0</v>
      </c>
      <c r="W230" s="2644">
        <v>0</v>
      </c>
      <c r="X230" s="2648">
        <v>0</v>
      </c>
      <c r="Y230" s="2646">
        <v>0</v>
      </c>
      <c r="Z230" s="2646">
        <v>0</v>
      </c>
      <c r="AA230" s="2647">
        <v>0</v>
      </c>
      <c r="AB230" s="1178" t="s">
        <v>2052</v>
      </c>
      <c r="AC230" s="1141" t="s">
        <v>11</v>
      </c>
      <c r="AD230" s="624" t="s">
        <v>190</v>
      </c>
      <c r="AE230" s="624" t="s">
        <v>91</v>
      </c>
      <c r="AF230" s="624" t="s">
        <v>100</v>
      </c>
      <c r="AG230" s="1178" t="s">
        <v>205</v>
      </c>
      <c r="AH230" s="1178" t="s">
        <v>971</v>
      </c>
    </row>
    <row r="231" spans="1:34" ht="25.5" outlineLevel="1" x14ac:dyDescent="0.25">
      <c r="A231" s="831" t="s">
        <v>691</v>
      </c>
      <c r="B231" s="834" t="s">
        <v>722</v>
      </c>
      <c r="C231" s="1334" t="s">
        <v>1068</v>
      </c>
      <c r="D231" s="93" t="s">
        <v>1617</v>
      </c>
      <c r="E231" s="94" t="s">
        <v>692</v>
      </c>
      <c r="F231" s="93" t="s">
        <v>692</v>
      </c>
      <c r="G231" s="1456">
        <v>29324</v>
      </c>
      <c r="H231" s="476">
        <v>0</v>
      </c>
      <c r="I231" s="864">
        <v>658.24</v>
      </c>
      <c r="J231" s="319">
        <v>0</v>
      </c>
      <c r="K231" s="968">
        <v>0</v>
      </c>
      <c r="L231" s="476">
        <f>0+658.24</f>
        <v>658.24</v>
      </c>
      <c r="M231" s="319">
        <f>2662-658.24-2003.76</f>
        <v>0</v>
      </c>
      <c r="N231" s="500">
        <f>7000+2003.76</f>
        <v>9003.76</v>
      </c>
      <c r="O231" s="843">
        <v>9662</v>
      </c>
      <c r="P231" s="1443">
        <v>0</v>
      </c>
      <c r="Q231" s="612">
        <f t="shared" si="10"/>
        <v>9662</v>
      </c>
      <c r="R231" s="444">
        <v>19662</v>
      </c>
      <c r="S231" s="205">
        <v>0</v>
      </c>
      <c r="T231" s="229">
        <v>0</v>
      </c>
      <c r="U231" s="452">
        <v>0</v>
      </c>
      <c r="V231" s="229">
        <v>0</v>
      </c>
      <c r="W231" s="451">
        <v>0</v>
      </c>
      <c r="X231" s="893">
        <v>0</v>
      </c>
      <c r="Y231" s="893">
        <v>0</v>
      </c>
      <c r="Z231" s="893">
        <v>0</v>
      </c>
      <c r="AA231" s="756">
        <v>0</v>
      </c>
      <c r="AB231" s="93" t="s">
        <v>84</v>
      </c>
      <c r="AC231" s="95" t="s">
        <v>11</v>
      </c>
      <c r="AD231" s="1273" t="s">
        <v>190</v>
      </c>
      <c r="AE231" s="45" t="s">
        <v>91</v>
      </c>
      <c r="AF231" s="484" t="s">
        <v>100</v>
      </c>
      <c r="AG231" s="93" t="s">
        <v>208</v>
      </c>
      <c r="AH231" s="93" t="s">
        <v>971</v>
      </c>
    </row>
    <row r="232" spans="1:34" ht="31.5" outlineLevel="1" x14ac:dyDescent="0.25">
      <c r="A232" s="1803" t="s">
        <v>693</v>
      </c>
      <c r="B232" s="1893" t="s">
        <v>724</v>
      </c>
      <c r="C232" s="2113" t="s">
        <v>694</v>
      </c>
      <c r="D232" s="220" t="s">
        <v>723</v>
      </c>
      <c r="E232" s="196" t="s">
        <v>33</v>
      </c>
      <c r="F232" s="220" t="s">
        <v>33</v>
      </c>
      <c r="G232" s="1806">
        <v>108900</v>
      </c>
      <c r="H232" s="467">
        <v>0</v>
      </c>
      <c r="I232" s="2136">
        <v>0</v>
      </c>
      <c r="J232" s="1846">
        <v>0</v>
      </c>
      <c r="K232" s="2245">
        <v>0</v>
      </c>
      <c r="L232" s="467">
        <v>0</v>
      </c>
      <c r="M232" s="1846">
        <f>500-500</f>
        <v>0</v>
      </c>
      <c r="N232" s="2138">
        <f>212+500</f>
        <v>712</v>
      </c>
      <c r="O232" s="357">
        <v>3712</v>
      </c>
      <c r="P232" s="2706">
        <v>-3000</v>
      </c>
      <c r="Q232" s="1692">
        <f t="shared" si="10"/>
        <v>712</v>
      </c>
      <c r="R232" s="1807">
        <v>58188</v>
      </c>
      <c r="S232" s="2357">
        <v>50000</v>
      </c>
      <c r="T232" s="2358">
        <v>0</v>
      </c>
      <c r="U232" s="1809">
        <v>0</v>
      </c>
      <c r="V232" s="2358">
        <v>0</v>
      </c>
      <c r="W232" s="1808">
        <v>0</v>
      </c>
      <c r="X232" s="1816">
        <v>0</v>
      </c>
      <c r="Y232" s="1816">
        <v>0</v>
      </c>
      <c r="Z232" s="1816">
        <v>0</v>
      </c>
      <c r="AA232" s="1817">
        <v>0</v>
      </c>
      <c r="AB232" s="525" t="s">
        <v>1959</v>
      </c>
      <c r="AC232" s="219" t="s">
        <v>9</v>
      </c>
      <c r="AD232" s="2359" t="s">
        <v>190</v>
      </c>
      <c r="AE232" s="2359" t="s">
        <v>91</v>
      </c>
      <c r="AF232" s="379" t="s">
        <v>100</v>
      </c>
      <c r="AG232" s="219" t="s">
        <v>211</v>
      </c>
      <c r="AH232" s="219" t="s">
        <v>974</v>
      </c>
    </row>
    <row r="233" spans="1:34" ht="25.5" outlineLevel="1" x14ac:dyDescent="0.25">
      <c r="A233" s="802" t="s">
        <v>695</v>
      </c>
      <c r="B233" s="835" t="s">
        <v>725</v>
      </c>
      <c r="C233" s="1335" t="s">
        <v>696</v>
      </c>
      <c r="D233" s="95" t="s">
        <v>1617</v>
      </c>
      <c r="E233" s="19" t="s">
        <v>697</v>
      </c>
      <c r="F233" s="95" t="s">
        <v>697</v>
      </c>
      <c r="G233" s="924">
        <v>30000</v>
      </c>
      <c r="H233" s="878">
        <v>0</v>
      </c>
      <c r="I233" s="803">
        <v>0</v>
      </c>
      <c r="J233" s="470">
        <v>0</v>
      </c>
      <c r="K233" s="877">
        <v>0</v>
      </c>
      <c r="L233" s="878">
        <v>0</v>
      </c>
      <c r="M233" s="470">
        <f>302.5-302.5</f>
        <v>0</v>
      </c>
      <c r="N233" s="513">
        <f>3000+302.5</f>
        <v>3302.5</v>
      </c>
      <c r="O233" s="844">
        <v>3302.5</v>
      </c>
      <c r="P233" s="1121">
        <v>0</v>
      </c>
      <c r="Q233" s="613">
        <f t="shared" si="10"/>
        <v>3302.5</v>
      </c>
      <c r="R233" s="461">
        <v>26697.5</v>
      </c>
      <c r="S233" s="130">
        <v>0</v>
      </c>
      <c r="T233" s="327">
        <v>0</v>
      </c>
      <c r="U233" s="240">
        <v>0</v>
      </c>
      <c r="V233" s="327">
        <v>0</v>
      </c>
      <c r="W233" s="411">
        <v>0</v>
      </c>
      <c r="X233" s="752">
        <v>0</v>
      </c>
      <c r="Y233" s="752">
        <v>0</v>
      </c>
      <c r="Z233" s="752">
        <v>0</v>
      </c>
      <c r="AA233" s="135">
        <v>0</v>
      </c>
      <c r="AB233" s="95" t="s">
        <v>84</v>
      </c>
      <c r="AC233" s="95" t="s">
        <v>11</v>
      </c>
      <c r="AD233" s="1273" t="s">
        <v>190</v>
      </c>
      <c r="AE233" s="685" t="s">
        <v>91</v>
      </c>
      <c r="AF233" s="515" t="s">
        <v>100</v>
      </c>
      <c r="AG233" s="95" t="s">
        <v>204</v>
      </c>
      <c r="AH233" s="95" t="s">
        <v>974</v>
      </c>
    </row>
    <row r="234" spans="1:34" ht="25.5" outlineLevel="1" x14ac:dyDescent="0.25">
      <c r="A234" s="1683" t="s">
        <v>698</v>
      </c>
      <c r="B234" s="1893" t="s">
        <v>726</v>
      </c>
      <c r="C234" s="1685" t="s">
        <v>699</v>
      </c>
      <c r="D234" s="220" t="s">
        <v>1617</v>
      </c>
      <c r="E234" s="196" t="s">
        <v>700</v>
      </c>
      <c r="F234" s="220" t="s">
        <v>700</v>
      </c>
      <c r="G234" s="2370">
        <v>40000</v>
      </c>
      <c r="H234" s="2326">
        <v>0</v>
      </c>
      <c r="I234" s="1693">
        <v>0</v>
      </c>
      <c r="J234" s="1728">
        <v>31</v>
      </c>
      <c r="K234" s="2247">
        <v>46.585000000000001</v>
      </c>
      <c r="L234" s="2326">
        <v>0</v>
      </c>
      <c r="M234" s="1728">
        <f>0+31</f>
        <v>31</v>
      </c>
      <c r="N234" s="1696">
        <f>1665.77-31</f>
        <v>1634.77</v>
      </c>
      <c r="O234" s="357">
        <v>2165.7700000000004</v>
      </c>
      <c r="P234" s="2706">
        <v>-500</v>
      </c>
      <c r="Q234" s="1692">
        <f t="shared" si="10"/>
        <v>1665.7700000000004</v>
      </c>
      <c r="R234" s="2374">
        <v>38334.230000000003</v>
      </c>
      <c r="S234" s="357">
        <v>0</v>
      </c>
      <c r="T234" s="1903">
        <v>0</v>
      </c>
      <c r="U234" s="571">
        <v>0</v>
      </c>
      <c r="V234" s="1903">
        <v>0</v>
      </c>
      <c r="W234" s="1902">
        <v>0</v>
      </c>
      <c r="X234" s="1897">
        <v>0</v>
      </c>
      <c r="Y234" s="1897">
        <v>0</v>
      </c>
      <c r="Z234" s="1897">
        <v>0</v>
      </c>
      <c r="AA234" s="356">
        <v>0</v>
      </c>
      <c r="AB234" s="220" t="s">
        <v>1957</v>
      </c>
      <c r="AC234" s="220" t="s">
        <v>11</v>
      </c>
      <c r="AD234" s="2359" t="s">
        <v>190</v>
      </c>
      <c r="AE234" s="2162" t="s">
        <v>91</v>
      </c>
      <c r="AF234" s="252" t="s">
        <v>102</v>
      </c>
      <c r="AG234" s="220" t="s">
        <v>215</v>
      </c>
      <c r="AH234" s="220" t="s">
        <v>971</v>
      </c>
    </row>
    <row r="235" spans="1:34" ht="26.25" outlineLevel="1" thickBot="1" x14ac:dyDescent="0.3">
      <c r="A235" s="832" t="s">
        <v>701</v>
      </c>
      <c r="B235" s="836" t="s">
        <v>87</v>
      </c>
      <c r="C235" s="1336" t="s">
        <v>702</v>
      </c>
      <c r="D235" s="98" t="s">
        <v>1617</v>
      </c>
      <c r="E235" s="53" t="s">
        <v>7</v>
      </c>
      <c r="F235" s="98" t="s">
        <v>703</v>
      </c>
      <c r="G235" s="1302">
        <v>350000</v>
      </c>
      <c r="H235" s="882">
        <v>0</v>
      </c>
      <c r="I235" s="870">
        <v>0</v>
      </c>
      <c r="J235" s="880">
        <v>0</v>
      </c>
      <c r="K235" s="881">
        <v>0</v>
      </c>
      <c r="L235" s="882">
        <v>0</v>
      </c>
      <c r="M235" s="880">
        <v>0</v>
      </c>
      <c r="N235" s="217">
        <v>1000</v>
      </c>
      <c r="O235" s="845">
        <v>1000</v>
      </c>
      <c r="P235" s="981">
        <v>0</v>
      </c>
      <c r="Q235" s="531">
        <f t="shared" si="10"/>
        <v>1000</v>
      </c>
      <c r="R235" s="1329">
        <v>119000</v>
      </c>
      <c r="S235" s="129">
        <v>230000</v>
      </c>
      <c r="T235" s="684">
        <v>0</v>
      </c>
      <c r="U235" s="542">
        <v>0</v>
      </c>
      <c r="V235" s="684">
        <v>0</v>
      </c>
      <c r="W235" s="862">
        <v>0</v>
      </c>
      <c r="X235" s="1288">
        <v>0</v>
      </c>
      <c r="Y235" s="1288">
        <v>0</v>
      </c>
      <c r="Z235" s="1288">
        <v>0</v>
      </c>
      <c r="AA235" s="137">
        <v>0</v>
      </c>
      <c r="AB235" s="98" t="s">
        <v>84</v>
      </c>
      <c r="AC235" s="98" t="s">
        <v>11</v>
      </c>
      <c r="AD235" s="90" t="s">
        <v>190</v>
      </c>
      <c r="AE235" s="89" t="s">
        <v>91</v>
      </c>
      <c r="AF235" s="58" t="s">
        <v>100</v>
      </c>
      <c r="AG235" s="98" t="s">
        <v>204</v>
      </c>
      <c r="AH235" s="311" t="s">
        <v>974</v>
      </c>
    </row>
    <row r="236" spans="1:34" ht="51" outlineLevel="1" x14ac:dyDescent="0.25">
      <c r="A236" s="1803" t="s">
        <v>727</v>
      </c>
      <c r="B236" s="2356" t="s">
        <v>728</v>
      </c>
      <c r="C236" s="2113" t="s">
        <v>729</v>
      </c>
      <c r="D236" s="219" t="s">
        <v>1594</v>
      </c>
      <c r="E236" s="255" t="s">
        <v>730</v>
      </c>
      <c r="F236" s="219" t="s">
        <v>730</v>
      </c>
      <c r="G236" s="1806">
        <v>25250</v>
      </c>
      <c r="H236" s="467">
        <v>0</v>
      </c>
      <c r="I236" s="2136">
        <v>78.349999999999994</v>
      </c>
      <c r="J236" s="1846">
        <v>0</v>
      </c>
      <c r="K236" s="2245">
        <v>0</v>
      </c>
      <c r="L236" s="467">
        <f>0+78.35</f>
        <v>78.349999999999994</v>
      </c>
      <c r="M236" s="1846">
        <v>0</v>
      </c>
      <c r="N236" s="2138">
        <v>300</v>
      </c>
      <c r="O236" s="2357">
        <v>578.35000000000036</v>
      </c>
      <c r="P236" s="2704">
        <v>-200</v>
      </c>
      <c r="Q236" s="1691">
        <f t="shared" si="10"/>
        <v>378.35000000000036</v>
      </c>
      <c r="R236" s="1807">
        <v>12121.65</v>
      </c>
      <c r="S236" s="2357">
        <v>0</v>
      </c>
      <c r="T236" s="2358">
        <v>12750</v>
      </c>
      <c r="U236" s="1809">
        <v>0</v>
      </c>
      <c r="V236" s="2358">
        <v>0</v>
      </c>
      <c r="W236" s="1808">
        <v>0</v>
      </c>
      <c r="X236" s="1816">
        <v>0</v>
      </c>
      <c r="Y236" s="1816">
        <v>0</v>
      </c>
      <c r="Z236" s="1816">
        <v>0</v>
      </c>
      <c r="AA236" s="1817">
        <v>0</v>
      </c>
      <c r="AB236" s="468" t="s">
        <v>1960</v>
      </c>
      <c r="AC236" s="219" t="s">
        <v>11</v>
      </c>
      <c r="AD236" s="2359" t="s">
        <v>190</v>
      </c>
      <c r="AE236" s="2359" t="s">
        <v>91</v>
      </c>
      <c r="AF236" s="379" t="s">
        <v>102</v>
      </c>
      <c r="AG236" s="219" t="s">
        <v>203</v>
      </c>
      <c r="AH236" s="219"/>
    </row>
    <row r="237" spans="1:34" ht="25.5" outlineLevel="1" x14ac:dyDescent="0.25">
      <c r="A237" s="1803" t="s">
        <v>731</v>
      </c>
      <c r="B237" s="2356" t="s">
        <v>732</v>
      </c>
      <c r="C237" s="2113" t="s">
        <v>733</v>
      </c>
      <c r="D237" s="219" t="s">
        <v>1594</v>
      </c>
      <c r="E237" s="255" t="s">
        <v>734</v>
      </c>
      <c r="F237" s="219" t="s">
        <v>734</v>
      </c>
      <c r="G237" s="1806">
        <v>40000</v>
      </c>
      <c r="H237" s="2326">
        <v>0</v>
      </c>
      <c r="I237" s="1693">
        <v>302.5</v>
      </c>
      <c r="J237" s="1728">
        <v>0</v>
      </c>
      <c r="K237" s="2247">
        <v>0</v>
      </c>
      <c r="L237" s="2326">
        <f>2000-1697.5</f>
        <v>302.5</v>
      </c>
      <c r="M237" s="1728">
        <v>0</v>
      </c>
      <c r="N237" s="1696">
        <v>1000</v>
      </c>
      <c r="O237" s="357">
        <v>2302.5</v>
      </c>
      <c r="P237" s="2706">
        <v>-1000</v>
      </c>
      <c r="Q237" s="1692">
        <f t="shared" si="10"/>
        <v>1302.5</v>
      </c>
      <c r="R237" s="1807">
        <v>38697.5</v>
      </c>
      <c r="S237" s="2357">
        <v>0</v>
      </c>
      <c r="T237" s="1903">
        <v>0</v>
      </c>
      <c r="U237" s="571">
        <v>0</v>
      </c>
      <c r="V237" s="1903">
        <v>0</v>
      </c>
      <c r="W237" s="1902">
        <v>0</v>
      </c>
      <c r="X237" s="1897">
        <v>0</v>
      </c>
      <c r="Y237" s="1897">
        <v>0</v>
      </c>
      <c r="Z237" s="1897">
        <v>0</v>
      </c>
      <c r="AA237" s="356">
        <v>0</v>
      </c>
      <c r="AB237" s="525" t="s">
        <v>1961</v>
      </c>
      <c r="AC237" s="220" t="s">
        <v>11</v>
      </c>
      <c r="AD237" s="2359" t="s">
        <v>190</v>
      </c>
      <c r="AE237" s="2359" t="s">
        <v>91</v>
      </c>
      <c r="AF237" s="379" t="s">
        <v>102</v>
      </c>
      <c r="AG237" s="219" t="s">
        <v>220</v>
      </c>
      <c r="AH237" s="219"/>
    </row>
    <row r="238" spans="1:34" ht="26.25" outlineLevel="1" thickBot="1" x14ac:dyDescent="0.3">
      <c r="A238" s="2001" t="s">
        <v>735</v>
      </c>
      <c r="B238" s="2360" t="s">
        <v>736</v>
      </c>
      <c r="C238" s="2124" t="s">
        <v>737</v>
      </c>
      <c r="D238" s="427" t="s">
        <v>1594</v>
      </c>
      <c r="E238" s="422" t="s">
        <v>738</v>
      </c>
      <c r="F238" s="427" t="s">
        <v>738</v>
      </c>
      <c r="G238" s="2361">
        <v>10000</v>
      </c>
      <c r="H238" s="2375">
        <v>0</v>
      </c>
      <c r="I238" s="1764">
        <v>0</v>
      </c>
      <c r="J238" s="2280">
        <v>260.14999999999998</v>
      </c>
      <c r="K238" s="2281">
        <v>0</v>
      </c>
      <c r="L238" s="2375">
        <f>250-250</f>
        <v>0</v>
      </c>
      <c r="M238" s="2280">
        <f>260+0.15</f>
        <v>260.14999999999998</v>
      </c>
      <c r="N238" s="1766">
        <f>240-0.15</f>
        <v>239.85</v>
      </c>
      <c r="O238" s="2376">
        <v>1500</v>
      </c>
      <c r="P238" s="1762">
        <v>-1000</v>
      </c>
      <c r="Q238" s="371">
        <f t="shared" si="10"/>
        <v>500</v>
      </c>
      <c r="R238" s="2377">
        <v>9500</v>
      </c>
      <c r="S238" s="2363">
        <v>0</v>
      </c>
      <c r="T238" s="2378">
        <v>0</v>
      </c>
      <c r="U238" s="2379">
        <v>0</v>
      </c>
      <c r="V238" s="2378">
        <v>0</v>
      </c>
      <c r="W238" s="2380">
        <v>0</v>
      </c>
      <c r="X238" s="2381">
        <v>0</v>
      </c>
      <c r="Y238" s="2381">
        <v>0</v>
      </c>
      <c r="Z238" s="2381">
        <v>0</v>
      </c>
      <c r="AA238" s="2382">
        <v>0</v>
      </c>
      <c r="AB238" s="527" t="s">
        <v>1962</v>
      </c>
      <c r="AC238" s="427" t="s">
        <v>11</v>
      </c>
      <c r="AD238" s="2369" t="s">
        <v>190</v>
      </c>
      <c r="AE238" s="2369" t="s">
        <v>91</v>
      </c>
      <c r="AF238" s="570" t="s">
        <v>102</v>
      </c>
      <c r="AG238" s="427" t="s">
        <v>218</v>
      </c>
      <c r="AH238" s="427"/>
    </row>
    <row r="239" spans="1:34" ht="31.5" outlineLevel="1" x14ac:dyDescent="0.25">
      <c r="A239" s="2384" t="s">
        <v>808</v>
      </c>
      <c r="B239" s="2385" t="s">
        <v>1540</v>
      </c>
      <c r="C239" s="2386" t="s">
        <v>1499</v>
      </c>
      <c r="D239" s="250" t="s">
        <v>1593</v>
      </c>
      <c r="E239" s="2387" t="s">
        <v>809</v>
      </c>
      <c r="F239" s="1233" t="s">
        <v>809</v>
      </c>
      <c r="G239" s="2388">
        <v>10555</v>
      </c>
      <c r="H239" s="2389">
        <v>0</v>
      </c>
      <c r="I239" s="2390">
        <v>0</v>
      </c>
      <c r="J239" s="2391">
        <v>380</v>
      </c>
      <c r="K239" s="2392">
        <v>0</v>
      </c>
      <c r="L239" s="2393">
        <v>0</v>
      </c>
      <c r="M239" s="2391">
        <v>380</v>
      </c>
      <c r="N239" s="2394">
        <v>20</v>
      </c>
      <c r="O239" s="2395">
        <v>1000</v>
      </c>
      <c r="P239" s="2708">
        <v>-600</v>
      </c>
      <c r="Q239" s="2396">
        <f t="shared" si="10"/>
        <v>400</v>
      </c>
      <c r="R239" s="2397">
        <v>10155</v>
      </c>
      <c r="S239" s="2395">
        <v>0</v>
      </c>
      <c r="T239" s="2398">
        <v>0</v>
      </c>
      <c r="U239" s="2399">
        <v>0</v>
      </c>
      <c r="V239" s="2400">
        <v>0</v>
      </c>
      <c r="W239" s="2401">
        <v>0</v>
      </c>
      <c r="X239" s="2402">
        <v>0</v>
      </c>
      <c r="Y239" s="2402">
        <v>0</v>
      </c>
      <c r="Z239" s="2402">
        <v>0</v>
      </c>
      <c r="AA239" s="2400">
        <v>0</v>
      </c>
      <c r="AB239" s="2383" t="s">
        <v>1963</v>
      </c>
      <c r="AC239" s="1233" t="s">
        <v>11</v>
      </c>
      <c r="AD239" s="377" t="s">
        <v>190</v>
      </c>
      <c r="AE239" s="2403" t="s">
        <v>91</v>
      </c>
      <c r="AF239" s="2404" t="s">
        <v>102</v>
      </c>
      <c r="AG239" s="1233" t="s">
        <v>796</v>
      </c>
      <c r="AH239" s="1233"/>
    </row>
    <row r="240" spans="1:34" ht="25.5" outlineLevel="1" x14ac:dyDescent="0.25">
      <c r="A240" s="1683" t="s">
        <v>810</v>
      </c>
      <c r="B240" s="1893" t="s">
        <v>1069</v>
      </c>
      <c r="C240" s="1685" t="s">
        <v>1358</v>
      </c>
      <c r="D240" s="219" t="s">
        <v>1593</v>
      </c>
      <c r="E240" s="196" t="s">
        <v>811</v>
      </c>
      <c r="F240" s="220" t="s">
        <v>811</v>
      </c>
      <c r="G240" s="2370">
        <v>9700</v>
      </c>
      <c r="H240" s="1726">
        <v>0</v>
      </c>
      <c r="I240" s="1693">
        <v>0</v>
      </c>
      <c r="J240" s="1728">
        <v>0</v>
      </c>
      <c r="K240" s="2247">
        <v>0</v>
      </c>
      <c r="L240" s="1693">
        <v>0</v>
      </c>
      <c r="M240" s="1728">
        <v>0</v>
      </c>
      <c r="N240" s="2247">
        <v>800</v>
      </c>
      <c r="O240" s="357">
        <v>2000</v>
      </c>
      <c r="P240" s="1692">
        <v>-1200</v>
      </c>
      <c r="Q240" s="1692">
        <f t="shared" si="10"/>
        <v>800</v>
      </c>
      <c r="R240" s="357">
        <v>8900</v>
      </c>
      <c r="S240" s="357">
        <v>0</v>
      </c>
      <c r="T240" s="1902">
        <v>0</v>
      </c>
      <c r="U240" s="571">
        <v>0</v>
      </c>
      <c r="V240" s="1898">
        <v>0</v>
      </c>
      <c r="W240" s="1902">
        <v>0</v>
      </c>
      <c r="X240" s="571">
        <v>0</v>
      </c>
      <c r="Y240" s="571">
        <v>0</v>
      </c>
      <c r="Z240" s="571">
        <v>0</v>
      </c>
      <c r="AA240" s="1898">
        <v>0</v>
      </c>
      <c r="AB240" s="525" t="s">
        <v>1964</v>
      </c>
      <c r="AC240" s="220" t="s">
        <v>11</v>
      </c>
      <c r="AD240" s="2359" t="s">
        <v>190</v>
      </c>
      <c r="AE240" s="252" t="s">
        <v>91</v>
      </c>
      <c r="AF240" s="252" t="s">
        <v>102</v>
      </c>
      <c r="AG240" s="220" t="s">
        <v>211</v>
      </c>
      <c r="AH240" s="220" t="s">
        <v>971</v>
      </c>
    </row>
    <row r="241" spans="1:34" ht="26.25" outlineLevel="1" thickBot="1" x14ac:dyDescent="0.3">
      <c r="A241" s="76" t="s">
        <v>813</v>
      </c>
      <c r="B241" s="1455" t="s">
        <v>854</v>
      </c>
      <c r="C241" s="1124" t="s">
        <v>814</v>
      </c>
      <c r="D241" s="73" t="s">
        <v>1593</v>
      </c>
      <c r="E241" s="214" t="s">
        <v>380</v>
      </c>
      <c r="F241" s="73" t="s">
        <v>380</v>
      </c>
      <c r="G241" s="692">
        <v>1086.8529000000001</v>
      </c>
      <c r="H241" s="548">
        <v>18</v>
      </c>
      <c r="I241" s="547">
        <v>1068.8529000000001</v>
      </c>
      <c r="J241" s="474">
        <v>0</v>
      </c>
      <c r="K241" s="973">
        <v>0</v>
      </c>
      <c r="L241" s="547">
        <f>0+1068.8529</f>
        <v>1068.8529000000001</v>
      </c>
      <c r="M241" s="474">
        <f>1068.8529-1068.8529</f>
        <v>0</v>
      </c>
      <c r="N241" s="207">
        <v>0</v>
      </c>
      <c r="O241" s="1182">
        <v>1068.8528999999999</v>
      </c>
      <c r="P241" s="1404">
        <v>0</v>
      </c>
      <c r="Q241" s="532">
        <f t="shared" si="10"/>
        <v>1068.8528999999999</v>
      </c>
      <c r="R241" s="271">
        <v>0</v>
      </c>
      <c r="S241" s="271">
        <v>0</v>
      </c>
      <c r="T241" s="634">
        <v>0</v>
      </c>
      <c r="U241" s="573">
        <v>0</v>
      </c>
      <c r="V241" s="922">
        <v>0</v>
      </c>
      <c r="W241" s="562">
        <v>0</v>
      </c>
      <c r="X241" s="634">
        <v>0</v>
      </c>
      <c r="Y241" s="634">
        <v>0</v>
      </c>
      <c r="Z241" s="634">
        <v>0</v>
      </c>
      <c r="AA241" s="1226">
        <v>0</v>
      </c>
      <c r="AB241" s="689" t="s">
        <v>84</v>
      </c>
      <c r="AC241" s="73" t="s">
        <v>95</v>
      </c>
      <c r="AD241" s="78" t="s">
        <v>472</v>
      </c>
      <c r="AE241" s="162" t="s">
        <v>91</v>
      </c>
      <c r="AF241" s="78" t="s">
        <v>101</v>
      </c>
      <c r="AG241" s="73" t="s">
        <v>207</v>
      </c>
      <c r="AH241" s="73" t="s">
        <v>971</v>
      </c>
    </row>
    <row r="242" spans="1:34" ht="38.25" outlineLevel="1" x14ac:dyDescent="0.25">
      <c r="A242" s="1803" t="s">
        <v>1070</v>
      </c>
      <c r="B242" s="2356" t="s">
        <v>1226</v>
      </c>
      <c r="C242" s="2113" t="s">
        <v>1227</v>
      </c>
      <c r="D242" s="250" t="s">
        <v>1621</v>
      </c>
      <c r="E242" s="255" t="s">
        <v>29</v>
      </c>
      <c r="F242" s="219" t="s">
        <v>29</v>
      </c>
      <c r="G242" s="1806">
        <v>8000</v>
      </c>
      <c r="H242" s="467">
        <v>0</v>
      </c>
      <c r="I242" s="2136">
        <v>0</v>
      </c>
      <c r="J242" s="1846">
        <v>0</v>
      </c>
      <c r="K242" s="2245">
        <v>0</v>
      </c>
      <c r="L242" s="2136">
        <v>0</v>
      </c>
      <c r="M242" s="1846">
        <v>0</v>
      </c>
      <c r="N242" s="2138">
        <v>0</v>
      </c>
      <c r="O242" s="2357">
        <v>8000</v>
      </c>
      <c r="P242" s="2704">
        <v>-8000</v>
      </c>
      <c r="Q242" s="1691">
        <f t="shared" si="10"/>
        <v>0</v>
      </c>
      <c r="R242" s="2357">
        <v>8000</v>
      </c>
      <c r="S242" s="1817">
        <v>0</v>
      </c>
      <c r="T242" s="1808">
        <v>0</v>
      </c>
      <c r="U242" s="1809">
        <v>0</v>
      </c>
      <c r="V242" s="1817">
        <v>0</v>
      </c>
      <c r="W242" s="1808">
        <v>0</v>
      </c>
      <c r="X242" s="1816">
        <v>0</v>
      </c>
      <c r="Y242" s="1816">
        <v>0</v>
      </c>
      <c r="Z242" s="1816">
        <v>0</v>
      </c>
      <c r="AA242" s="1817">
        <v>0</v>
      </c>
      <c r="AB242" s="419" t="s">
        <v>1965</v>
      </c>
      <c r="AC242" s="219" t="s">
        <v>11</v>
      </c>
      <c r="AD242" s="2359" t="s">
        <v>190</v>
      </c>
      <c r="AE242" s="379" t="s">
        <v>91</v>
      </c>
      <c r="AF242" s="379" t="s">
        <v>100</v>
      </c>
      <c r="AG242" s="219" t="s">
        <v>208</v>
      </c>
      <c r="AH242" s="219" t="s">
        <v>1071</v>
      </c>
    </row>
    <row r="243" spans="1:34" ht="39" outlineLevel="1" thickBot="1" x14ac:dyDescent="0.3">
      <c r="A243" s="832" t="s">
        <v>1072</v>
      </c>
      <c r="B243" s="836" t="s">
        <v>1228</v>
      </c>
      <c r="C243" s="1336" t="s">
        <v>1361</v>
      </c>
      <c r="D243" s="98" t="s">
        <v>1621</v>
      </c>
      <c r="E243" s="53" t="s">
        <v>1073</v>
      </c>
      <c r="F243" s="98" t="s">
        <v>1073</v>
      </c>
      <c r="G243" s="1302">
        <v>8000</v>
      </c>
      <c r="H243" s="882">
        <v>0</v>
      </c>
      <c r="I243" s="870">
        <v>0</v>
      </c>
      <c r="J243" s="880">
        <v>0</v>
      </c>
      <c r="K243" s="881">
        <v>0</v>
      </c>
      <c r="L243" s="870">
        <v>0</v>
      </c>
      <c r="M243" s="880">
        <v>0</v>
      </c>
      <c r="N243" s="217">
        <v>700</v>
      </c>
      <c r="O243" s="845">
        <v>700</v>
      </c>
      <c r="P243" s="981">
        <v>0</v>
      </c>
      <c r="Q243" s="630">
        <f t="shared" si="10"/>
        <v>700</v>
      </c>
      <c r="R243" s="129">
        <v>7300</v>
      </c>
      <c r="S243" s="137">
        <v>0</v>
      </c>
      <c r="T243" s="862">
        <v>0</v>
      </c>
      <c r="U243" s="542">
        <v>0</v>
      </c>
      <c r="V243" s="137">
        <v>0</v>
      </c>
      <c r="W243" s="862">
        <v>0</v>
      </c>
      <c r="X243" s="1288">
        <v>0</v>
      </c>
      <c r="Y243" s="1288">
        <v>0</v>
      </c>
      <c r="Z243" s="1288">
        <v>0</v>
      </c>
      <c r="AA243" s="137">
        <v>0</v>
      </c>
      <c r="AB243" s="335" t="s">
        <v>84</v>
      </c>
      <c r="AC243" s="98" t="s">
        <v>11</v>
      </c>
      <c r="AD243" s="58" t="s">
        <v>190</v>
      </c>
      <c r="AE243" s="58" t="s">
        <v>91</v>
      </c>
      <c r="AF243" s="58" t="s">
        <v>100</v>
      </c>
      <c r="AG243" s="98" t="s">
        <v>218</v>
      </c>
      <c r="AH243" s="98" t="s">
        <v>1071</v>
      </c>
    </row>
    <row r="244" spans="1:34" ht="25.5" outlineLevel="1" x14ac:dyDescent="0.25">
      <c r="A244" s="1803" t="s">
        <v>1229</v>
      </c>
      <c r="B244" s="2356" t="s">
        <v>1500</v>
      </c>
      <c r="C244" s="2113" t="s">
        <v>1362</v>
      </c>
      <c r="D244" s="219" t="s">
        <v>1592</v>
      </c>
      <c r="E244" s="255" t="s">
        <v>1230</v>
      </c>
      <c r="F244" s="219" t="s">
        <v>1230</v>
      </c>
      <c r="G244" s="1806">
        <v>2000</v>
      </c>
      <c r="H244" s="467">
        <v>0</v>
      </c>
      <c r="I244" s="2136">
        <v>0</v>
      </c>
      <c r="J244" s="1846">
        <v>0</v>
      </c>
      <c r="K244" s="2245">
        <v>0</v>
      </c>
      <c r="L244" s="2136">
        <v>0</v>
      </c>
      <c r="M244" s="1846">
        <v>0</v>
      </c>
      <c r="N244" s="2138">
        <v>100</v>
      </c>
      <c r="O244" s="2357">
        <v>500</v>
      </c>
      <c r="P244" s="2704">
        <v>-400</v>
      </c>
      <c r="Q244" s="1691">
        <f t="shared" si="10"/>
        <v>100</v>
      </c>
      <c r="R244" s="2357">
        <v>1900</v>
      </c>
      <c r="S244" s="1817">
        <v>0</v>
      </c>
      <c r="T244" s="1808">
        <v>0</v>
      </c>
      <c r="U244" s="1809">
        <v>0</v>
      </c>
      <c r="V244" s="1817">
        <v>0</v>
      </c>
      <c r="W244" s="1808">
        <v>0</v>
      </c>
      <c r="X244" s="1816">
        <v>0</v>
      </c>
      <c r="Y244" s="1816">
        <v>0</v>
      </c>
      <c r="Z244" s="1816">
        <v>0</v>
      </c>
      <c r="AA244" s="1817">
        <v>0</v>
      </c>
      <c r="AB244" s="468" t="s">
        <v>1966</v>
      </c>
      <c r="AC244" s="219" t="s">
        <v>11</v>
      </c>
      <c r="AD244" s="2359" t="s">
        <v>190</v>
      </c>
      <c r="AE244" s="2359" t="s">
        <v>91</v>
      </c>
      <c r="AF244" s="379" t="s">
        <v>102</v>
      </c>
      <c r="AG244" s="219" t="s">
        <v>1231</v>
      </c>
      <c r="AH244" s="219" t="s">
        <v>1071</v>
      </c>
    </row>
    <row r="245" spans="1:34" ht="25.5" outlineLevel="1" x14ac:dyDescent="0.25">
      <c r="A245" s="1683" t="s">
        <v>1232</v>
      </c>
      <c r="B245" s="1893" t="s">
        <v>1501</v>
      </c>
      <c r="C245" s="1685" t="s">
        <v>1363</v>
      </c>
      <c r="D245" s="220" t="s">
        <v>1592</v>
      </c>
      <c r="E245" s="196" t="s">
        <v>1233</v>
      </c>
      <c r="F245" s="220" t="s">
        <v>1233</v>
      </c>
      <c r="G245" s="2370">
        <v>16500</v>
      </c>
      <c r="H245" s="2326">
        <v>0</v>
      </c>
      <c r="I245" s="1693">
        <v>0</v>
      </c>
      <c r="J245" s="1728">
        <v>0</v>
      </c>
      <c r="K245" s="2247">
        <v>0</v>
      </c>
      <c r="L245" s="1693">
        <v>0</v>
      </c>
      <c r="M245" s="1728">
        <v>0</v>
      </c>
      <c r="N245" s="1696">
        <v>0</v>
      </c>
      <c r="O245" s="357">
        <v>4000</v>
      </c>
      <c r="P245" s="2706">
        <v>-4000</v>
      </c>
      <c r="Q245" s="1692">
        <f t="shared" si="10"/>
        <v>0</v>
      </c>
      <c r="R245" s="357">
        <v>16500</v>
      </c>
      <c r="S245" s="356">
        <v>0</v>
      </c>
      <c r="T245" s="1902">
        <v>0</v>
      </c>
      <c r="U245" s="571">
        <v>0</v>
      </c>
      <c r="V245" s="356">
        <v>0</v>
      </c>
      <c r="W245" s="1902">
        <v>0</v>
      </c>
      <c r="X245" s="1897">
        <v>0</v>
      </c>
      <c r="Y245" s="1897">
        <v>0</v>
      </c>
      <c r="Z245" s="1897">
        <v>0</v>
      </c>
      <c r="AA245" s="356">
        <v>0</v>
      </c>
      <c r="AB245" s="525" t="s">
        <v>1967</v>
      </c>
      <c r="AC245" s="220" t="s">
        <v>11</v>
      </c>
      <c r="AD245" s="2162" t="s">
        <v>190</v>
      </c>
      <c r="AE245" s="2162" t="s">
        <v>91</v>
      </c>
      <c r="AF245" s="252" t="s">
        <v>102</v>
      </c>
      <c r="AG245" s="220" t="s">
        <v>217</v>
      </c>
      <c r="AH245" s="220" t="s">
        <v>1071</v>
      </c>
    </row>
    <row r="246" spans="1:34" ht="25.5" outlineLevel="1" x14ac:dyDescent="0.25">
      <c r="A246" s="802" t="s">
        <v>1234</v>
      </c>
      <c r="B246" s="835" t="s">
        <v>1968</v>
      </c>
      <c r="C246" s="1335" t="s">
        <v>1364</v>
      </c>
      <c r="D246" s="95" t="s">
        <v>1592</v>
      </c>
      <c r="E246" s="19" t="s">
        <v>1235</v>
      </c>
      <c r="F246" s="95" t="s">
        <v>1235</v>
      </c>
      <c r="G246" s="924">
        <v>1500</v>
      </c>
      <c r="H246" s="878">
        <v>0</v>
      </c>
      <c r="I246" s="803">
        <v>0</v>
      </c>
      <c r="J246" s="470">
        <v>0</v>
      </c>
      <c r="K246" s="877">
        <v>0</v>
      </c>
      <c r="L246" s="803">
        <v>0</v>
      </c>
      <c r="M246" s="470">
        <v>0</v>
      </c>
      <c r="N246" s="513">
        <v>1500</v>
      </c>
      <c r="O246" s="844">
        <v>1500</v>
      </c>
      <c r="P246" s="1121">
        <v>0</v>
      </c>
      <c r="Q246" s="613">
        <f t="shared" si="10"/>
        <v>1500</v>
      </c>
      <c r="R246" s="130">
        <v>0</v>
      </c>
      <c r="S246" s="135">
        <v>0</v>
      </c>
      <c r="T246" s="411">
        <v>0</v>
      </c>
      <c r="U246" s="240">
        <v>0</v>
      </c>
      <c r="V246" s="135">
        <v>0</v>
      </c>
      <c r="W246" s="411">
        <v>0</v>
      </c>
      <c r="X246" s="752">
        <v>0</v>
      </c>
      <c r="Y246" s="752">
        <v>0</v>
      </c>
      <c r="Z246" s="752">
        <v>0</v>
      </c>
      <c r="AA246" s="135">
        <v>0</v>
      </c>
      <c r="AB246" s="509" t="s">
        <v>84</v>
      </c>
      <c r="AC246" s="95" t="s">
        <v>11</v>
      </c>
      <c r="AD246" s="685" t="s">
        <v>190</v>
      </c>
      <c r="AE246" s="685" t="s">
        <v>91</v>
      </c>
      <c r="AF246" s="515" t="s">
        <v>102</v>
      </c>
      <c r="AG246" s="514" t="s">
        <v>1472</v>
      </c>
      <c r="AH246" s="95" t="s">
        <v>1071</v>
      </c>
    </row>
    <row r="247" spans="1:34" ht="25.5" outlineLevel="1" x14ac:dyDescent="0.25">
      <c r="A247" s="1683" t="s">
        <v>1236</v>
      </c>
      <c r="B247" s="1893" t="s">
        <v>1503</v>
      </c>
      <c r="C247" s="1685" t="s">
        <v>1365</v>
      </c>
      <c r="D247" s="220" t="s">
        <v>1592</v>
      </c>
      <c r="E247" s="196" t="s">
        <v>1969</v>
      </c>
      <c r="F247" s="220" t="s">
        <v>1969</v>
      </c>
      <c r="G247" s="2370">
        <v>6000</v>
      </c>
      <c r="H247" s="2326">
        <v>0</v>
      </c>
      <c r="I247" s="1693">
        <v>0</v>
      </c>
      <c r="J247" s="1728">
        <v>0</v>
      </c>
      <c r="K247" s="2247">
        <v>0</v>
      </c>
      <c r="L247" s="1693">
        <v>0</v>
      </c>
      <c r="M247" s="1728">
        <v>0</v>
      </c>
      <c r="N247" s="1696">
        <v>0</v>
      </c>
      <c r="O247" s="357">
        <v>6000</v>
      </c>
      <c r="P247" s="2706">
        <v>-6000</v>
      </c>
      <c r="Q247" s="1692">
        <f t="shared" si="10"/>
        <v>0</v>
      </c>
      <c r="R247" s="357">
        <v>6000</v>
      </c>
      <c r="S247" s="356">
        <v>0</v>
      </c>
      <c r="T247" s="1902">
        <v>0</v>
      </c>
      <c r="U247" s="571">
        <v>0</v>
      </c>
      <c r="V247" s="356">
        <v>0</v>
      </c>
      <c r="W247" s="1902">
        <v>0</v>
      </c>
      <c r="X247" s="1897">
        <v>0</v>
      </c>
      <c r="Y247" s="1897">
        <v>0</v>
      </c>
      <c r="Z247" s="1897">
        <v>0</v>
      </c>
      <c r="AA247" s="356">
        <v>0</v>
      </c>
      <c r="AB247" s="525" t="s">
        <v>1970</v>
      </c>
      <c r="AC247" s="220" t="s">
        <v>11</v>
      </c>
      <c r="AD247" s="2359" t="s">
        <v>1067</v>
      </c>
      <c r="AE247" s="2162" t="s">
        <v>91</v>
      </c>
      <c r="AF247" s="252" t="s">
        <v>100</v>
      </c>
      <c r="AG247" s="220" t="s">
        <v>796</v>
      </c>
      <c r="AH247" s="220" t="s">
        <v>971</v>
      </c>
    </row>
    <row r="248" spans="1:34" ht="51" outlineLevel="1" x14ac:dyDescent="0.25">
      <c r="A248" s="57" t="s">
        <v>1237</v>
      </c>
      <c r="B248" s="810" t="s">
        <v>422</v>
      </c>
      <c r="C248" s="1123" t="s">
        <v>23</v>
      </c>
      <c r="D248" s="27" t="s">
        <v>1622</v>
      </c>
      <c r="E248" s="48" t="s">
        <v>7</v>
      </c>
      <c r="F248" s="27" t="s">
        <v>22</v>
      </c>
      <c r="G248" s="811">
        <v>84.7</v>
      </c>
      <c r="H248" s="524">
        <v>0</v>
      </c>
      <c r="I248" s="498">
        <v>0</v>
      </c>
      <c r="J248" s="235">
        <v>84.7</v>
      </c>
      <c r="K248" s="616">
        <v>0</v>
      </c>
      <c r="L248" s="498">
        <v>0</v>
      </c>
      <c r="M248" s="235">
        <v>84.7</v>
      </c>
      <c r="N248" s="105">
        <v>0</v>
      </c>
      <c r="O248" s="629">
        <v>84.7</v>
      </c>
      <c r="P248" s="1165">
        <v>0</v>
      </c>
      <c r="Q248" s="535">
        <f t="shared" si="10"/>
        <v>84.7</v>
      </c>
      <c r="R248" s="134">
        <v>0</v>
      </c>
      <c r="S248" s="136">
        <v>0</v>
      </c>
      <c r="T248" s="560">
        <v>0</v>
      </c>
      <c r="U248" s="541">
        <v>0</v>
      </c>
      <c r="V248" s="136">
        <v>0</v>
      </c>
      <c r="W248" s="560">
        <v>0</v>
      </c>
      <c r="X248" s="595">
        <v>0</v>
      </c>
      <c r="Y248" s="595">
        <v>0</v>
      </c>
      <c r="Z248" s="595">
        <v>0</v>
      </c>
      <c r="AA248" s="136">
        <v>0</v>
      </c>
      <c r="AB248" s="407" t="s">
        <v>84</v>
      </c>
      <c r="AC248" s="27" t="s">
        <v>95</v>
      </c>
      <c r="AD248" s="106" t="s">
        <v>472</v>
      </c>
      <c r="AE248" s="106" t="s">
        <v>91</v>
      </c>
      <c r="AF248" s="284" t="s">
        <v>101</v>
      </c>
      <c r="AG248" s="27" t="s">
        <v>206</v>
      </c>
      <c r="AH248" s="27" t="s">
        <v>971</v>
      </c>
    </row>
    <row r="249" spans="1:34" ht="31.5" outlineLevel="1" x14ac:dyDescent="0.25">
      <c r="A249" s="2405" t="s">
        <v>1238</v>
      </c>
      <c r="B249" s="2406" t="s">
        <v>1504</v>
      </c>
      <c r="C249" s="2407" t="s">
        <v>1239</v>
      </c>
      <c r="D249" s="386" t="s">
        <v>1592</v>
      </c>
      <c r="E249" s="276" t="s">
        <v>1240</v>
      </c>
      <c r="F249" s="386" t="s">
        <v>1240</v>
      </c>
      <c r="G249" s="2408">
        <v>15000</v>
      </c>
      <c r="H249" s="2409">
        <v>0</v>
      </c>
      <c r="I249" s="2410">
        <v>0</v>
      </c>
      <c r="J249" s="2411">
        <v>0</v>
      </c>
      <c r="K249" s="2412">
        <v>0</v>
      </c>
      <c r="L249" s="2410">
        <v>0</v>
      </c>
      <c r="M249" s="2411">
        <v>0</v>
      </c>
      <c r="N249" s="2413">
        <v>0</v>
      </c>
      <c r="O249" s="2414">
        <v>750</v>
      </c>
      <c r="P249" s="2709">
        <v>-750</v>
      </c>
      <c r="Q249" s="2415">
        <f t="shared" si="10"/>
        <v>0</v>
      </c>
      <c r="R249" s="2414">
        <v>15000</v>
      </c>
      <c r="S249" s="2416">
        <v>0</v>
      </c>
      <c r="T249" s="2417">
        <v>0</v>
      </c>
      <c r="U249" s="2418">
        <v>0</v>
      </c>
      <c r="V249" s="2416">
        <v>0</v>
      </c>
      <c r="W249" s="2417">
        <v>0</v>
      </c>
      <c r="X249" s="2419">
        <v>0</v>
      </c>
      <c r="Y249" s="2419">
        <v>0</v>
      </c>
      <c r="Z249" s="2419">
        <v>0</v>
      </c>
      <c r="AA249" s="2416">
        <v>0</v>
      </c>
      <c r="AB249" s="529" t="s">
        <v>1971</v>
      </c>
      <c r="AC249" s="386" t="s">
        <v>11</v>
      </c>
      <c r="AD249" s="252" t="s">
        <v>1067</v>
      </c>
      <c r="AE249" s="2420" t="s">
        <v>91</v>
      </c>
      <c r="AF249" s="1156" t="s">
        <v>100</v>
      </c>
      <c r="AG249" s="386" t="s">
        <v>209</v>
      </c>
      <c r="AH249" s="386" t="s">
        <v>971</v>
      </c>
    </row>
    <row r="250" spans="1:34" ht="25.5" outlineLevel="1" x14ac:dyDescent="0.25">
      <c r="A250" s="1683" t="s">
        <v>1241</v>
      </c>
      <c r="B250" s="1893" t="s">
        <v>1505</v>
      </c>
      <c r="C250" s="1685" t="s">
        <v>1242</v>
      </c>
      <c r="D250" s="386" t="s">
        <v>1592</v>
      </c>
      <c r="E250" s="196" t="s">
        <v>29</v>
      </c>
      <c r="F250" s="220" t="s">
        <v>29</v>
      </c>
      <c r="G250" s="2370">
        <v>4000</v>
      </c>
      <c r="H250" s="2326">
        <v>0</v>
      </c>
      <c r="I250" s="1693">
        <v>0</v>
      </c>
      <c r="J250" s="1728">
        <v>0</v>
      </c>
      <c r="K250" s="2247">
        <v>0</v>
      </c>
      <c r="L250" s="1693">
        <v>0</v>
      </c>
      <c r="M250" s="1728">
        <v>0</v>
      </c>
      <c r="N250" s="1696">
        <v>2000</v>
      </c>
      <c r="O250" s="357">
        <v>4000</v>
      </c>
      <c r="P250" s="2706">
        <v>-2000</v>
      </c>
      <c r="Q250" s="1692">
        <f t="shared" si="10"/>
        <v>2000</v>
      </c>
      <c r="R250" s="357">
        <v>2000</v>
      </c>
      <c r="S250" s="356">
        <v>0</v>
      </c>
      <c r="T250" s="1897">
        <v>0</v>
      </c>
      <c r="U250" s="571">
        <v>0</v>
      </c>
      <c r="V250" s="1903">
        <v>0</v>
      </c>
      <c r="W250" s="1902">
        <v>0</v>
      </c>
      <c r="X250" s="1897">
        <v>0</v>
      </c>
      <c r="Y250" s="1897">
        <v>0</v>
      </c>
      <c r="Z250" s="1897">
        <v>0</v>
      </c>
      <c r="AA250" s="356">
        <v>0</v>
      </c>
      <c r="AB250" s="529" t="s">
        <v>1972</v>
      </c>
      <c r="AC250" s="220" t="s">
        <v>11</v>
      </c>
      <c r="AD250" s="2359" t="s">
        <v>190</v>
      </c>
      <c r="AE250" s="2162" t="s">
        <v>91</v>
      </c>
      <c r="AF250" s="252" t="s">
        <v>100</v>
      </c>
      <c r="AG250" s="220" t="s">
        <v>208</v>
      </c>
      <c r="AH250" s="220" t="s">
        <v>971</v>
      </c>
    </row>
    <row r="251" spans="1:34" ht="31.5" outlineLevel="1" x14ac:dyDescent="0.25">
      <c r="A251" s="1683" t="s">
        <v>1243</v>
      </c>
      <c r="B251" s="1893" t="s">
        <v>1506</v>
      </c>
      <c r="C251" s="1685" t="s">
        <v>1244</v>
      </c>
      <c r="D251" s="386" t="s">
        <v>1592</v>
      </c>
      <c r="E251" s="196" t="s">
        <v>28</v>
      </c>
      <c r="F251" s="220" t="s">
        <v>28</v>
      </c>
      <c r="G251" s="2370">
        <v>16100</v>
      </c>
      <c r="H251" s="2326">
        <v>0</v>
      </c>
      <c r="I251" s="1693">
        <v>0</v>
      </c>
      <c r="J251" s="1728">
        <v>0</v>
      </c>
      <c r="K251" s="2247">
        <v>0</v>
      </c>
      <c r="L251" s="1693">
        <v>0</v>
      </c>
      <c r="M251" s="1728">
        <v>0</v>
      </c>
      <c r="N251" s="1696">
        <v>310</v>
      </c>
      <c r="O251" s="357">
        <v>6500</v>
      </c>
      <c r="P251" s="2706">
        <v>-6190</v>
      </c>
      <c r="Q251" s="1692">
        <f t="shared" si="10"/>
        <v>310</v>
      </c>
      <c r="R251" s="357">
        <v>15790</v>
      </c>
      <c r="S251" s="356">
        <v>0</v>
      </c>
      <c r="T251" s="1897">
        <v>0</v>
      </c>
      <c r="U251" s="571">
        <v>0</v>
      </c>
      <c r="V251" s="1903">
        <v>0</v>
      </c>
      <c r="W251" s="1902">
        <v>0</v>
      </c>
      <c r="X251" s="1897">
        <v>0</v>
      </c>
      <c r="Y251" s="1897">
        <v>0</v>
      </c>
      <c r="Z251" s="1897">
        <v>0</v>
      </c>
      <c r="AA251" s="356">
        <v>0</v>
      </c>
      <c r="AB251" s="525" t="s">
        <v>1973</v>
      </c>
      <c r="AC251" s="220" t="s">
        <v>11</v>
      </c>
      <c r="AD251" s="2359" t="s">
        <v>190</v>
      </c>
      <c r="AE251" s="2162" t="s">
        <v>91</v>
      </c>
      <c r="AF251" s="252" t="s">
        <v>100</v>
      </c>
      <c r="AG251" s="220" t="s">
        <v>203</v>
      </c>
      <c r="AH251" s="220" t="s">
        <v>971</v>
      </c>
    </row>
    <row r="252" spans="1:34" ht="25.5" outlineLevel="1" x14ac:dyDescent="0.25">
      <c r="A252" s="802" t="s">
        <v>1245</v>
      </c>
      <c r="B252" s="835" t="s">
        <v>1507</v>
      </c>
      <c r="C252" s="1335" t="s">
        <v>1246</v>
      </c>
      <c r="D252" s="35" t="s">
        <v>1592</v>
      </c>
      <c r="E252" s="19" t="s">
        <v>536</v>
      </c>
      <c r="F252" s="95" t="s">
        <v>536</v>
      </c>
      <c r="G252" s="924">
        <v>18200</v>
      </c>
      <c r="H252" s="878">
        <v>0</v>
      </c>
      <c r="I252" s="803">
        <v>0</v>
      </c>
      <c r="J252" s="470">
        <v>0</v>
      </c>
      <c r="K252" s="877">
        <v>0</v>
      </c>
      <c r="L252" s="803">
        <v>0</v>
      </c>
      <c r="M252" s="470">
        <v>0</v>
      </c>
      <c r="N252" s="513">
        <v>2000</v>
      </c>
      <c r="O252" s="844">
        <v>2000</v>
      </c>
      <c r="P252" s="1121">
        <v>0</v>
      </c>
      <c r="Q252" s="613">
        <f t="shared" si="10"/>
        <v>2000</v>
      </c>
      <c r="R252" s="130">
        <v>16200</v>
      </c>
      <c r="S252" s="135">
        <v>0</v>
      </c>
      <c r="T252" s="752">
        <v>0</v>
      </c>
      <c r="U252" s="240">
        <v>0</v>
      </c>
      <c r="V252" s="327">
        <v>0</v>
      </c>
      <c r="W252" s="411">
        <v>0</v>
      </c>
      <c r="X252" s="752">
        <v>0</v>
      </c>
      <c r="Y252" s="752">
        <v>0</v>
      </c>
      <c r="Z252" s="752">
        <v>0</v>
      </c>
      <c r="AA252" s="135">
        <v>0</v>
      </c>
      <c r="AB252" s="509" t="s">
        <v>84</v>
      </c>
      <c r="AC252" s="95" t="s">
        <v>11</v>
      </c>
      <c r="AD252" s="1273" t="s">
        <v>190</v>
      </c>
      <c r="AE252" s="685" t="s">
        <v>91</v>
      </c>
      <c r="AF252" s="515" t="s">
        <v>100</v>
      </c>
      <c r="AG252" s="95" t="s">
        <v>218</v>
      </c>
      <c r="AH252" s="95" t="s">
        <v>971</v>
      </c>
    </row>
    <row r="253" spans="1:34" ht="31.5" outlineLevel="1" x14ac:dyDescent="0.25">
      <c r="A253" s="802" t="s">
        <v>1247</v>
      </c>
      <c r="B253" s="835" t="s">
        <v>1508</v>
      </c>
      <c r="C253" s="1335" t="s">
        <v>1248</v>
      </c>
      <c r="D253" s="35" t="s">
        <v>1592</v>
      </c>
      <c r="E253" s="19" t="s">
        <v>730</v>
      </c>
      <c r="F253" s="95" t="s">
        <v>730</v>
      </c>
      <c r="G253" s="924">
        <v>3500</v>
      </c>
      <c r="H253" s="878">
        <v>0</v>
      </c>
      <c r="I253" s="803">
        <v>0</v>
      </c>
      <c r="J253" s="470">
        <v>0</v>
      </c>
      <c r="K253" s="877">
        <v>2957.89887</v>
      </c>
      <c r="L253" s="803">
        <v>0</v>
      </c>
      <c r="M253" s="470">
        <v>0</v>
      </c>
      <c r="N253" s="513">
        <v>3500</v>
      </c>
      <c r="O253" s="844">
        <v>3500</v>
      </c>
      <c r="P253" s="1121">
        <v>0</v>
      </c>
      <c r="Q253" s="613">
        <f t="shared" si="10"/>
        <v>3500</v>
      </c>
      <c r="R253" s="130">
        <v>0</v>
      </c>
      <c r="S253" s="135">
        <v>0</v>
      </c>
      <c r="T253" s="752">
        <v>0</v>
      </c>
      <c r="U253" s="240">
        <v>0</v>
      </c>
      <c r="V253" s="327">
        <v>0</v>
      </c>
      <c r="W253" s="411">
        <v>0</v>
      </c>
      <c r="X253" s="752">
        <v>0</v>
      </c>
      <c r="Y253" s="752">
        <v>0</v>
      </c>
      <c r="Z253" s="752">
        <v>0</v>
      </c>
      <c r="AA253" s="135">
        <v>0</v>
      </c>
      <c r="AB253" s="509" t="s">
        <v>84</v>
      </c>
      <c r="AC253" s="95" t="s">
        <v>13</v>
      </c>
      <c r="AD253" s="1273" t="s">
        <v>190</v>
      </c>
      <c r="AE253" s="685" t="s">
        <v>92</v>
      </c>
      <c r="AF253" s="515" t="s">
        <v>101</v>
      </c>
      <c r="AG253" s="95" t="s">
        <v>203</v>
      </c>
      <c r="AH253" s="95" t="s">
        <v>971</v>
      </c>
    </row>
    <row r="254" spans="1:34" ht="31.5" outlineLevel="1" x14ac:dyDescent="0.25">
      <c r="A254" s="1683" t="s">
        <v>1249</v>
      </c>
      <c r="B254" s="1893" t="s">
        <v>1509</v>
      </c>
      <c r="C254" s="1685" t="s">
        <v>1250</v>
      </c>
      <c r="D254" s="386" t="s">
        <v>1592</v>
      </c>
      <c r="E254" s="196" t="s">
        <v>730</v>
      </c>
      <c r="F254" s="220" t="s">
        <v>730</v>
      </c>
      <c r="G254" s="2370">
        <v>3100</v>
      </c>
      <c r="H254" s="2326">
        <v>0</v>
      </c>
      <c r="I254" s="1693">
        <v>0</v>
      </c>
      <c r="J254" s="1728">
        <v>0</v>
      </c>
      <c r="K254" s="2247">
        <v>0</v>
      </c>
      <c r="L254" s="1693">
        <v>0</v>
      </c>
      <c r="M254" s="1728">
        <v>0</v>
      </c>
      <c r="N254" s="1696">
        <v>0</v>
      </c>
      <c r="O254" s="357">
        <v>3100</v>
      </c>
      <c r="P254" s="2706">
        <v>-3100</v>
      </c>
      <c r="Q254" s="1692">
        <f t="shared" si="10"/>
        <v>0</v>
      </c>
      <c r="R254" s="357">
        <v>3100</v>
      </c>
      <c r="S254" s="356">
        <v>0</v>
      </c>
      <c r="T254" s="1897">
        <v>0</v>
      </c>
      <c r="U254" s="571">
        <v>0</v>
      </c>
      <c r="V254" s="1903">
        <v>0</v>
      </c>
      <c r="W254" s="1902">
        <v>0</v>
      </c>
      <c r="X254" s="1897">
        <v>0</v>
      </c>
      <c r="Y254" s="1897">
        <v>0</v>
      </c>
      <c r="Z254" s="1897">
        <v>0</v>
      </c>
      <c r="AA254" s="356">
        <v>0</v>
      </c>
      <c r="AB254" s="525" t="s">
        <v>1974</v>
      </c>
      <c r="AC254" s="220" t="s">
        <v>11</v>
      </c>
      <c r="AD254" s="2359" t="s">
        <v>190</v>
      </c>
      <c r="AE254" s="2162" t="s">
        <v>91</v>
      </c>
      <c r="AF254" s="252" t="s">
        <v>100</v>
      </c>
      <c r="AG254" s="220" t="s">
        <v>203</v>
      </c>
      <c r="AH254" s="220" t="s">
        <v>971</v>
      </c>
    </row>
    <row r="255" spans="1:34" ht="31.5" outlineLevel="1" x14ac:dyDescent="0.25">
      <c r="A255" s="802" t="s">
        <v>1251</v>
      </c>
      <c r="B255" s="835" t="s">
        <v>1510</v>
      </c>
      <c r="C255" s="1335" t="s">
        <v>1366</v>
      </c>
      <c r="D255" s="35" t="s">
        <v>1592</v>
      </c>
      <c r="E255" s="19" t="s">
        <v>1252</v>
      </c>
      <c r="F255" s="95" t="s">
        <v>1252</v>
      </c>
      <c r="G255" s="924">
        <v>4000</v>
      </c>
      <c r="H255" s="878">
        <v>0</v>
      </c>
      <c r="I255" s="803">
        <v>0</v>
      </c>
      <c r="J255" s="470">
        <v>0</v>
      </c>
      <c r="K255" s="877">
        <v>0</v>
      </c>
      <c r="L255" s="803">
        <v>0</v>
      </c>
      <c r="M255" s="470">
        <v>0</v>
      </c>
      <c r="N255" s="513">
        <v>4000</v>
      </c>
      <c r="O255" s="844">
        <v>4000</v>
      </c>
      <c r="P255" s="1121">
        <v>0</v>
      </c>
      <c r="Q255" s="613">
        <f t="shared" si="10"/>
        <v>4000</v>
      </c>
      <c r="R255" s="130">
        <v>0</v>
      </c>
      <c r="S255" s="135">
        <v>0</v>
      </c>
      <c r="T255" s="752">
        <v>0</v>
      </c>
      <c r="U255" s="240">
        <v>0</v>
      </c>
      <c r="V255" s="327">
        <v>0</v>
      </c>
      <c r="W255" s="411">
        <v>0</v>
      </c>
      <c r="X255" s="752">
        <v>0</v>
      </c>
      <c r="Y255" s="752">
        <v>0</v>
      </c>
      <c r="Z255" s="752">
        <v>0</v>
      </c>
      <c r="AA255" s="135">
        <v>0</v>
      </c>
      <c r="AB255" s="509" t="s">
        <v>84</v>
      </c>
      <c r="AC255" s="95" t="s">
        <v>13</v>
      </c>
      <c r="AD255" s="685" t="s">
        <v>190</v>
      </c>
      <c r="AE255" s="685" t="s">
        <v>91</v>
      </c>
      <c r="AF255" s="515" t="s">
        <v>101</v>
      </c>
      <c r="AG255" s="95" t="s">
        <v>209</v>
      </c>
      <c r="AH255" s="95" t="s">
        <v>971</v>
      </c>
    </row>
    <row r="256" spans="1:34" ht="25.5" outlineLevel="1" x14ac:dyDescent="0.25">
      <c r="A256" s="802" t="s">
        <v>1253</v>
      </c>
      <c r="B256" s="835" t="s">
        <v>1511</v>
      </c>
      <c r="C256" s="1335" t="s">
        <v>1254</v>
      </c>
      <c r="D256" s="35" t="s">
        <v>1592</v>
      </c>
      <c r="E256" s="19" t="s">
        <v>1255</v>
      </c>
      <c r="F256" s="95" t="s">
        <v>1255</v>
      </c>
      <c r="G256" s="924">
        <v>1000</v>
      </c>
      <c r="H256" s="878">
        <v>0</v>
      </c>
      <c r="I256" s="803">
        <v>0</v>
      </c>
      <c r="J256" s="470">
        <v>0</v>
      </c>
      <c r="K256" s="877">
        <v>0</v>
      </c>
      <c r="L256" s="803">
        <v>0</v>
      </c>
      <c r="M256" s="470">
        <v>0</v>
      </c>
      <c r="N256" s="513">
        <v>1000</v>
      </c>
      <c r="O256" s="844">
        <v>1000</v>
      </c>
      <c r="P256" s="1121">
        <v>0</v>
      </c>
      <c r="Q256" s="613">
        <f t="shared" si="10"/>
        <v>1000</v>
      </c>
      <c r="R256" s="130">
        <v>0</v>
      </c>
      <c r="S256" s="135">
        <v>0</v>
      </c>
      <c r="T256" s="752">
        <v>0</v>
      </c>
      <c r="U256" s="240">
        <v>0</v>
      </c>
      <c r="V256" s="327">
        <v>0</v>
      </c>
      <c r="W256" s="411">
        <v>0</v>
      </c>
      <c r="X256" s="752">
        <v>0</v>
      </c>
      <c r="Y256" s="752">
        <v>0</v>
      </c>
      <c r="Z256" s="752">
        <v>0</v>
      </c>
      <c r="AA256" s="135">
        <v>0</v>
      </c>
      <c r="AB256" s="509" t="s">
        <v>84</v>
      </c>
      <c r="AC256" s="95" t="s">
        <v>13</v>
      </c>
      <c r="AD256" s="685" t="s">
        <v>190</v>
      </c>
      <c r="AE256" s="685" t="s">
        <v>92</v>
      </c>
      <c r="AF256" s="515" t="s">
        <v>101</v>
      </c>
      <c r="AG256" s="95" t="s">
        <v>210</v>
      </c>
      <c r="AH256" s="95" t="s">
        <v>971</v>
      </c>
    </row>
    <row r="257" spans="1:34" ht="25.5" outlineLevel="1" x14ac:dyDescent="0.25">
      <c r="A257" s="1683" t="s">
        <v>1256</v>
      </c>
      <c r="B257" s="1893" t="s">
        <v>1512</v>
      </c>
      <c r="C257" s="1685" t="s">
        <v>1257</v>
      </c>
      <c r="D257" s="386" t="s">
        <v>1592</v>
      </c>
      <c r="E257" s="196" t="s">
        <v>1258</v>
      </c>
      <c r="F257" s="220" t="s">
        <v>1258</v>
      </c>
      <c r="G257" s="2370">
        <v>1936</v>
      </c>
      <c r="H257" s="2326">
        <v>0</v>
      </c>
      <c r="I257" s="1693">
        <v>0</v>
      </c>
      <c r="J257" s="1728">
        <v>0</v>
      </c>
      <c r="K257" s="2247">
        <v>0</v>
      </c>
      <c r="L257" s="1693">
        <v>0</v>
      </c>
      <c r="M257" s="1728">
        <v>0</v>
      </c>
      <c r="N257" s="1728">
        <v>0</v>
      </c>
      <c r="O257" s="357">
        <v>1936</v>
      </c>
      <c r="P257" s="2706">
        <v>-1936</v>
      </c>
      <c r="Q257" s="1692">
        <f t="shared" si="10"/>
        <v>0</v>
      </c>
      <c r="R257" s="357">
        <v>1936</v>
      </c>
      <c r="S257" s="356">
        <v>0</v>
      </c>
      <c r="T257" s="1897">
        <v>0</v>
      </c>
      <c r="U257" s="571">
        <v>0</v>
      </c>
      <c r="V257" s="1903">
        <v>0</v>
      </c>
      <c r="W257" s="1902">
        <v>0</v>
      </c>
      <c r="X257" s="1897">
        <v>0</v>
      </c>
      <c r="Y257" s="1897">
        <v>0</v>
      </c>
      <c r="Z257" s="1897">
        <v>0</v>
      </c>
      <c r="AA257" s="356">
        <v>0</v>
      </c>
      <c r="AB257" s="525" t="s">
        <v>1975</v>
      </c>
      <c r="AC257" s="220" t="s">
        <v>11</v>
      </c>
      <c r="AD257" s="2162" t="s">
        <v>1067</v>
      </c>
      <c r="AE257" s="2162" t="s">
        <v>91</v>
      </c>
      <c r="AF257" s="252" t="s">
        <v>101</v>
      </c>
      <c r="AG257" s="220" t="s">
        <v>796</v>
      </c>
      <c r="AH257" s="220" t="s">
        <v>971</v>
      </c>
    </row>
    <row r="258" spans="1:34" ht="25.5" outlineLevel="1" x14ac:dyDescent="0.25">
      <c r="A258" s="1683" t="s">
        <v>1259</v>
      </c>
      <c r="B258" s="1893" t="s">
        <v>1513</v>
      </c>
      <c r="C258" s="1685" t="s">
        <v>1260</v>
      </c>
      <c r="D258" s="386" t="s">
        <v>1592</v>
      </c>
      <c r="E258" s="196" t="s">
        <v>1258</v>
      </c>
      <c r="F258" s="220" t="s">
        <v>1258</v>
      </c>
      <c r="G258" s="2370">
        <v>1936</v>
      </c>
      <c r="H258" s="2326">
        <v>0</v>
      </c>
      <c r="I258" s="1693">
        <v>0</v>
      </c>
      <c r="J258" s="1728">
        <v>0</v>
      </c>
      <c r="K258" s="2247">
        <v>0</v>
      </c>
      <c r="L258" s="1693">
        <v>0</v>
      </c>
      <c r="M258" s="1728">
        <v>0</v>
      </c>
      <c r="N258" s="1728">
        <v>0</v>
      </c>
      <c r="O258" s="357">
        <v>1936</v>
      </c>
      <c r="P258" s="2706">
        <v>-1936</v>
      </c>
      <c r="Q258" s="1692">
        <f t="shared" si="10"/>
        <v>0</v>
      </c>
      <c r="R258" s="357">
        <v>1936</v>
      </c>
      <c r="S258" s="356">
        <v>0</v>
      </c>
      <c r="T258" s="1897">
        <v>0</v>
      </c>
      <c r="U258" s="571">
        <v>0</v>
      </c>
      <c r="V258" s="1903">
        <v>0</v>
      </c>
      <c r="W258" s="1902">
        <v>0</v>
      </c>
      <c r="X258" s="1897">
        <v>0</v>
      </c>
      <c r="Y258" s="1897">
        <v>0</v>
      </c>
      <c r="Z258" s="1897">
        <v>0</v>
      </c>
      <c r="AA258" s="356">
        <v>0</v>
      </c>
      <c r="AB258" s="525" t="s">
        <v>1975</v>
      </c>
      <c r="AC258" s="220" t="s">
        <v>11</v>
      </c>
      <c r="AD258" s="2162" t="s">
        <v>1067</v>
      </c>
      <c r="AE258" s="2162" t="s">
        <v>91</v>
      </c>
      <c r="AF258" s="252" t="s">
        <v>101</v>
      </c>
      <c r="AG258" s="220" t="s">
        <v>796</v>
      </c>
      <c r="AH258" s="220" t="s">
        <v>971</v>
      </c>
    </row>
    <row r="259" spans="1:34" ht="25.5" outlineLevel="1" x14ac:dyDescent="0.25">
      <c r="A259" s="1683" t="s">
        <v>1261</v>
      </c>
      <c r="B259" s="1893" t="s">
        <v>1514</v>
      </c>
      <c r="C259" s="1685" t="s">
        <v>1322</v>
      </c>
      <c r="D259" s="386" t="s">
        <v>1592</v>
      </c>
      <c r="E259" s="196" t="s">
        <v>1258</v>
      </c>
      <c r="F259" s="196" t="s">
        <v>1258</v>
      </c>
      <c r="G259" s="2370">
        <v>1300</v>
      </c>
      <c r="H259" s="2326">
        <v>0</v>
      </c>
      <c r="I259" s="1693">
        <v>0</v>
      </c>
      <c r="J259" s="1728">
        <v>0</v>
      </c>
      <c r="K259" s="2247">
        <v>0</v>
      </c>
      <c r="L259" s="1693">
        <v>0</v>
      </c>
      <c r="M259" s="1728">
        <v>0</v>
      </c>
      <c r="N259" s="1696">
        <v>0</v>
      </c>
      <c r="O259" s="357">
        <v>1300</v>
      </c>
      <c r="P259" s="2706">
        <v>-1300</v>
      </c>
      <c r="Q259" s="1692">
        <f t="shared" si="10"/>
        <v>0</v>
      </c>
      <c r="R259" s="357">
        <v>1300</v>
      </c>
      <c r="S259" s="356">
        <v>0</v>
      </c>
      <c r="T259" s="1897">
        <v>0</v>
      </c>
      <c r="U259" s="571">
        <v>0</v>
      </c>
      <c r="V259" s="1903">
        <v>0</v>
      </c>
      <c r="W259" s="1902">
        <v>0</v>
      </c>
      <c r="X259" s="1897">
        <v>0</v>
      </c>
      <c r="Y259" s="1897">
        <v>0</v>
      </c>
      <c r="Z259" s="1897">
        <v>0</v>
      </c>
      <c r="AA259" s="356">
        <v>0</v>
      </c>
      <c r="AB259" s="525" t="s">
        <v>1976</v>
      </c>
      <c r="AC259" s="220" t="s">
        <v>11</v>
      </c>
      <c r="AD259" s="2162" t="s">
        <v>1067</v>
      </c>
      <c r="AE259" s="2162" t="s">
        <v>91</v>
      </c>
      <c r="AF259" s="252" t="s">
        <v>101</v>
      </c>
      <c r="AG259" s="220" t="s">
        <v>796</v>
      </c>
      <c r="AH259" s="220" t="s">
        <v>971</v>
      </c>
    </row>
    <row r="260" spans="1:34" ht="25.5" outlineLevel="1" x14ac:dyDescent="0.25">
      <c r="A260" s="802" t="s">
        <v>1262</v>
      </c>
      <c r="B260" s="835" t="s">
        <v>1515</v>
      </c>
      <c r="C260" s="1335" t="s">
        <v>1263</v>
      </c>
      <c r="D260" s="35" t="s">
        <v>1592</v>
      </c>
      <c r="E260" s="19" t="s">
        <v>72</v>
      </c>
      <c r="F260" s="19" t="s">
        <v>72</v>
      </c>
      <c r="G260" s="924">
        <v>1200</v>
      </c>
      <c r="H260" s="878">
        <v>0</v>
      </c>
      <c r="I260" s="803">
        <v>0</v>
      </c>
      <c r="J260" s="470">
        <v>0</v>
      </c>
      <c r="K260" s="877">
        <v>0</v>
      </c>
      <c r="L260" s="803">
        <v>0</v>
      </c>
      <c r="M260" s="470">
        <v>0</v>
      </c>
      <c r="N260" s="513">
        <v>1200</v>
      </c>
      <c r="O260" s="844">
        <v>1200</v>
      </c>
      <c r="P260" s="1121">
        <v>0</v>
      </c>
      <c r="Q260" s="613">
        <f t="shared" si="10"/>
        <v>1200</v>
      </c>
      <c r="R260" s="130">
        <v>0</v>
      </c>
      <c r="S260" s="135">
        <v>0</v>
      </c>
      <c r="T260" s="752">
        <v>0</v>
      </c>
      <c r="U260" s="240">
        <v>0</v>
      </c>
      <c r="V260" s="327">
        <v>0</v>
      </c>
      <c r="W260" s="411">
        <v>0</v>
      </c>
      <c r="X260" s="752">
        <v>0</v>
      </c>
      <c r="Y260" s="752">
        <v>0</v>
      </c>
      <c r="Z260" s="752">
        <v>0</v>
      </c>
      <c r="AA260" s="135">
        <v>0</v>
      </c>
      <c r="AB260" s="509" t="s">
        <v>84</v>
      </c>
      <c r="AC260" s="95" t="s">
        <v>186</v>
      </c>
      <c r="AD260" s="685" t="s">
        <v>190</v>
      </c>
      <c r="AE260" s="685" t="s">
        <v>92</v>
      </c>
      <c r="AF260" s="515" t="s">
        <v>101</v>
      </c>
      <c r="AG260" s="95" t="s">
        <v>208</v>
      </c>
      <c r="AH260" s="95" t="s">
        <v>971</v>
      </c>
    </row>
    <row r="261" spans="1:34" ht="25.5" outlineLevel="1" x14ac:dyDescent="0.25">
      <c r="A261" s="802" t="s">
        <v>1264</v>
      </c>
      <c r="B261" s="835" t="s">
        <v>1516</v>
      </c>
      <c r="C261" s="1335" t="s">
        <v>1265</v>
      </c>
      <c r="D261" s="35" t="s">
        <v>1592</v>
      </c>
      <c r="E261" s="19" t="s">
        <v>1266</v>
      </c>
      <c r="F261" s="19" t="s">
        <v>1266</v>
      </c>
      <c r="G261" s="924">
        <v>2000</v>
      </c>
      <c r="H261" s="878">
        <v>0</v>
      </c>
      <c r="I261" s="803">
        <v>0</v>
      </c>
      <c r="J261" s="470">
        <v>0</v>
      </c>
      <c r="K261" s="877">
        <v>0</v>
      </c>
      <c r="L261" s="803">
        <v>0</v>
      </c>
      <c r="M261" s="470">
        <v>0</v>
      </c>
      <c r="N261" s="513">
        <v>2000</v>
      </c>
      <c r="O261" s="844">
        <v>2000</v>
      </c>
      <c r="P261" s="1121">
        <v>0</v>
      </c>
      <c r="Q261" s="613">
        <f t="shared" si="10"/>
        <v>2000</v>
      </c>
      <c r="R261" s="130">
        <v>0</v>
      </c>
      <c r="S261" s="135">
        <v>0</v>
      </c>
      <c r="T261" s="752">
        <v>0</v>
      </c>
      <c r="U261" s="240">
        <v>0</v>
      </c>
      <c r="V261" s="327">
        <v>0</v>
      </c>
      <c r="W261" s="411">
        <v>0</v>
      </c>
      <c r="X261" s="752">
        <v>0</v>
      </c>
      <c r="Y261" s="752">
        <v>0</v>
      </c>
      <c r="Z261" s="752">
        <v>0</v>
      </c>
      <c r="AA261" s="135">
        <v>0</v>
      </c>
      <c r="AB261" s="509" t="s">
        <v>84</v>
      </c>
      <c r="AC261" s="95" t="s">
        <v>9</v>
      </c>
      <c r="AD261" s="685" t="s">
        <v>190</v>
      </c>
      <c r="AE261" s="685" t="s">
        <v>91</v>
      </c>
      <c r="AF261" s="515" t="s">
        <v>101</v>
      </c>
      <c r="AG261" s="95" t="s">
        <v>796</v>
      </c>
      <c r="AH261" s="95" t="s">
        <v>971</v>
      </c>
    </row>
    <row r="262" spans="1:34" ht="25.5" outlineLevel="1" x14ac:dyDescent="0.25">
      <c r="A262" s="1905" t="s">
        <v>1267</v>
      </c>
      <c r="B262" s="2346" t="s">
        <v>1517</v>
      </c>
      <c r="C262" s="2421" t="s">
        <v>1268</v>
      </c>
      <c r="D262" s="1126" t="s">
        <v>1592</v>
      </c>
      <c r="E262" s="732" t="s">
        <v>1269</v>
      </c>
      <c r="F262" s="732" t="s">
        <v>28</v>
      </c>
      <c r="G262" s="1907">
        <f>1400-160.81602</f>
        <v>1239.18398</v>
      </c>
      <c r="H262" s="2422">
        <v>0</v>
      </c>
      <c r="I262" s="2235">
        <v>0</v>
      </c>
      <c r="J262" s="2236">
        <v>0</v>
      </c>
      <c r="K262" s="2252">
        <v>1239.18398</v>
      </c>
      <c r="L262" s="2235">
        <v>0</v>
      </c>
      <c r="M262" s="2236">
        <v>0</v>
      </c>
      <c r="N262" s="749">
        <v>1239.18398</v>
      </c>
      <c r="O262" s="2423">
        <v>1400</v>
      </c>
      <c r="P262" s="2424">
        <v>-160.81602000000001</v>
      </c>
      <c r="Q262" s="2425">
        <f t="shared" si="10"/>
        <v>1239.18398</v>
      </c>
      <c r="R262" s="1908">
        <v>0</v>
      </c>
      <c r="S262" s="666">
        <v>0</v>
      </c>
      <c r="T262" s="758">
        <v>0</v>
      </c>
      <c r="U262" s="654">
        <v>0</v>
      </c>
      <c r="V262" s="1914">
        <v>0</v>
      </c>
      <c r="W262" s="1913">
        <v>0</v>
      </c>
      <c r="X262" s="758">
        <v>0</v>
      </c>
      <c r="Y262" s="758">
        <v>0</v>
      </c>
      <c r="Z262" s="758">
        <v>0</v>
      </c>
      <c r="AA262" s="666">
        <v>0</v>
      </c>
      <c r="AB262" s="656" t="s">
        <v>1977</v>
      </c>
      <c r="AC262" s="655" t="s">
        <v>186</v>
      </c>
      <c r="AD262" s="786" t="s">
        <v>190</v>
      </c>
      <c r="AE262" s="786" t="s">
        <v>92</v>
      </c>
      <c r="AF262" s="321" t="s">
        <v>101</v>
      </c>
      <c r="AG262" s="655" t="s">
        <v>203</v>
      </c>
      <c r="AH262" s="655" t="s">
        <v>971</v>
      </c>
    </row>
    <row r="263" spans="1:34" ht="25.5" outlineLevel="1" x14ac:dyDescent="0.25">
      <c r="A263" s="802" t="s">
        <v>1270</v>
      </c>
      <c r="B263" s="835" t="s">
        <v>1518</v>
      </c>
      <c r="C263" s="1335" t="s">
        <v>1271</v>
      </c>
      <c r="D263" s="35" t="s">
        <v>1592</v>
      </c>
      <c r="E263" s="19" t="s">
        <v>29</v>
      </c>
      <c r="F263" s="19" t="s">
        <v>29</v>
      </c>
      <c r="G263" s="924">
        <v>1700</v>
      </c>
      <c r="H263" s="878">
        <v>0</v>
      </c>
      <c r="I263" s="803">
        <v>0</v>
      </c>
      <c r="J263" s="470">
        <v>0</v>
      </c>
      <c r="K263" s="877">
        <v>0</v>
      </c>
      <c r="L263" s="803">
        <v>0</v>
      </c>
      <c r="M263" s="470">
        <v>0</v>
      </c>
      <c r="N263" s="513">
        <v>1700</v>
      </c>
      <c r="O263" s="844">
        <v>1700</v>
      </c>
      <c r="P263" s="1121">
        <v>0</v>
      </c>
      <c r="Q263" s="613">
        <f t="shared" si="10"/>
        <v>1700</v>
      </c>
      <c r="R263" s="130">
        <v>0</v>
      </c>
      <c r="S263" s="135">
        <v>0</v>
      </c>
      <c r="T263" s="752">
        <v>0</v>
      </c>
      <c r="U263" s="240">
        <v>0</v>
      </c>
      <c r="V263" s="327">
        <v>0</v>
      </c>
      <c r="W263" s="411">
        <v>0</v>
      </c>
      <c r="X263" s="752">
        <v>0</v>
      </c>
      <c r="Y263" s="752">
        <v>0</v>
      </c>
      <c r="Z263" s="752">
        <v>0</v>
      </c>
      <c r="AA263" s="135">
        <v>0</v>
      </c>
      <c r="AB263" s="509" t="s">
        <v>84</v>
      </c>
      <c r="AC263" s="95" t="s">
        <v>11</v>
      </c>
      <c r="AD263" s="685" t="s">
        <v>190</v>
      </c>
      <c r="AE263" s="685" t="s">
        <v>91</v>
      </c>
      <c r="AF263" s="515" t="s">
        <v>100</v>
      </c>
      <c r="AG263" s="95" t="s">
        <v>208</v>
      </c>
      <c r="AH263" s="95" t="s">
        <v>971</v>
      </c>
    </row>
    <row r="264" spans="1:34" ht="25.5" outlineLevel="1" x14ac:dyDescent="0.25">
      <c r="A264" s="802" t="s">
        <v>1272</v>
      </c>
      <c r="B264" s="835" t="s">
        <v>1519</v>
      </c>
      <c r="C264" s="1335" t="s">
        <v>1273</v>
      </c>
      <c r="D264" s="35" t="s">
        <v>1592</v>
      </c>
      <c r="E264" s="19" t="s">
        <v>29</v>
      </c>
      <c r="F264" s="19" t="s">
        <v>29</v>
      </c>
      <c r="G264" s="924">
        <v>1500</v>
      </c>
      <c r="H264" s="878">
        <v>0</v>
      </c>
      <c r="I264" s="803">
        <v>0</v>
      </c>
      <c r="J264" s="470">
        <v>0</v>
      </c>
      <c r="K264" s="877">
        <v>0</v>
      </c>
      <c r="L264" s="803">
        <v>0</v>
      </c>
      <c r="M264" s="470">
        <v>0</v>
      </c>
      <c r="N264" s="513">
        <v>1500</v>
      </c>
      <c r="O264" s="844">
        <v>1500</v>
      </c>
      <c r="P264" s="1121">
        <v>0</v>
      </c>
      <c r="Q264" s="613">
        <f t="shared" si="10"/>
        <v>1500</v>
      </c>
      <c r="R264" s="130">
        <v>0</v>
      </c>
      <c r="S264" s="135">
        <v>0</v>
      </c>
      <c r="T264" s="752">
        <v>0</v>
      </c>
      <c r="U264" s="240">
        <v>0</v>
      </c>
      <c r="V264" s="327">
        <v>0</v>
      </c>
      <c r="W264" s="411">
        <v>0</v>
      </c>
      <c r="X264" s="752">
        <v>0</v>
      </c>
      <c r="Y264" s="752">
        <v>0</v>
      </c>
      <c r="Z264" s="752">
        <v>0</v>
      </c>
      <c r="AA264" s="135">
        <v>0</v>
      </c>
      <c r="AB264" s="509" t="s">
        <v>84</v>
      </c>
      <c r="AC264" s="95" t="s">
        <v>11</v>
      </c>
      <c r="AD264" s="685" t="s">
        <v>190</v>
      </c>
      <c r="AE264" s="685" t="s">
        <v>91</v>
      </c>
      <c r="AF264" s="515" t="s">
        <v>100</v>
      </c>
      <c r="AG264" s="95" t="s">
        <v>208</v>
      </c>
      <c r="AH264" s="95" t="s">
        <v>971</v>
      </c>
    </row>
    <row r="265" spans="1:34" ht="26.25" outlineLevel="1" thickBot="1" x14ac:dyDescent="0.3">
      <c r="A265" s="1752" t="s">
        <v>1274</v>
      </c>
      <c r="B265" s="2347" t="s">
        <v>1520</v>
      </c>
      <c r="C265" s="2120" t="s">
        <v>1275</v>
      </c>
      <c r="D265" s="258" t="s">
        <v>1592</v>
      </c>
      <c r="E265" s="280" t="s">
        <v>29</v>
      </c>
      <c r="F265" s="280" t="s">
        <v>29</v>
      </c>
      <c r="G265" s="2426">
        <v>8300</v>
      </c>
      <c r="H265" s="2375">
        <v>0</v>
      </c>
      <c r="I265" s="1764">
        <v>0</v>
      </c>
      <c r="J265" s="2280">
        <v>0</v>
      </c>
      <c r="K265" s="2281">
        <v>0</v>
      </c>
      <c r="L265" s="1764">
        <v>0</v>
      </c>
      <c r="M265" s="2280">
        <v>0</v>
      </c>
      <c r="N265" s="1766">
        <v>3300</v>
      </c>
      <c r="O265" s="2376">
        <v>8300</v>
      </c>
      <c r="P265" s="1762">
        <v>-5000</v>
      </c>
      <c r="Q265" s="371">
        <f t="shared" si="10"/>
        <v>3300</v>
      </c>
      <c r="R265" s="2376">
        <v>5000</v>
      </c>
      <c r="S265" s="2382">
        <v>0</v>
      </c>
      <c r="T265" s="2381">
        <v>0</v>
      </c>
      <c r="U265" s="2379">
        <v>0</v>
      </c>
      <c r="V265" s="2378">
        <v>0</v>
      </c>
      <c r="W265" s="2380">
        <v>0</v>
      </c>
      <c r="X265" s="2381">
        <v>0</v>
      </c>
      <c r="Y265" s="2381">
        <v>0</v>
      </c>
      <c r="Z265" s="2381">
        <v>0</v>
      </c>
      <c r="AA265" s="2382">
        <v>0</v>
      </c>
      <c r="AB265" s="430" t="s">
        <v>1978</v>
      </c>
      <c r="AC265" s="258" t="s">
        <v>11</v>
      </c>
      <c r="AD265" s="2048" t="s">
        <v>190</v>
      </c>
      <c r="AE265" s="2048" t="s">
        <v>91</v>
      </c>
      <c r="AF265" s="373" t="s">
        <v>100</v>
      </c>
      <c r="AG265" s="258" t="s">
        <v>208</v>
      </c>
      <c r="AH265" s="258" t="s">
        <v>971</v>
      </c>
    </row>
    <row r="266" spans="1:34" ht="25.5" outlineLevel="1" x14ac:dyDescent="0.25">
      <c r="A266" s="2428" t="s">
        <v>1521</v>
      </c>
      <c r="B266" s="2429" t="s">
        <v>1979</v>
      </c>
      <c r="C266" s="2430" t="s">
        <v>1522</v>
      </c>
      <c r="D266" s="672" t="s">
        <v>1722</v>
      </c>
      <c r="E266" s="254" t="s">
        <v>1523</v>
      </c>
      <c r="F266" s="254" t="s">
        <v>1523</v>
      </c>
      <c r="G266" s="2431">
        <v>3000</v>
      </c>
      <c r="H266" s="2432">
        <v>0</v>
      </c>
      <c r="I266" s="2433">
        <v>0</v>
      </c>
      <c r="J266" s="2434">
        <v>0</v>
      </c>
      <c r="K266" s="2435">
        <v>0</v>
      </c>
      <c r="L266" s="2433">
        <v>0</v>
      </c>
      <c r="M266" s="2434">
        <v>0</v>
      </c>
      <c r="N266" s="2436">
        <v>1000</v>
      </c>
      <c r="O266" s="2437">
        <v>3000</v>
      </c>
      <c r="P266" s="2710">
        <v>-2000</v>
      </c>
      <c r="Q266" s="2431">
        <f t="shared" si="10"/>
        <v>1000</v>
      </c>
      <c r="R266" s="2438">
        <v>2000</v>
      </c>
      <c r="S266" s="2436">
        <v>0</v>
      </c>
      <c r="T266" s="2439">
        <v>0</v>
      </c>
      <c r="U266" s="2434">
        <v>0</v>
      </c>
      <c r="V266" s="2440">
        <v>0</v>
      </c>
      <c r="W266" s="2433">
        <v>0</v>
      </c>
      <c r="X266" s="2439">
        <v>0</v>
      </c>
      <c r="Y266" s="2439">
        <v>0</v>
      </c>
      <c r="Z266" s="2439">
        <v>0</v>
      </c>
      <c r="AA266" s="2436">
        <v>0</v>
      </c>
      <c r="AB266" s="1354" t="s">
        <v>1980</v>
      </c>
      <c r="AC266" s="672" t="s">
        <v>11</v>
      </c>
      <c r="AD266" s="2441" t="s">
        <v>190</v>
      </c>
      <c r="AE266" s="2441" t="s">
        <v>91</v>
      </c>
      <c r="AF266" s="714" t="s">
        <v>100</v>
      </c>
      <c r="AG266" s="672" t="s">
        <v>211</v>
      </c>
      <c r="AH266" s="672" t="s">
        <v>971</v>
      </c>
    </row>
    <row r="267" spans="1:34" ht="25.5" outlineLevel="1" x14ac:dyDescent="0.25">
      <c r="A267" s="802" t="s">
        <v>1524</v>
      </c>
      <c r="B267" s="835" t="s">
        <v>1981</v>
      </c>
      <c r="C267" s="1335" t="s">
        <v>1525</v>
      </c>
      <c r="D267" s="95" t="s">
        <v>1722</v>
      </c>
      <c r="E267" s="19" t="s">
        <v>1526</v>
      </c>
      <c r="F267" s="19" t="s">
        <v>1526</v>
      </c>
      <c r="G267" s="1562">
        <v>7000</v>
      </c>
      <c r="H267" s="878">
        <v>0</v>
      </c>
      <c r="I267" s="803">
        <v>0</v>
      </c>
      <c r="J267" s="470">
        <v>0</v>
      </c>
      <c r="K267" s="877">
        <v>0</v>
      </c>
      <c r="L267" s="803">
        <v>0</v>
      </c>
      <c r="M267" s="470">
        <v>0</v>
      </c>
      <c r="N267" s="513">
        <v>200</v>
      </c>
      <c r="O267" s="844">
        <v>200</v>
      </c>
      <c r="P267" s="1121">
        <v>0</v>
      </c>
      <c r="Q267" s="613">
        <f t="shared" si="10"/>
        <v>200</v>
      </c>
      <c r="R267" s="519">
        <v>6800</v>
      </c>
      <c r="S267" s="513">
        <v>0</v>
      </c>
      <c r="T267" s="698">
        <v>0</v>
      </c>
      <c r="U267" s="470">
        <v>0</v>
      </c>
      <c r="V267" s="507">
        <v>0</v>
      </c>
      <c r="W267" s="803">
        <v>0</v>
      </c>
      <c r="X267" s="698">
        <v>0</v>
      </c>
      <c r="Y267" s="698">
        <v>0</v>
      </c>
      <c r="Z267" s="698">
        <v>0</v>
      </c>
      <c r="AA267" s="513">
        <v>0</v>
      </c>
      <c r="AB267" s="509" t="s">
        <v>84</v>
      </c>
      <c r="AC267" s="95" t="s">
        <v>11</v>
      </c>
      <c r="AD267" s="685" t="s">
        <v>190</v>
      </c>
      <c r="AE267" s="685" t="s">
        <v>91</v>
      </c>
      <c r="AF267" s="515" t="s">
        <v>101</v>
      </c>
      <c r="AG267" s="95" t="s">
        <v>217</v>
      </c>
      <c r="AH267" s="95" t="s">
        <v>971</v>
      </c>
    </row>
    <row r="268" spans="1:34" ht="25.5" outlineLevel="1" x14ac:dyDescent="0.25">
      <c r="A268" s="802" t="s">
        <v>1527</v>
      </c>
      <c r="B268" s="835" t="s">
        <v>1982</v>
      </c>
      <c r="C268" s="1335" t="s">
        <v>1528</v>
      </c>
      <c r="D268" s="95" t="s">
        <v>1722</v>
      </c>
      <c r="E268" s="19" t="s">
        <v>1529</v>
      </c>
      <c r="F268" s="19" t="s">
        <v>1529</v>
      </c>
      <c r="G268" s="1562">
        <v>3000</v>
      </c>
      <c r="H268" s="878">
        <v>0</v>
      </c>
      <c r="I268" s="803">
        <v>0</v>
      </c>
      <c r="J268" s="470">
        <v>0</v>
      </c>
      <c r="K268" s="877">
        <v>0</v>
      </c>
      <c r="L268" s="803">
        <v>0</v>
      </c>
      <c r="M268" s="470">
        <v>0</v>
      </c>
      <c r="N268" s="513">
        <v>0</v>
      </c>
      <c r="O268" s="844">
        <v>0</v>
      </c>
      <c r="P268" s="1121">
        <v>0</v>
      </c>
      <c r="Q268" s="613">
        <f t="shared" si="10"/>
        <v>0</v>
      </c>
      <c r="R268" s="519">
        <v>3000</v>
      </c>
      <c r="S268" s="513">
        <v>0</v>
      </c>
      <c r="T268" s="698">
        <v>0</v>
      </c>
      <c r="U268" s="470">
        <v>0</v>
      </c>
      <c r="V268" s="507">
        <v>0</v>
      </c>
      <c r="W268" s="803">
        <v>0</v>
      </c>
      <c r="X268" s="698">
        <v>0</v>
      </c>
      <c r="Y268" s="698">
        <v>0</v>
      </c>
      <c r="Z268" s="698">
        <v>0</v>
      </c>
      <c r="AA268" s="513">
        <v>0</v>
      </c>
      <c r="AB268" s="509" t="s">
        <v>84</v>
      </c>
      <c r="AC268" s="95" t="s">
        <v>11</v>
      </c>
      <c r="AD268" s="685" t="s">
        <v>190</v>
      </c>
      <c r="AE268" s="685" t="s">
        <v>91</v>
      </c>
      <c r="AF268" s="515" t="s">
        <v>101</v>
      </c>
      <c r="AG268" s="95" t="s">
        <v>215</v>
      </c>
      <c r="AH268" s="95" t="s">
        <v>971</v>
      </c>
    </row>
    <row r="269" spans="1:34" ht="26.25" outlineLevel="1" thickBot="1" x14ac:dyDescent="0.3">
      <c r="A269" s="832" t="s">
        <v>1530</v>
      </c>
      <c r="B269" s="836" t="s">
        <v>1502</v>
      </c>
      <c r="C269" s="1336" t="s">
        <v>1531</v>
      </c>
      <c r="D269" s="98" t="s">
        <v>1722</v>
      </c>
      <c r="E269" s="53" t="s">
        <v>1532</v>
      </c>
      <c r="F269" s="53" t="s">
        <v>1532</v>
      </c>
      <c r="G269" s="185">
        <v>1500</v>
      </c>
      <c r="H269" s="882">
        <v>0</v>
      </c>
      <c r="I269" s="870">
        <v>0</v>
      </c>
      <c r="J269" s="880">
        <v>0</v>
      </c>
      <c r="K269" s="881">
        <v>0</v>
      </c>
      <c r="L269" s="870">
        <v>0</v>
      </c>
      <c r="M269" s="880">
        <v>0</v>
      </c>
      <c r="N269" s="217">
        <v>115</v>
      </c>
      <c r="O269" s="845">
        <v>115</v>
      </c>
      <c r="P269" s="981">
        <v>0</v>
      </c>
      <c r="Q269" s="531">
        <f t="shared" si="10"/>
        <v>115</v>
      </c>
      <c r="R269" s="391">
        <v>1385</v>
      </c>
      <c r="S269" s="217">
        <v>0</v>
      </c>
      <c r="T269" s="870">
        <v>0</v>
      </c>
      <c r="U269" s="880">
        <v>0</v>
      </c>
      <c r="V269" s="217">
        <v>0</v>
      </c>
      <c r="W269" s="870">
        <v>0</v>
      </c>
      <c r="X269" s="697">
        <v>0</v>
      </c>
      <c r="Y269" s="697">
        <v>0</v>
      </c>
      <c r="Z269" s="697"/>
      <c r="AA269" s="217">
        <v>0</v>
      </c>
      <c r="AB269" s="335" t="s">
        <v>84</v>
      </c>
      <c r="AC269" s="98" t="s">
        <v>11</v>
      </c>
      <c r="AD269" s="89" t="s">
        <v>190</v>
      </c>
      <c r="AE269" s="89" t="s">
        <v>91</v>
      </c>
      <c r="AF269" s="58" t="s">
        <v>101</v>
      </c>
      <c r="AG269" s="98" t="s">
        <v>204</v>
      </c>
      <c r="AH269" s="98" t="s">
        <v>971</v>
      </c>
    </row>
    <row r="270" spans="1:34" outlineLevel="1" x14ac:dyDescent="0.25">
      <c r="A270" s="2442" t="s">
        <v>1983</v>
      </c>
      <c r="B270" s="2442" t="s">
        <v>87</v>
      </c>
      <c r="C270" s="2305" t="s">
        <v>1984</v>
      </c>
      <c r="D270" s="385" t="s">
        <v>84</v>
      </c>
      <c r="E270" s="385" t="s">
        <v>7</v>
      </c>
      <c r="F270" s="385" t="s">
        <v>1985</v>
      </c>
      <c r="G270" s="2443">
        <v>300000</v>
      </c>
      <c r="H270" s="2444">
        <v>0</v>
      </c>
      <c r="I270" s="2445">
        <v>0</v>
      </c>
      <c r="J270" s="2446">
        <v>0</v>
      </c>
      <c r="K270" s="2447">
        <v>0</v>
      </c>
      <c r="L270" s="2445">
        <v>0</v>
      </c>
      <c r="M270" s="2446">
        <v>0</v>
      </c>
      <c r="N270" s="2447">
        <v>500</v>
      </c>
      <c r="O270" s="2448">
        <v>0</v>
      </c>
      <c r="P270" s="1937">
        <v>500</v>
      </c>
      <c r="Q270" s="2443">
        <f>O270+P270</f>
        <v>500</v>
      </c>
      <c r="R270" s="2444">
        <v>22000</v>
      </c>
      <c r="S270" s="2444">
        <v>277500</v>
      </c>
      <c r="T270" s="2445">
        <v>0</v>
      </c>
      <c r="U270" s="2446">
        <v>0</v>
      </c>
      <c r="V270" s="2447">
        <v>0</v>
      </c>
      <c r="W270" s="2462">
        <v>0</v>
      </c>
      <c r="X270" s="2446">
        <v>0</v>
      </c>
      <c r="Y270" s="2446">
        <v>0</v>
      </c>
      <c r="Z270" s="2446">
        <v>0</v>
      </c>
      <c r="AA270" s="2463">
        <v>0</v>
      </c>
      <c r="AB270" s="2452" t="s">
        <v>2079</v>
      </c>
      <c r="AC270" s="385" t="s">
        <v>11</v>
      </c>
      <c r="AD270" s="709" t="s">
        <v>190</v>
      </c>
      <c r="AE270" s="709" t="s">
        <v>91</v>
      </c>
      <c r="AF270" s="709" t="s">
        <v>102</v>
      </c>
      <c r="AG270" s="385" t="s">
        <v>204</v>
      </c>
      <c r="AH270" s="385" t="s">
        <v>971</v>
      </c>
    </row>
    <row r="271" spans="1:34" ht="25.5" outlineLevel="1" x14ac:dyDescent="0.25">
      <c r="A271" s="2453" t="s">
        <v>1986</v>
      </c>
      <c r="B271" s="2453" t="s">
        <v>87</v>
      </c>
      <c r="C271" s="2454" t="s">
        <v>1987</v>
      </c>
      <c r="D271" s="1173" t="s">
        <v>84</v>
      </c>
      <c r="E271" s="1173" t="s">
        <v>31</v>
      </c>
      <c r="F271" s="1173" t="s">
        <v>31</v>
      </c>
      <c r="G271" s="2455">
        <v>1500</v>
      </c>
      <c r="H271" s="2456">
        <v>0</v>
      </c>
      <c r="I271" s="2457">
        <v>0</v>
      </c>
      <c r="J271" s="2450">
        <v>0</v>
      </c>
      <c r="K271" s="2458">
        <v>0</v>
      </c>
      <c r="L271" s="2457">
        <v>0</v>
      </c>
      <c r="M271" s="2450">
        <v>0</v>
      </c>
      <c r="N271" s="2458">
        <v>0</v>
      </c>
      <c r="O271" s="2459">
        <v>0</v>
      </c>
      <c r="P271" s="1703">
        <v>0</v>
      </c>
      <c r="Q271" s="2455">
        <f>O271+P271</f>
        <v>0</v>
      </c>
      <c r="R271" s="2456">
        <v>1500</v>
      </c>
      <c r="S271" s="2456">
        <v>0</v>
      </c>
      <c r="T271" s="2457">
        <v>0</v>
      </c>
      <c r="U271" s="2450">
        <v>0</v>
      </c>
      <c r="V271" s="2458">
        <v>0</v>
      </c>
      <c r="W271" s="2449">
        <v>0</v>
      </c>
      <c r="X271" s="2450">
        <v>0</v>
      </c>
      <c r="Y271" s="2450">
        <v>0</v>
      </c>
      <c r="Z271" s="2450">
        <v>0</v>
      </c>
      <c r="AA271" s="2451">
        <v>0</v>
      </c>
      <c r="AB271" s="2460" t="s">
        <v>1988</v>
      </c>
      <c r="AC271" s="1173" t="s">
        <v>11</v>
      </c>
      <c r="AD271" s="709" t="s">
        <v>1067</v>
      </c>
      <c r="AE271" s="2461" t="s">
        <v>91</v>
      </c>
      <c r="AF271" s="2461" t="s">
        <v>100</v>
      </c>
      <c r="AG271" s="1173" t="s">
        <v>222</v>
      </c>
      <c r="AH271" s="1173" t="s">
        <v>971</v>
      </c>
    </row>
    <row r="272" spans="1:34" outlineLevel="1" x14ac:dyDescent="0.25">
      <c r="A272" s="2453" t="s">
        <v>1989</v>
      </c>
      <c r="B272" s="2453" t="s">
        <v>87</v>
      </c>
      <c r="C272" s="2454" t="s">
        <v>1990</v>
      </c>
      <c r="D272" s="1173" t="s">
        <v>84</v>
      </c>
      <c r="E272" s="1173" t="s">
        <v>811</v>
      </c>
      <c r="F272" s="1173" t="s">
        <v>811</v>
      </c>
      <c r="G272" s="2455">
        <v>3500</v>
      </c>
      <c r="H272" s="2456">
        <v>0</v>
      </c>
      <c r="I272" s="2457">
        <v>0</v>
      </c>
      <c r="J272" s="2450">
        <v>0</v>
      </c>
      <c r="K272" s="2458">
        <v>0</v>
      </c>
      <c r="L272" s="2457">
        <v>0</v>
      </c>
      <c r="M272" s="2450">
        <v>0</v>
      </c>
      <c r="N272" s="2458">
        <v>0</v>
      </c>
      <c r="O272" s="2459">
        <v>0</v>
      </c>
      <c r="P272" s="1703">
        <v>0</v>
      </c>
      <c r="Q272" s="2455">
        <f>O272+P272</f>
        <v>0</v>
      </c>
      <c r="R272" s="2456">
        <v>3500</v>
      </c>
      <c r="S272" s="2456">
        <v>0</v>
      </c>
      <c r="T272" s="2457">
        <v>0</v>
      </c>
      <c r="U272" s="2450">
        <v>0</v>
      </c>
      <c r="V272" s="2458">
        <v>0</v>
      </c>
      <c r="W272" s="2449">
        <v>0</v>
      </c>
      <c r="X272" s="2450">
        <v>0</v>
      </c>
      <c r="Y272" s="2450">
        <v>0</v>
      </c>
      <c r="Z272" s="2450">
        <v>0</v>
      </c>
      <c r="AA272" s="2451">
        <v>0</v>
      </c>
      <c r="AB272" s="2460" t="s">
        <v>1991</v>
      </c>
      <c r="AC272" s="1173" t="s">
        <v>11</v>
      </c>
      <c r="AD272" s="709" t="s">
        <v>1067</v>
      </c>
      <c r="AE272" s="2461" t="s">
        <v>91</v>
      </c>
      <c r="AF272" s="2461" t="s">
        <v>100</v>
      </c>
      <c r="AG272" s="1173" t="s">
        <v>211</v>
      </c>
      <c r="AH272" s="1173" t="s">
        <v>971</v>
      </c>
    </row>
    <row r="273" spans="1:34" ht="25.5" outlineLevel="1" x14ac:dyDescent="0.25">
      <c r="A273" s="2453" t="s">
        <v>2053</v>
      </c>
      <c r="B273" s="2453" t="s">
        <v>87</v>
      </c>
      <c r="C273" s="2454" t="s">
        <v>2054</v>
      </c>
      <c r="D273" s="1173" t="s">
        <v>84</v>
      </c>
      <c r="E273" s="1173" t="s">
        <v>75</v>
      </c>
      <c r="F273" s="1173" t="s">
        <v>75</v>
      </c>
      <c r="G273" s="2455">
        <v>3500</v>
      </c>
      <c r="H273" s="2456">
        <v>0</v>
      </c>
      <c r="I273" s="2457">
        <v>0</v>
      </c>
      <c r="J273" s="2450">
        <v>0</v>
      </c>
      <c r="K273" s="2458">
        <v>0</v>
      </c>
      <c r="L273" s="2457">
        <v>0</v>
      </c>
      <c r="M273" s="2450">
        <v>0</v>
      </c>
      <c r="N273" s="2458">
        <v>0</v>
      </c>
      <c r="O273" s="2459">
        <v>0</v>
      </c>
      <c r="P273" s="1703">
        <v>0</v>
      </c>
      <c r="Q273" s="2455">
        <f>O273+P273</f>
        <v>0</v>
      </c>
      <c r="R273" s="2456">
        <v>3500</v>
      </c>
      <c r="S273" s="2456">
        <v>0</v>
      </c>
      <c r="T273" s="2457">
        <v>0</v>
      </c>
      <c r="U273" s="2450">
        <v>0</v>
      </c>
      <c r="V273" s="2458">
        <v>0</v>
      </c>
      <c r="W273" s="2449">
        <v>0</v>
      </c>
      <c r="X273" s="2450">
        <v>0</v>
      </c>
      <c r="Y273" s="2450">
        <v>0</v>
      </c>
      <c r="Z273" s="2450">
        <v>0</v>
      </c>
      <c r="AA273" s="2451">
        <v>0</v>
      </c>
      <c r="AB273" s="2460" t="s">
        <v>2055</v>
      </c>
      <c r="AC273" s="1173" t="s">
        <v>11</v>
      </c>
      <c r="AD273" s="709" t="s">
        <v>1067</v>
      </c>
      <c r="AE273" s="2461" t="s">
        <v>91</v>
      </c>
      <c r="AF273" s="2461" t="s">
        <v>100</v>
      </c>
      <c r="AG273" s="1173" t="s">
        <v>217</v>
      </c>
      <c r="AH273" s="1173" t="s">
        <v>971</v>
      </c>
    </row>
    <row r="274" spans="1:34" ht="16.5" outlineLevel="1" thickBot="1" x14ac:dyDescent="0.3">
      <c r="A274" s="84" t="s">
        <v>96</v>
      </c>
      <c r="B274" s="84" t="s">
        <v>96</v>
      </c>
      <c r="C274" s="1153" t="s">
        <v>96</v>
      </c>
      <c r="D274" s="486" t="s">
        <v>2056</v>
      </c>
      <c r="E274" s="311" t="s">
        <v>96</v>
      </c>
      <c r="F274" s="311" t="s">
        <v>96</v>
      </c>
      <c r="G274" s="341" t="s">
        <v>96</v>
      </c>
      <c r="H274" s="389" t="s">
        <v>96</v>
      </c>
      <c r="I274" s="388" t="s">
        <v>96</v>
      </c>
      <c r="J274" s="334" t="s">
        <v>96</v>
      </c>
      <c r="K274" s="1304" t="s">
        <v>96</v>
      </c>
      <c r="L274" s="388" t="s">
        <v>96</v>
      </c>
      <c r="M274" s="334" t="s">
        <v>96</v>
      </c>
      <c r="N274" s="318" t="s">
        <v>96</v>
      </c>
      <c r="O274" s="215" t="s">
        <v>96</v>
      </c>
      <c r="P274" s="318" t="s">
        <v>96</v>
      </c>
      <c r="Q274" s="441" t="s">
        <v>96</v>
      </c>
      <c r="R274" s="341" t="s">
        <v>96</v>
      </c>
      <c r="S274" s="340" t="s">
        <v>96</v>
      </c>
      <c r="T274" s="1283" t="s">
        <v>96</v>
      </c>
      <c r="U274" s="339" t="s">
        <v>96</v>
      </c>
      <c r="V274" s="340" t="s">
        <v>96</v>
      </c>
      <c r="W274" s="1284" t="s">
        <v>96</v>
      </c>
      <c r="X274" s="1284" t="s">
        <v>96</v>
      </c>
      <c r="Y274" s="1284" t="s">
        <v>96</v>
      </c>
      <c r="Z274" s="1284" t="s">
        <v>96</v>
      </c>
      <c r="AA274" s="340" t="s">
        <v>96</v>
      </c>
      <c r="AB274" s="341" t="s">
        <v>96</v>
      </c>
      <c r="AC274" s="311" t="s">
        <v>96</v>
      </c>
      <c r="AD274" s="90" t="s">
        <v>96</v>
      </c>
      <c r="AE274" s="90" t="s">
        <v>96</v>
      </c>
      <c r="AF274" s="84" t="s">
        <v>96</v>
      </c>
      <c r="AG274" s="311" t="s">
        <v>96</v>
      </c>
      <c r="AH274" s="311" t="s">
        <v>96</v>
      </c>
    </row>
    <row r="275" spans="1:34" s="1495" customFormat="1" ht="18.75" thickBot="1" x14ac:dyDescent="0.3">
      <c r="A275" s="1078" t="s">
        <v>108</v>
      </c>
      <c r="B275" s="1079"/>
      <c r="C275" s="1093"/>
      <c r="D275" s="38" t="s">
        <v>84</v>
      </c>
      <c r="E275" s="1493" t="s">
        <v>84</v>
      </c>
      <c r="F275" s="1493" t="s">
        <v>84</v>
      </c>
      <c r="G275" s="504">
        <f>SUM(G207:G274)</f>
        <v>2005564.4729800003</v>
      </c>
      <c r="H275" s="504">
        <f t="shared" ref="H275:AA275" si="11">SUM(H207:H274)</f>
        <v>42166.328250000006</v>
      </c>
      <c r="I275" s="504">
        <f t="shared" si="11"/>
        <v>45729.692060000001</v>
      </c>
      <c r="J275" s="504">
        <f t="shared" si="11"/>
        <v>26734.945739999999</v>
      </c>
      <c r="K275" s="504">
        <v>21218.61002</v>
      </c>
      <c r="L275" s="504">
        <f t="shared" si="11"/>
        <v>45729.692059999994</v>
      </c>
      <c r="M275" s="504">
        <f t="shared" si="11"/>
        <v>26734.945739999999</v>
      </c>
      <c r="N275" s="504">
        <f t="shared" si="11"/>
        <v>132739.40046999999</v>
      </c>
      <c r="O275" s="504">
        <f t="shared" si="11"/>
        <v>283216.85428999993</v>
      </c>
      <c r="P275" s="504">
        <f t="shared" si="11"/>
        <v>-78012.816019999998</v>
      </c>
      <c r="Q275" s="504">
        <f t="shared" si="11"/>
        <v>205204.03826999993</v>
      </c>
      <c r="R275" s="504">
        <f t="shared" si="11"/>
        <v>888557.20260000008</v>
      </c>
      <c r="S275" s="504">
        <f t="shared" si="11"/>
        <v>853567.5</v>
      </c>
      <c r="T275" s="504">
        <f t="shared" si="11"/>
        <v>14969.40386</v>
      </c>
      <c r="U275" s="504">
        <f t="shared" si="11"/>
        <v>0</v>
      </c>
      <c r="V275" s="504">
        <f t="shared" si="11"/>
        <v>1100</v>
      </c>
      <c r="W275" s="504">
        <f t="shared" si="11"/>
        <v>0</v>
      </c>
      <c r="X275" s="504">
        <f t="shared" si="11"/>
        <v>0</v>
      </c>
      <c r="Y275" s="504">
        <v>0</v>
      </c>
      <c r="Z275" s="504">
        <f t="shared" si="11"/>
        <v>0</v>
      </c>
      <c r="AA275" s="504">
        <f t="shared" si="11"/>
        <v>0</v>
      </c>
      <c r="AB275" s="38" t="s">
        <v>1276</v>
      </c>
      <c r="AC275" s="38" t="s">
        <v>84</v>
      </c>
      <c r="AD275" s="1496" t="s">
        <v>84</v>
      </c>
      <c r="AE275" s="1496" t="s">
        <v>84</v>
      </c>
      <c r="AF275" s="41" t="s">
        <v>84</v>
      </c>
      <c r="AG275" s="1485" t="s">
        <v>84</v>
      </c>
      <c r="AH275" s="1485" t="s">
        <v>84</v>
      </c>
    </row>
    <row r="276" spans="1:34" ht="31.5" outlineLevel="1" x14ac:dyDescent="0.25">
      <c r="A276" s="804" t="s">
        <v>264</v>
      </c>
      <c r="B276" s="798" t="s">
        <v>433</v>
      </c>
      <c r="C276" s="1307" t="s">
        <v>34</v>
      </c>
      <c r="D276" s="501" t="s">
        <v>1407</v>
      </c>
      <c r="E276" s="514" t="s">
        <v>241</v>
      </c>
      <c r="F276" s="503" t="s">
        <v>241</v>
      </c>
      <c r="G276" s="480">
        <v>86968.67959</v>
      </c>
      <c r="H276" s="380">
        <v>73347.190480000005</v>
      </c>
      <c r="I276" s="1582">
        <v>160.64685999999998</v>
      </c>
      <c r="J276" s="1583">
        <v>7818.1752900000001</v>
      </c>
      <c r="K276" s="1584">
        <v>884.75638000000004</v>
      </c>
      <c r="L276" s="396">
        <f>153.43526+7.2116</f>
        <v>160.64686</v>
      </c>
      <c r="M276" s="505">
        <v>7818.1752900000001</v>
      </c>
      <c r="N276" s="699">
        <v>5642.6669600000023</v>
      </c>
      <c r="O276" s="838">
        <v>13621.489110000002</v>
      </c>
      <c r="P276" s="849">
        <v>0</v>
      </c>
      <c r="Q276" s="612">
        <f t="shared" ref="Q276:Q339" si="12">O276+P276</f>
        <v>13621.489110000002</v>
      </c>
      <c r="R276" s="443">
        <v>0</v>
      </c>
      <c r="S276" s="1287">
        <v>0</v>
      </c>
      <c r="T276" s="1486">
        <v>0</v>
      </c>
      <c r="U276" s="1472">
        <v>0</v>
      </c>
      <c r="V276" s="699">
        <v>0</v>
      </c>
      <c r="W276" s="1285">
        <v>0</v>
      </c>
      <c r="X276" s="801">
        <v>0</v>
      </c>
      <c r="Y276" s="800">
        <v>0</v>
      </c>
      <c r="Z276" s="800">
        <v>0</v>
      </c>
      <c r="AA276" s="1487">
        <v>0</v>
      </c>
      <c r="AB276" s="501" t="s">
        <v>84</v>
      </c>
      <c r="AC276" s="501" t="s">
        <v>13</v>
      </c>
      <c r="AD276" s="829" t="s">
        <v>190</v>
      </c>
      <c r="AE276" s="829" t="s">
        <v>92</v>
      </c>
      <c r="AF276" s="45" t="s">
        <v>100</v>
      </c>
      <c r="AG276" s="503" t="s">
        <v>796</v>
      </c>
      <c r="AH276" s="503" t="s">
        <v>975</v>
      </c>
    </row>
    <row r="277" spans="1:34" ht="31.5" outlineLevel="1" x14ac:dyDescent="0.25">
      <c r="A277" s="802" t="s">
        <v>265</v>
      </c>
      <c r="B277" s="798" t="s">
        <v>434</v>
      </c>
      <c r="C277" s="1305" t="s">
        <v>94</v>
      </c>
      <c r="D277" s="95" t="s">
        <v>89</v>
      </c>
      <c r="E277" s="514" t="s">
        <v>7</v>
      </c>
      <c r="F277" s="514" t="s">
        <v>303</v>
      </c>
      <c r="G277" s="96">
        <v>17500</v>
      </c>
      <c r="H277" s="380">
        <v>0</v>
      </c>
      <c r="I277" s="1604">
        <v>0</v>
      </c>
      <c r="J277" s="1605">
        <v>0</v>
      </c>
      <c r="K277" s="1606">
        <v>0</v>
      </c>
      <c r="L277" s="518">
        <v>0</v>
      </c>
      <c r="M277" s="516">
        <v>0</v>
      </c>
      <c r="N277" s="512">
        <v>0</v>
      </c>
      <c r="O277" s="838">
        <v>0</v>
      </c>
      <c r="P277" s="849">
        <v>0</v>
      </c>
      <c r="Q277" s="613">
        <f t="shared" si="12"/>
        <v>0</v>
      </c>
      <c r="R277" s="519">
        <v>17500</v>
      </c>
      <c r="S277" s="1296">
        <v>0</v>
      </c>
      <c r="T277" s="1521">
        <v>0</v>
      </c>
      <c r="U277" s="1522">
        <v>0</v>
      </c>
      <c r="V277" s="512">
        <v>0</v>
      </c>
      <c r="W277" s="803">
        <v>0</v>
      </c>
      <c r="X277" s="865">
        <v>0</v>
      </c>
      <c r="Y277" s="865">
        <v>0</v>
      </c>
      <c r="Z277" s="698">
        <v>0</v>
      </c>
      <c r="AA277" s="507">
        <v>0</v>
      </c>
      <c r="AB277" s="479" t="s">
        <v>84</v>
      </c>
      <c r="AC277" s="95" t="s">
        <v>32</v>
      </c>
      <c r="AD277" s="685" t="s">
        <v>524</v>
      </c>
      <c r="AE277" s="685" t="s">
        <v>91</v>
      </c>
      <c r="AF277" s="515" t="s">
        <v>100</v>
      </c>
      <c r="AG277" s="514" t="s">
        <v>1472</v>
      </c>
      <c r="AH277" s="514" t="s">
        <v>975</v>
      </c>
    </row>
    <row r="278" spans="1:34" ht="25.5" outlineLevel="1" x14ac:dyDescent="0.25">
      <c r="A278" s="949" t="s">
        <v>266</v>
      </c>
      <c r="B278" s="798" t="s">
        <v>435</v>
      </c>
      <c r="C278" s="1305" t="s">
        <v>152</v>
      </c>
      <c r="D278" s="95" t="s">
        <v>89</v>
      </c>
      <c r="E278" s="514" t="s">
        <v>7</v>
      </c>
      <c r="F278" s="514" t="s">
        <v>44</v>
      </c>
      <c r="G278" s="96">
        <v>96.8</v>
      </c>
      <c r="H278" s="179">
        <v>0</v>
      </c>
      <c r="I278" s="1607">
        <v>0</v>
      </c>
      <c r="J278" s="395">
        <v>0</v>
      </c>
      <c r="K278" s="1608">
        <v>0</v>
      </c>
      <c r="L278" s="1607">
        <v>0</v>
      </c>
      <c r="M278" s="66">
        <v>0</v>
      </c>
      <c r="N278" s="512">
        <v>0</v>
      </c>
      <c r="O278" s="841">
        <v>0</v>
      </c>
      <c r="P278" s="851">
        <v>0</v>
      </c>
      <c r="Q278" s="613">
        <f t="shared" si="12"/>
        <v>0</v>
      </c>
      <c r="R278" s="439">
        <v>96.8</v>
      </c>
      <c r="S278" s="1296">
        <v>0</v>
      </c>
      <c r="T278" s="1521">
        <v>0</v>
      </c>
      <c r="U278" s="1522">
        <v>0</v>
      </c>
      <c r="V278" s="512">
        <v>0</v>
      </c>
      <c r="W278" s="872">
        <v>0</v>
      </c>
      <c r="X278" s="871">
        <v>0</v>
      </c>
      <c r="Y278" s="871">
        <v>0</v>
      </c>
      <c r="Z278" s="871">
        <v>0</v>
      </c>
      <c r="AA278" s="1518">
        <v>0</v>
      </c>
      <c r="AB278" s="95" t="s">
        <v>84</v>
      </c>
      <c r="AC278" s="95" t="s">
        <v>32</v>
      </c>
      <c r="AD278" s="685" t="s">
        <v>524</v>
      </c>
      <c r="AE278" s="685" t="s">
        <v>91</v>
      </c>
      <c r="AF278" s="515" t="s">
        <v>100</v>
      </c>
      <c r="AG278" s="514" t="s">
        <v>217</v>
      </c>
      <c r="AH278" s="514" t="s">
        <v>975</v>
      </c>
    </row>
    <row r="279" spans="1:34" ht="32.25" outlineLevel="1" thickBot="1" x14ac:dyDescent="0.3">
      <c r="A279" s="832" t="s">
        <v>267</v>
      </c>
      <c r="B279" s="56" t="s">
        <v>436</v>
      </c>
      <c r="C279" s="1306" t="s">
        <v>302</v>
      </c>
      <c r="D279" s="98" t="s">
        <v>89</v>
      </c>
      <c r="E279" s="502" t="s">
        <v>38</v>
      </c>
      <c r="F279" s="502" t="s">
        <v>38</v>
      </c>
      <c r="G279" s="15">
        <v>248655</v>
      </c>
      <c r="H279" s="222">
        <v>1724.069</v>
      </c>
      <c r="I279" s="1585">
        <v>0</v>
      </c>
      <c r="J279" s="1470">
        <v>19850</v>
      </c>
      <c r="K279" s="1586">
        <v>0</v>
      </c>
      <c r="L279" s="330">
        <v>0</v>
      </c>
      <c r="M279" s="101">
        <v>19850</v>
      </c>
      <c r="N279" s="16">
        <v>500</v>
      </c>
      <c r="O279" s="842">
        <v>20350</v>
      </c>
      <c r="P279" s="825">
        <v>0</v>
      </c>
      <c r="Q279" s="531">
        <f t="shared" si="12"/>
        <v>20350</v>
      </c>
      <c r="R279" s="391">
        <v>226580.93100000001</v>
      </c>
      <c r="S279" s="882">
        <v>0</v>
      </c>
      <c r="T279" s="330">
        <v>0</v>
      </c>
      <c r="U279" s="101">
        <v>0</v>
      </c>
      <c r="V279" s="16">
        <v>0</v>
      </c>
      <c r="W279" s="870">
        <v>0</v>
      </c>
      <c r="X279" s="697">
        <v>0</v>
      </c>
      <c r="Y279" s="697">
        <v>0</v>
      </c>
      <c r="Z279" s="697">
        <v>0</v>
      </c>
      <c r="AA279" s="1292">
        <v>0</v>
      </c>
      <c r="AB279" s="496" t="s">
        <v>84</v>
      </c>
      <c r="AC279" s="98" t="s">
        <v>11</v>
      </c>
      <c r="AD279" s="89" t="s">
        <v>190</v>
      </c>
      <c r="AE279" s="89" t="s">
        <v>91</v>
      </c>
      <c r="AF279" s="58" t="s">
        <v>102</v>
      </c>
      <c r="AG279" s="98" t="s">
        <v>212</v>
      </c>
      <c r="AH279" s="98" t="s">
        <v>975</v>
      </c>
    </row>
    <row r="280" spans="1:34" ht="31.5" outlineLevel="1" x14ac:dyDescent="0.25">
      <c r="A280" s="1803" t="s">
        <v>45</v>
      </c>
      <c r="B280" s="1804" t="s">
        <v>437</v>
      </c>
      <c r="C280" s="2468" t="s">
        <v>46</v>
      </c>
      <c r="D280" s="219" t="s">
        <v>1609</v>
      </c>
      <c r="E280" s="383" t="s">
        <v>38</v>
      </c>
      <c r="F280" s="383" t="s">
        <v>38</v>
      </c>
      <c r="G280" s="248">
        <v>30725.483690000001</v>
      </c>
      <c r="H280" s="322">
        <v>1649.4733299999998</v>
      </c>
      <c r="I280" s="1687">
        <v>0</v>
      </c>
      <c r="J280" s="1688">
        <v>64.886250000000004</v>
      </c>
      <c r="K280" s="1689">
        <v>0</v>
      </c>
      <c r="L280" s="348">
        <v>0</v>
      </c>
      <c r="M280" s="349">
        <v>64.886250000000004</v>
      </c>
      <c r="N280" s="1812">
        <v>2235.1137500000004</v>
      </c>
      <c r="O280" s="421">
        <v>8000</v>
      </c>
      <c r="P280" s="1691">
        <v>-5700</v>
      </c>
      <c r="Q280" s="1691">
        <f t="shared" si="12"/>
        <v>2300</v>
      </c>
      <c r="R280" s="421">
        <v>26776.01036</v>
      </c>
      <c r="S280" s="467">
        <v>0</v>
      </c>
      <c r="T280" s="348">
        <v>0</v>
      </c>
      <c r="U280" s="349">
        <v>0</v>
      </c>
      <c r="V280" s="1812">
        <v>0</v>
      </c>
      <c r="W280" s="2136">
        <v>0</v>
      </c>
      <c r="X280" s="1694">
        <v>0</v>
      </c>
      <c r="Y280" s="1694">
        <v>0</v>
      </c>
      <c r="Z280" s="1694">
        <v>0</v>
      </c>
      <c r="AA280" s="2138">
        <v>0</v>
      </c>
      <c r="AB280" s="219" t="s">
        <v>1993</v>
      </c>
      <c r="AC280" s="219" t="s">
        <v>13</v>
      </c>
      <c r="AD280" s="2359" t="s">
        <v>524</v>
      </c>
      <c r="AE280" s="2373" t="s">
        <v>92</v>
      </c>
      <c r="AF280" s="219">
        <v>2</v>
      </c>
      <c r="AG280" s="219" t="s">
        <v>212</v>
      </c>
      <c r="AH280" s="219" t="s">
        <v>975</v>
      </c>
    </row>
    <row r="281" spans="1:34" ht="31.5" outlineLevel="1" x14ac:dyDescent="0.25">
      <c r="A281" s="949" t="s">
        <v>47</v>
      </c>
      <c r="B281" s="798" t="s">
        <v>438</v>
      </c>
      <c r="C281" s="1305" t="s">
        <v>86</v>
      </c>
      <c r="D281" s="95" t="s">
        <v>1609</v>
      </c>
      <c r="E281" s="514" t="s">
        <v>37</v>
      </c>
      <c r="F281" s="514" t="s">
        <v>37</v>
      </c>
      <c r="G281" s="96">
        <f>50410.85+283</f>
        <v>50693.85</v>
      </c>
      <c r="H281" s="380">
        <v>1091.7598</v>
      </c>
      <c r="I281" s="1604">
        <v>0</v>
      </c>
      <c r="J281" s="1605">
        <v>0</v>
      </c>
      <c r="K281" s="1606">
        <v>0</v>
      </c>
      <c r="L281" s="518">
        <v>0</v>
      </c>
      <c r="M281" s="516">
        <v>0</v>
      </c>
      <c r="N281" s="512">
        <v>0</v>
      </c>
      <c r="O281" s="838">
        <v>0</v>
      </c>
      <c r="P281" s="849">
        <v>0</v>
      </c>
      <c r="Q281" s="613">
        <f t="shared" si="12"/>
        <v>0</v>
      </c>
      <c r="R281" s="519">
        <v>49602.090199999999</v>
      </c>
      <c r="S281" s="510">
        <v>0</v>
      </c>
      <c r="T281" s="518">
        <v>0</v>
      </c>
      <c r="U281" s="516">
        <v>0</v>
      </c>
      <c r="V281" s="512">
        <v>0</v>
      </c>
      <c r="W281" s="803">
        <v>0</v>
      </c>
      <c r="X281" s="865">
        <v>0</v>
      </c>
      <c r="Y281" s="865">
        <v>0</v>
      </c>
      <c r="Z281" s="698">
        <v>0</v>
      </c>
      <c r="AA281" s="513">
        <v>0</v>
      </c>
      <c r="AB281" s="19" t="s">
        <v>84</v>
      </c>
      <c r="AC281" s="95" t="s">
        <v>11</v>
      </c>
      <c r="AD281" s="685" t="s">
        <v>321</v>
      </c>
      <c r="AE281" s="60" t="s">
        <v>91</v>
      </c>
      <c r="AF281" s="95">
        <v>3</v>
      </c>
      <c r="AG281" s="95" t="s">
        <v>215</v>
      </c>
      <c r="AH281" s="95" t="s">
        <v>975</v>
      </c>
    </row>
    <row r="282" spans="1:34" ht="26.25" outlineLevel="1" thickBot="1" x14ac:dyDescent="0.3">
      <c r="A282" s="1752" t="s">
        <v>48</v>
      </c>
      <c r="B282" s="2119" t="s">
        <v>439</v>
      </c>
      <c r="C282" s="2469" t="s">
        <v>49</v>
      </c>
      <c r="D282" s="258" t="s">
        <v>1609</v>
      </c>
      <c r="E282" s="1755" t="s">
        <v>40</v>
      </c>
      <c r="F282" s="1755" t="s">
        <v>40</v>
      </c>
      <c r="G282" s="259">
        <v>8500</v>
      </c>
      <c r="H282" s="359">
        <v>3233.7547600000003</v>
      </c>
      <c r="I282" s="2121">
        <v>0</v>
      </c>
      <c r="J282" s="2122">
        <v>285.20199000000002</v>
      </c>
      <c r="K282" s="2123">
        <v>0</v>
      </c>
      <c r="L282" s="1759">
        <v>0</v>
      </c>
      <c r="M282" s="362">
        <v>285.20199000000002</v>
      </c>
      <c r="N282" s="1760">
        <v>260</v>
      </c>
      <c r="O282" s="1992">
        <v>5266.2452400000002</v>
      </c>
      <c r="P282" s="1993">
        <v>-4721.0432499999997</v>
      </c>
      <c r="Q282" s="1993">
        <f t="shared" si="12"/>
        <v>545.20199000000048</v>
      </c>
      <c r="R282" s="1761">
        <v>4721.0432499999997</v>
      </c>
      <c r="S282" s="2375">
        <v>0</v>
      </c>
      <c r="T282" s="1759">
        <v>0</v>
      </c>
      <c r="U282" s="362">
        <v>0</v>
      </c>
      <c r="V282" s="1760">
        <v>0</v>
      </c>
      <c r="W282" s="1764">
        <v>0</v>
      </c>
      <c r="X282" s="1989">
        <v>0</v>
      </c>
      <c r="Y282" s="1989">
        <v>0</v>
      </c>
      <c r="Z282" s="1765">
        <v>0</v>
      </c>
      <c r="AA282" s="1766">
        <v>0</v>
      </c>
      <c r="AB282" s="258" t="s">
        <v>2040</v>
      </c>
      <c r="AC282" s="258" t="s">
        <v>13</v>
      </c>
      <c r="AD282" s="2048" t="s">
        <v>524</v>
      </c>
      <c r="AE282" s="2427" t="s">
        <v>92</v>
      </c>
      <c r="AF282" s="258">
        <v>1</v>
      </c>
      <c r="AG282" s="1755" t="s">
        <v>218</v>
      </c>
      <c r="AH282" s="1755" t="s">
        <v>975</v>
      </c>
    </row>
    <row r="283" spans="1:34" ht="39" outlineLevel="1" thickBot="1" x14ac:dyDescent="0.3">
      <c r="A283" s="2001" t="s">
        <v>121</v>
      </c>
      <c r="B283" s="1981" t="s">
        <v>440</v>
      </c>
      <c r="C283" s="2470" t="s">
        <v>291</v>
      </c>
      <c r="D283" s="427" t="s">
        <v>150</v>
      </c>
      <c r="E283" s="1983" t="s">
        <v>42</v>
      </c>
      <c r="F283" s="1983" t="s">
        <v>42</v>
      </c>
      <c r="G283" s="392">
        <v>42755.199999999997</v>
      </c>
      <c r="H283" s="359">
        <v>1678.5130000000001</v>
      </c>
      <c r="I283" s="2121">
        <v>0</v>
      </c>
      <c r="J283" s="2122">
        <v>59.29</v>
      </c>
      <c r="K283" s="2123">
        <v>32.169060000000002</v>
      </c>
      <c r="L283" s="2043">
        <f>59.25-59.25</f>
        <v>0</v>
      </c>
      <c r="M283" s="600">
        <v>59.29</v>
      </c>
      <c r="N283" s="2362">
        <v>300</v>
      </c>
      <c r="O283" s="1992">
        <v>3000</v>
      </c>
      <c r="P283" s="1993">
        <v>-2640.71</v>
      </c>
      <c r="Q283" s="1993">
        <f t="shared" si="12"/>
        <v>359.28999999999996</v>
      </c>
      <c r="R283" s="1992">
        <v>40717.396999999997</v>
      </c>
      <c r="S283" s="2471">
        <v>0</v>
      </c>
      <c r="T283" s="2043">
        <v>0</v>
      </c>
      <c r="U283" s="600">
        <v>0</v>
      </c>
      <c r="V283" s="2472">
        <v>0</v>
      </c>
      <c r="W283" s="1994">
        <v>0</v>
      </c>
      <c r="X283" s="1989">
        <v>0</v>
      </c>
      <c r="Y283" s="1989">
        <v>0</v>
      </c>
      <c r="Z283" s="1989">
        <v>0</v>
      </c>
      <c r="AA283" s="1995">
        <v>0</v>
      </c>
      <c r="AB283" s="427" t="s">
        <v>1994</v>
      </c>
      <c r="AC283" s="427" t="s">
        <v>11</v>
      </c>
      <c r="AD283" s="2369" t="s">
        <v>707</v>
      </c>
      <c r="AE283" s="569" t="s">
        <v>91</v>
      </c>
      <c r="AF283" s="570" t="s">
        <v>102</v>
      </c>
      <c r="AG283" s="1983" t="s">
        <v>204</v>
      </c>
      <c r="AH283" s="1983" t="s">
        <v>976</v>
      </c>
    </row>
    <row r="284" spans="1:34" ht="32.25" outlineLevel="1" thickBot="1" x14ac:dyDescent="0.3">
      <c r="A284" s="833" t="s">
        <v>153</v>
      </c>
      <c r="B284" s="866" t="s">
        <v>441</v>
      </c>
      <c r="C284" s="1332" t="s">
        <v>557</v>
      </c>
      <c r="D284" s="20" t="s">
        <v>164</v>
      </c>
      <c r="E284" s="158" t="s">
        <v>35</v>
      </c>
      <c r="F284" s="158" t="s">
        <v>35</v>
      </c>
      <c r="G284" s="59">
        <v>11753.87775</v>
      </c>
      <c r="H284" s="221">
        <v>341.22</v>
      </c>
      <c r="I284" s="1587">
        <v>0</v>
      </c>
      <c r="J284" s="1588">
        <v>24.2</v>
      </c>
      <c r="K284" s="1589">
        <v>631.26993000000004</v>
      </c>
      <c r="L284" s="331">
        <v>0</v>
      </c>
      <c r="M284" s="143">
        <v>24.2</v>
      </c>
      <c r="N284" s="306">
        <v>8616.4577499999978</v>
      </c>
      <c r="O284" s="840">
        <v>8640.6577499999985</v>
      </c>
      <c r="P284" s="850">
        <v>0</v>
      </c>
      <c r="Q284" s="533">
        <f t="shared" si="12"/>
        <v>8640.6577499999985</v>
      </c>
      <c r="R284" s="442">
        <v>2772</v>
      </c>
      <c r="S284" s="1290">
        <v>0</v>
      </c>
      <c r="T284" s="331">
        <v>0</v>
      </c>
      <c r="U284" s="143">
        <v>0</v>
      </c>
      <c r="V284" s="306">
        <v>0</v>
      </c>
      <c r="W284" s="867">
        <v>0</v>
      </c>
      <c r="X284" s="874">
        <v>0</v>
      </c>
      <c r="Y284" s="874">
        <v>0</v>
      </c>
      <c r="Z284" s="874">
        <v>0</v>
      </c>
      <c r="AA284" s="819">
        <v>0</v>
      </c>
      <c r="AB284" s="20" t="s">
        <v>84</v>
      </c>
      <c r="AC284" s="20" t="s">
        <v>13</v>
      </c>
      <c r="AD284" s="310" t="s">
        <v>758</v>
      </c>
      <c r="AE284" s="166" t="s">
        <v>92</v>
      </c>
      <c r="AF284" s="20">
        <v>1</v>
      </c>
      <c r="AG284" s="1681" t="s">
        <v>214</v>
      </c>
      <c r="AH284" s="158" t="s">
        <v>975</v>
      </c>
    </row>
    <row r="285" spans="1:34" ht="32.25" outlineLevel="1" thickBot="1" x14ac:dyDescent="0.3">
      <c r="A285" s="579" t="s">
        <v>159</v>
      </c>
      <c r="B285" s="85" t="s">
        <v>442</v>
      </c>
      <c r="C285" s="1309" t="s">
        <v>558</v>
      </c>
      <c r="D285" s="311" t="s">
        <v>1600</v>
      </c>
      <c r="E285" s="611" t="s">
        <v>303</v>
      </c>
      <c r="F285" s="611" t="s">
        <v>303</v>
      </c>
      <c r="G285" s="68">
        <v>2722.5</v>
      </c>
      <c r="H285" s="222">
        <v>0</v>
      </c>
      <c r="I285" s="1585">
        <v>0</v>
      </c>
      <c r="J285" s="1470">
        <v>18.149999999999999</v>
      </c>
      <c r="K285" s="1586">
        <v>0</v>
      </c>
      <c r="L285" s="294">
        <v>0</v>
      </c>
      <c r="M285" s="164">
        <v>18.149999999999999</v>
      </c>
      <c r="N285" s="4">
        <v>2704.35</v>
      </c>
      <c r="O285" s="839">
        <v>2722.5</v>
      </c>
      <c r="P285" s="555">
        <v>0</v>
      </c>
      <c r="Q285" s="630">
        <f t="shared" si="12"/>
        <v>2722.5</v>
      </c>
      <c r="R285" s="441">
        <v>0</v>
      </c>
      <c r="S285" s="967">
        <v>0</v>
      </c>
      <c r="T285" s="294">
        <v>0</v>
      </c>
      <c r="U285" s="164">
        <v>0</v>
      </c>
      <c r="V285" s="4">
        <v>0</v>
      </c>
      <c r="W285" s="962">
        <v>0</v>
      </c>
      <c r="X285" s="1293">
        <v>0</v>
      </c>
      <c r="Y285" s="1293">
        <v>0</v>
      </c>
      <c r="Z285" s="1293">
        <v>0</v>
      </c>
      <c r="AA285" s="745">
        <v>0</v>
      </c>
      <c r="AB285" s="311" t="s">
        <v>84</v>
      </c>
      <c r="AC285" s="311" t="s">
        <v>13</v>
      </c>
      <c r="AD285" s="90" t="s">
        <v>190</v>
      </c>
      <c r="AE285" s="67" t="s">
        <v>92</v>
      </c>
      <c r="AF285" s="84" t="s">
        <v>101</v>
      </c>
      <c r="AG285" s="502" t="s">
        <v>1472</v>
      </c>
      <c r="AH285" s="611" t="s">
        <v>975</v>
      </c>
    </row>
    <row r="286" spans="1:34" ht="26.25" outlineLevel="1" thickBot="1" x14ac:dyDescent="0.3">
      <c r="A286" s="1087" t="s">
        <v>188</v>
      </c>
      <c r="B286" s="1115" t="s">
        <v>443</v>
      </c>
      <c r="C286" s="1094" t="s">
        <v>189</v>
      </c>
      <c r="D286" s="98" t="s">
        <v>1623</v>
      </c>
      <c r="E286" s="611" t="s">
        <v>7</v>
      </c>
      <c r="F286" s="611" t="s">
        <v>43</v>
      </c>
      <c r="G286" s="316">
        <v>3000</v>
      </c>
      <c r="H286" s="1310">
        <v>0</v>
      </c>
      <c r="I286" s="1627">
        <v>0</v>
      </c>
      <c r="J286" s="1628">
        <v>0</v>
      </c>
      <c r="K286" s="1629">
        <v>0</v>
      </c>
      <c r="L286" s="1081">
        <v>0</v>
      </c>
      <c r="M286" s="239">
        <v>0</v>
      </c>
      <c r="N286" s="1116">
        <v>3000</v>
      </c>
      <c r="O286" s="846">
        <v>3000</v>
      </c>
      <c r="P286" s="1083">
        <v>0</v>
      </c>
      <c r="Q286" s="1577">
        <f t="shared" si="12"/>
        <v>3000</v>
      </c>
      <c r="R286" s="495">
        <v>0</v>
      </c>
      <c r="S286" s="607">
        <f>3000-3000</f>
        <v>0</v>
      </c>
      <c r="T286" s="1081">
        <v>0</v>
      </c>
      <c r="U286" s="239">
        <v>0</v>
      </c>
      <c r="V286" s="1116">
        <v>0</v>
      </c>
      <c r="W286" s="1297">
        <v>0</v>
      </c>
      <c r="X286" s="1298">
        <v>0</v>
      </c>
      <c r="Y286" s="1298">
        <v>0</v>
      </c>
      <c r="Z286" s="1298">
        <v>0</v>
      </c>
      <c r="AA286" s="753">
        <v>0</v>
      </c>
      <c r="AB286" s="496" t="s">
        <v>84</v>
      </c>
      <c r="AC286" s="496" t="s">
        <v>32</v>
      </c>
      <c r="AD286" s="1406" t="s">
        <v>629</v>
      </c>
      <c r="AE286" s="1275" t="s">
        <v>91</v>
      </c>
      <c r="AF286" s="58" t="s">
        <v>101</v>
      </c>
      <c r="AG286" s="311" t="s">
        <v>218</v>
      </c>
      <c r="AH286" s="20" t="s">
        <v>975</v>
      </c>
    </row>
    <row r="287" spans="1:34" ht="31.5" outlineLevel="1" x14ac:dyDescent="0.25">
      <c r="A287" s="831" t="s">
        <v>240</v>
      </c>
      <c r="B287" s="799" t="s">
        <v>444</v>
      </c>
      <c r="C287" s="1311" t="s">
        <v>332</v>
      </c>
      <c r="D287" s="93" t="s">
        <v>282</v>
      </c>
      <c r="E287" s="24" t="s">
        <v>241</v>
      </c>
      <c r="F287" s="24" t="s">
        <v>241</v>
      </c>
      <c r="G287" s="511">
        <f>7260+150</f>
        <v>7410</v>
      </c>
      <c r="H287" s="380">
        <v>7084.81628</v>
      </c>
      <c r="I287" s="1604">
        <v>0</v>
      </c>
      <c r="J287" s="1605">
        <v>0</v>
      </c>
      <c r="K287" s="1606">
        <v>0</v>
      </c>
      <c r="L287" s="517">
        <v>0</v>
      </c>
      <c r="M287" s="488">
        <v>0</v>
      </c>
      <c r="N287" s="499">
        <v>0</v>
      </c>
      <c r="O287" s="838">
        <v>0</v>
      </c>
      <c r="P287" s="849">
        <v>0</v>
      </c>
      <c r="Q287" s="612">
        <f t="shared" si="12"/>
        <v>0</v>
      </c>
      <c r="R287" s="2">
        <v>0</v>
      </c>
      <c r="S287" s="609">
        <v>325.18371999999999</v>
      </c>
      <c r="T287" s="517">
        <v>0</v>
      </c>
      <c r="U287" s="488">
        <v>0</v>
      </c>
      <c r="V287" s="499">
        <v>0</v>
      </c>
      <c r="W287" s="864">
        <v>0</v>
      </c>
      <c r="X287" s="865">
        <v>0</v>
      </c>
      <c r="Y287" s="865">
        <v>0</v>
      </c>
      <c r="Z287" s="865">
        <v>0</v>
      </c>
      <c r="AA287" s="500">
        <v>0</v>
      </c>
      <c r="AB287" s="93" t="s">
        <v>84</v>
      </c>
      <c r="AC287" s="93" t="s">
        <v>13</v>
      </c>
      <c r="AD287" s="1272" t="s">
        <v>855</v>
      </c>
      <c r="AE287" s="1273" t="s">
        <v>92</v>
      </c>
      <c r="AF287" s="484" t="s">
        <v>101</v>
      </c>
      <c r="AG287" s="24" t="s">
        <v>796</v>
      </c>
      <c r="AH287" s="24" t="s">
        <v>975</v>
      </c>
    </row>
    <row r="288" spans="1:34" ht="32.25" outlineLevel="1" thickBot="1" x14ac:dyDescent="0.3">
      <c r="A288" s="1087" t="s">
        <v>242</v>
      </c>
      <c r="B288" s="1115" t="s">
        <v>87</v>
      </c>
      <c r="C288" s="1309" t="s">
        <v>525</v>
      </c>
      <c r="D288" s="311" t="s">
        <v>282</v>
      </c>
      <c r="E288" s="611" t="s">
        <v>130</v>
      </c>
      <c r="F288" s="611" t="s">
        <v>130</v>
      </c>
      <c r="G288" s="316">
        <v>15000</v>
      </c>
      <c r="H288" s="1310">
        <v>0</v>
      </c>
      <c r="I288" s="1627">
        <v>0</v>
      </c>
      <c r="J288" s="1628">
        <v>0</v>
      </c>
      <c r="K288" s="1629">
        <v>0</v>
      </c>
      <c r="L288" s="1081">
        <v>0</v>
      </c>
      <c r="M288" s="239">
        <v>0</v>
      </c>
      <c r="N288" s="1116">
        <v>0</v>
      </c>
      <c r="O288" s="846">
        <v>0</v>
      </c>
      <c r="P288" s="1083">
        <v>0</v>
      </c>
      <c r="Q288" s="1444">
        <f t="shared" si="12"/>
        <v>0</v>
      </c>
      <c r="R288" s="495">
        <v>15000</v>
      </c>
      <c r="S288" s="607">
        <v>0</v>
      </c>
      <c r="T288" s="1081">
        <v>0</v>
      </c>
      <c r="U288" s="239">
        <v>0</v>
      </c>
      <c r="V288" s="1116">
        <v>0</v>
      </c>
      <c r="W288" s="1297">
        <v>0</v>
      </c>
      <c r="X288" s="1298">
        <v>0</v>
      </c>
      <c r="Y288" s="1298">
        <v>0</v>
      </c>
      <c r="Z288" s="1298">
        <v>0</v>
      </c>
      <c r="AA288" s="753">
        <v>0</v>
      </c>
      <c r="AB288" s="311" t="s">
        <v>84</v>
      </c>
      <c r="AC288" s="496" t="s">
        <v>11</v>
      </c>
      <c r="AD288" s="1406" t="s">
        <v>1023</v>
      </c>
      <c r="AE288" s="1275" t="s">
        <v>91</v>
      </c>
      <c r="AF288" s="84" t="s">
        <v>102</v>
      </c>
      <c r="AG288" s="1630" t="s">
        <v>204</v>
      </c>
      <c r="AH288" s="126" t="s">
        <v>978</v>
      </c>
    </row>
    <row r="289" spans="1:34" ht="32.25" outlineLevel="1" thickBot="1" x14ac:dyDescent="0.3">
      <c r="A289" s="1573" t="s">
        <v>305</v>
      </c>
      <c r="B289" s="1631" t="s">
        <v>445</v>
      </c>
      <c r="C289" s="1094" t="s">
        <v>304</v>
      </c>
      <c r="D289" s="311" t="s">
        <v>1624</v>
      </c>
      <c r="E289" s="611" t="s">
        <v>303</v>
      </c>
      <c r="F289" s="611" t="s">
        <v>303</v>
      </c>
      <c r="G289" s="316">
        <v>8281</v>
      </c>
      <c r="H289" s="1310">
        <v>1183.79711</v>
      </c>
      <c r="I289" s="1627">
        <v>217.298</v>
      </c>
      <c r="J289" s="1628">
        <v>3910.6868999999997</v>
      </c>
      <c r="K289" s="1629">
        <v>0</v>
      </c>
      <c r="L289" s="1081">
        <v>217.298</v>
      </c>
      <c r="M289" s="239">
        <v>3910.6868999999997</v>
      </c>
      <c r="N289" s="1116">
        <v>2969.217990000001</v>
      </c>
      <c r="O289" s="846">
        <v>7097.2028900000005</v>
      </c>
      <c r="P289" s="1147">
        <v>0</v>
      </c>
      <c r="Q289" s="1148">
        <f t="shared" si="12"/>
        <v>7097.2028900000005</v>
      </c>
      <c r="R289" s="495">
        <v>0</v>
      </c>
      <c r="S289" s="607">
        <v>0</v>
      </c>
      <c r="T289" s="1081">
        <v>0</v>
      </c>
      <c r="U289" s="239">
        <v>0</v>
      </c>
      <c r="V289" s="154">
        <v>0</v>
      </c>
      <c r="W289" s="1297">
        <v>0</v>
      </c>
      <c r="X289" s="1298">
        <v>0</v>
      </c>
      <c r="Y289" s="1298">
        <v>0</v>
      </c>
      <c r="Z289" s="1298">
        <v>0</v>
      </c>
      <c r="AA289" s="753">
        <v>0</v>
      </c>
      <c r="AB289" s="311" t="s">
        <v>84</v>
      </c>
      <c r="AC289" s="496" t="s">
        <v>13</v>
      </c>
      <c r="AD289" s="1406" t="s">
        <v>190</v>
      </c>
      <c r="AE289" s="1275" t="s">
        <v>92</v>
      </c>
      <c r="AF289" s="84" t="s">
        <v>101</v>
      </c>
      <c r="AG289" s="1630" t="s">
        <v>210</v>
      </c>
      <c r="AH289" s="608" t="s">
        <v>975</v>
      </c>
    </row>
    <row r="290" spans="1:34" ht="26.25" outlineLevel="1" thickBot="1" x14ac:dyDescent="0.3">
      <c r="A290" s="1525" t="s">
        <v>310</v>
      </c>
      <c r="B290" s="833" t="s">
        <v>468</v>
      </c>
      <c r="C290" s="1526" t="s">
        <v>779</v>
      </c>
      <c r="D290" s="224" t="s">
        <v>1613</v>
      </c>
      <c r="E290" s="1632" t="s">
        <v>42</v>
      </c>
      <c r="F290" s="1632" t="s">
        <v>42</v>
      </c>
      <c r="G290" s="127">
        <f>402.5+60+15718.449+112+942.6</f>
        <v>17235.548999999999</v>
      </c>
      <c r="H290" s="182">
        <v>3814.2896700000001</v>
      </c>
      <c r="I290" s="1633">
        <v>48</v>
      </c>
      <c r="J290" s="1634">
        <v>4587.6517000000003</v>
      </c>
      <c r="K290" s="1635">
        <v>263.96699999999998</v>
      </c>
      <c r="L290" s="409">
        <v>48</v>
      </c>
      <c r="M290" s="237">
        <v>4587.6517000000003</v>
      </c>
      <c r="N290" s="1312">
        <v>8785.6076299999986</v>
      </c>
      <c r="O290" s="845">
        <v>13421.259329999999</v>
      </c>
      <c r="P290" s="857">
        <v>0</v>
      </c>
      <c r="Q290" s="1527">
        <f t="shared" si="12"/>
        <v>13421.259329999999</v>
      </c>
      <c r="R290" s="128">
        <v>0</v>
      </c>
      <c r="S290" s="244">
        <v>0</v>
      </c>
      <c r="T290" s="409">
        <v>0</v>
      </c>
      <c r="U290" s="237">
        <v>0</v>
      </c>
      <c r="V290" s="232">
        <v>0</v>
      </c>
      <c r="W290" s="862">
        <v>0</v>
      </c>
      <c r="X290" s="1288">
        <v>0</v>
      </c>
      <c r="Y290" s="1288">
        <v>0</v>
      </c>
      <c r="Z290" s="1288">
        <v>0</v>
      </c>
      <c r="AA290" s="137">
        <v>0</v>
      </c>
      <c r="AB290" s="224" t="s">
        <v>84</v>
      </c>
      <c r="AC290" s="1528" t="s">
        <v>13</v>
      </c>
      <c r="AD290" s="1406" t="s">
        <v>190</v>
      </c>
      <c r="AE290" s="1529" t="s">
        <v>92</v>
      </c>
      <c r="AF290" s="224" t="s">
        <v>101</v>
      </c>
      <c r="AG290" s="1636" t="s">
        <v>204</v>
      </c>
      <c r="AH290" s="1636" t="s">
        <v>977</v>
      </c>
    </row>
    <row r="291" spans="1:34" ht="31.5" outlineLevel="1" x14ac:dyDescent="0.25">
      <c r="A291" s="876" t="s">
        <v>334</v>
      </c>
      <c r="B291" s="1342" t="s">
        <v>446</v>
      </c>
      <c r="C291" s="1314" t="s">
        <v>335</v>
      </c>
      <c r="D291" s="93" t="s">
        <v>1614</v>
      </c>
      <c r="E291" s="514" t="s">
        <v>43</v>
      </c>
      <c r="F291" s="514" t="s">
        <v>43</v>
      </c>
      <c r="G291" s="110">
        <v>1909.6637499999999</v>
      </c>
      <c r="H291" s="181">
        <v>1152.57927</v>
      </c>
      <c r="I291" s="1637">
        <v>0</v>
      </c>
      <c r="J291" s="1638">
        <v>0</v>
      </c>
      <c r="K291" s="1639">
        <v>0</v>
      </c>
      <c r="L291" s="408">
        <v>0</v>
      </c>
      <c r="M291" s="100">
        <v>0</v>
      </c>
      <c r="N291" s="12">
        <v>757.08447999999999</v>
      </c>
      <c r="O291" s="844">
        <v>757.08447999999999</v>
      </c>
      <c r="P291" s="856">
        <v>0</v>
      </c>
      <c r="Q291" s="848">
        <f t="shared" si="12"/>
        <v>757.08447999999999</v>
      </c>
      <c r="R291" s="11">
        <v>0</v>
      </c>
      <c r="S291" s="184">
        <v>0</v>
      </c>
      <c r="T291" s="408">
        <v>0</v>
      </c>
      <c r="U291" s="100">
        <v>0</v>
      </c>
      <c r="V291" s="113">
        <v>0</v>
      </c>
      <c r="W291" s="411">
        <v>0</v>
      </c>
      <c r="X291" s="752">
        <v>0</v>
      </c>
      <c r="Y291" s="752">
        <v>0</v>
      </c>
      <c r="Z291" s="752">
        <v>0</v>
      </c>
      <c r="AA291" s="135">
        <v>0</v>
      </c>
      <c r="AB291" s="95" t="s">
        <v>84</v>
      </c>
      <c r="AC291" s="111" t="s">
        <v>13</v>
      </c>
      <c r="AD291" s="1407" t="s">
        <v>190</v>
      </c>
      <c r="AE291" s="1277" t="s">
        <v>92</v>
      </c>
      <c r="AF291" s="515" t="s">
        <v>101</v>
      </c>
      <c r="AG291" s="112" t="s">
        <v>218</v>
      </c>
      <c r="AH291" s="112" t="s">
        <v>975</v>
      </c>
    </row>
    <row r="292" spans="1:34" ht="25.5" outlineLevel="1" x14ac:dyDescent="0.25">
      <c r="A292" s="122" t="s">
        <v>336</v>
      </c>
      <c r="B292" s="1006" t="s">
        <v>469</v>
      </c>
      <c r="C292" s="1155" t="s">
        <v>337</v>
      </c>
      <c r="D292" s="30" t="s">
        <v>1614</v>
      </c>
      <c r="E292" s="28" t="s">
        <v>309</v>
      </c>
      <c r="F292" s="28" t="s">
        <v>309</v>
      </c>
      <c r="G292" s="121">
        <v>485.35</v>
      </c>
      <c r="H292" s="1062">
        <v>65</v>
      </c>
      <c r="I292" s="999">
        <v>420.35</v>
      </c>
      <c r="J292" s="1000">
        <v>0</v>
      </c>
      <c r="K292" s="1215">
        <v>0</v>
      </c>
      <c r="L292" s="139">
        <v>420.35</v>
      </c>
      <c r="M292" s="118">
        <v>0</v>
      </c>
      <c r="N292" s="1001">
        <v>0</v>
      </c>
      <c r="O292" s="629">
        <v>420.35</v>
      </c>
      <c r="P292" s="1002">
        <v>0</v>
      </c>
      <c r="Q292" s="1003">
        <f t="shared" si="12"/>
        <v>420.35</v>
      </c>
      <c r="R292" s="926">
        <v>0</v>
      </c>
      <c r="S292" s="927">
        <v>0</v>
      </c>
      <c r="T292" s="139">
        <v>0</v>
      </c>
      <c r="U292" s="118">
        <v>0</v>
      </c>
      <c r="V292" s="124">
        <v>0</v>
      </c>
      <c r="W292" s="560">
        <v>0</v>
      </c>
      <c r="X292" s="595">
        <v>0</v>
      </c>
      <c r="Y292" s="595">
        <v>0</v>
      </c>
      <c r="Z292" s="595">
        <v>0</v>
      </c>
      <c r="AA292" s="136">
        <v>0</v>
      </c>
      <c r="AB292" s="27" t="s">
        <v>84</v>
      </c>
      <c r="AC292" s="123" t="s">
        <v>95</v>
      </c>
      <c r="AD292" s="1004" t="s">
        <v>640</v>
      </c>
      <c r="AE292" s="132" t="s">
        <v>92</v>
      </c>
      <c r="AF292" s="26" t="s">
        <v>101</v>
      </c>
      <c r="AG292" s="695" t="s">
        <v>211</v>
      </c>
      <c r="AH292" s="695" t="s">
        <v>975</v>
      </c>
    </row>
    <row r="293" spans="1:34" ht="32.25" outlineLevel="1" thickBot="1" x14ac:dyDescent="0.3">
      <c r="A293" s="879" t="s">
        <v>341</v>
      </c>
      <c r="B293" s="1007" t="s">
        <v>704</v>
      </c>
      <c r="C293" s="1318" t="s">
        <v>342</v>
      </c>
      <c r="D293" s="311" t="s">
        <v>1614</v>
      </c>
      <c r="E293" s="502" t="s">
        <v>241</v>
      </c>
      <c r="F293" s="502" t="s">
        <v>241</v>
      </c>
      <c r="G293" s="316">
        <v>6768.7250000000004</v>
      </c>
      <c r="H293" s="182">
        <v>6693.7099799999996</v>
      </c>
      <c r="I293" s="1633">
        <v>0</v>
      </c>
      <c r="J293" s="1634">
        <v>20.418749999999999</v>
      </c>
      <c r="K293" s="1635">
        <v>0</v>
      </c>
      <c r="L293" s="409">
        <v>0</v>
      </c>
      <c r="M293" s="237">
        <v>20.418749999999999</v>
      </c>
      <c r="N293" s="1312">
        <v>54.596269999999997</v>
      </c>
      <c r="O293" s="845">
        <v>75.015020000000732</v>
      </c>
      <c r="P293" s="1147">
        <v>0</v>
      </c>
      <c r="Q293" s="1148">
        <f t="shared" si="12"/>
        <v>75.015020000000732</v>
      </c>
      <c r="R293" s="128">
        <v>0</v>
      </c>
      <c r="S293" s="244">
        <v>0</v>
      </c>
      <c r="T293" s="409">
        <v>0</v>
      </c>
      <c r="U293" s="237">
        <v>0</v>
      </c>
      <c r="V293" s="232">
        <v>0</v>
      </c>
      <c r="W293" s="862">
        <v>0</v>
      </c>
      <c r="X293" s="1288">
        <v>0</v>
      </c>
      <c r="Y293" s="1288">
        <v>0</v>
      </c>
      <c r="Z293" s="1288">
        <v>0</v>
      </c>
      <c r="AA293" s="137">
        <v>0</v>
      </c>
      <c r="AB293" s="98" t="s">
        <v>84</v>
      </c>
      <c r="AC293" s="115" t="s">
        <v>13</v>
      </c>
      <c r="AD293" s="1411" t="s">
        <v>190</v>
      </c>
      <c r="AE293" s="1278" t="s">
        <v>92</v>
      </c>
      <c r="AF293" s="58" t="s">
        <v>102</v>
      </c>
      <c r="AG293" s="502" t="s">
        <v>796</v>
      </c>
      <c r="AH293" s="502" t="s">
        <v>975</v>
      </c>
    </row>
    <row r="294" spans="1:34" ht="47.25" outlineLevel="1" x14ac:dyDescent="0.25">
      <c r="A294" s="1118" t="s">
        <v>528</v>
      </c>
      <c r="B294" s="1119" t="s">
        <v>967</v>
      </c>
      <c r="C294" s="1315" t="s">
        <v>559</v>
      </c>
      <c r="D294" s="93" t="s">
        <v>1616</v>
      </c>
      <c r="E294" s="482" t="s">
        <v>38</v>
      </c>
      <c r="F294" s="482" t="s">
        <v>38</v>
      </c>
      <c r="G294" s="114">
        <v>3000</v>
      </c>
      <c r="H294" s="546">
        <v>1793.9469999999999</v>
      </c>
      <c r="I294" s="1640">
        <v>0</v>
      </c>
      <c r="J294" s="1641">
        <v>0</v>
      </c>
      <c r="K294" s="1642">
        <v>0</v>
      </c>
      <c r="L294" s="765">
        <v>0</v>
      </c>
      <c r="M294" s="236">
        <v>0</v>
      </c>
      <c r="N294" s="188">
        <v>1206.0530000000001</v>
      </c>
      <c r="O294" s="1146">
        <v>1206.0530000000001</v>
      </c>
      <c r="P294" s="1084">
        <v>0</v>
      </c>
      <c r="Q294" s="1536">
        <f t="shared" si="12"/>
        <v>1206.0530000000001</v>
      </c>
      <c r="R294" s="71">
        <v>0</v>
      </c>
      <c r="S294" s="83">
        <v>0</v>
      </c>
      <c r="T294" s="765">
        <v>0</v>
      </c>
      <c r="U294" s="236">
        <v>0</v>
      </c>
      <c r="V294" s="149">
        <v>0</v>
      </c>
      <c r="W294" s="521">
        <v>0</v>
      </c>
      <c r="X294" s="1408">
        <v>0</v>
      </c>
      <c r="Y294" s="1408">
        <v>0</v>
      </c>
      <c r="Z294" s="1408">
        <v>0</v>
      </c>
      <c r="AA294" s="757">
        <v>0</v>
      </c>
      <c r="AB294" s="479" t="s">
        <v>84</v>
      </c>
      <c r="AC294" s="590" t="s">
        <v>13</v>
      </c>
      <c r="AD294" s="46" t="s">
        <v>190</v>
      </c>
      <c r="AE294" s="1409" t="s">
        <v>92</v>
      </c>
      <c r="AF294" s="172" t="s">
        <v>101</v>
      </c>
      <c r="AG294" s="482" t="s">
        <v>212</v>
      </c>
      <c r="AH294" s="482" t="s">
        <v>975</v>
      </c>
    </row>
    <row r="295" spans="1:34" ht="31.5" outlineLevel="1" x14ac:dyDescent="0.25">
      <c r="A295" s="1008" t="s">
        <v>529</v>
      </c>
      <c r="B295" s="1009" t="s">
        <v>803</v>
      </c>
      <c r="C295" s="1316" t="s">
        <v>530</v>
      </c>
      <c r="D295" s="95" t="s">
        <v>1616</v>
      </c>
      <c r="E295" s="34" t="s">
        <v>38</v>
      </c>
      <c r="F295" s="34" t="s">
        <v>38</v>
      </c>
      <c r="G295" s="138">
        <v>240</v>
      </c>
      <c r="H295" s="183">
        <v>210.74799999999999</v>
      </c>
      <c r="I295" s="1643">
        <v>0</v>
      </c>
      <c r="J295" s="1644">
        <v>0</v>
      </c>
      <c r="K295" s="1645">
        <v>0</v>
      </c>
      <c r="L295" s="1010">
        <v>0</v>
      </c>
      <c r="M295" s="314">
        <v>0</v>
      </c>
      <c r="N295" s="1317">
        <v>29.25200000000001</v>
      </c>
      <c r="O295" s="1085">
        <v>29.25200000000001</v>
      </c>
      <c r="P295" s="859">
        <v>0</v>
      </c>
      <c r="Q295" s="1537">
        <f t="shared" si="12"/>
        <v>29.25200000000001</v>
      </c>
      <c r="R295" s="315">
        <v>0</v>
      </c>
      <c r="S295" s="1011">
        <v>0</v>
      </c>
      <c r="T295" s="1010">
        <v>0</v>
      </c>
      <c r="U295" s="314">
        <v>0</v>
      </c>
      <c r="V295" s="329">
        <v>0</v>
      </c>
      <c r="W295" s="1012">
        <v>0</v>
      </c>
      <c r="X295" s="1410">
        <v>0</v>
      </c>
      <c r="Y295" s="1410">
        <v>0</v>
      </c>
      <c r="Z295" s="1410">
        <v>0</v>
      </c>
      <c r="AA295" s="328">
        <v>0</v>
      </c>
      <c r="AB295" s="95" t="s">
        <v>84</v>
      </c>
      <c r="AC295" s="313" t="s">
        <v>13</v>
      </c>
      <c r="AD295" s="1401" t="s">
        <v>190</v>
      </c>
      <c r="AE295" s="1402" t="s">
        <v>92</v>
      </c>
      <c r="AF295" s="406" t="s">
        <v>102</v>
      </c>
      <c r="AG295" s="34" t="s">
        <v>212</v>
      </c>
      <c r="AH295" s="34" t="s">
        <v>975</v>
      </c>
    </row>
    <row r="296" spans="1:34" ht="25.5" outlineLevel="1" x14ac:dyDescent="0.25">
      <c r="A296" s="1008" t="s">
        <v>532</v>
      </c>
      <c r="B296" s="1009" t="s">
        <v>87</v>
      </c>
      <c r="C296" s="1316" t="s">
        <v>533</v>
      </c>
      <c r="D296" s="95" t="s">
        <v>1616</v>
      </c>
      <c r="E296" s="34" t="s">
        <v>379</v>
      </c>
      <c r="F296" s="34" t="s">
        <v>379</v>
      </c>
      <c r="G296" s="138">
        <v>100</v>
      </c>
      <c r="H296" s="183">
        <v>0</v>
      </c>
      <c r="I296" s="1643">
        <v>0</v>
      </c>
      <c r="J296" s="1644">
        <v>0</v>
      </c>
      <c r="K296" s="1645">
        <v>0</v>
      </c>
      <c r="L296" s="1010">
        <v>0</v>
      </c>
      <c r="M296" s="314">
        <v>0</v>
      </c>
      <c r="N296" s="1317">
        <v>0</v>
      </c>
      <c r="O296" s="1085">
        <v>0</v>
      </c>
      <c r="P296" s="859">
        <v>0</v>
      </c>
      <c r="Q296" s="1537">
        <f t="shared" si="12"/>
        <v>0</v>
      </c>
      <c r="R296" s="315">
        <v>100</v>
      </c>
      <c r="S296" s="1011">
        <v>0</v>
      </c>
      <c r="T296" s="1010">
        <v>0</v>
      </c>
      <c r="U296" s="314">
        <v>0</v>
      </c>
      <c r="V296" s="329">
        <v>0</v>
      </c>
      <c r="W296" s="1012">
        <v>0</v>
      </c>
      <c r="X296" s="1410">
        <v>0</v>
      </c>
      <c r="Y296" s="1410">
        <v>0</v>
      </c>
      <c r="Z296" s="1410">
        <v>0</v>
      </c>
      <c r="AA296" s="328">
        <v>0</v>
      </c>
      <c r="AB296" s="35" t="s">
        <v>84</v>
      </c>
      <c r="AC296" s="313" t="s">
        <v>11</v>
      </c>
      <c r="AD296" s="1401" t="s">
        <v>627</v>
      </c>
      <c r="AE296" s="1402" t="s">
        <v>91</v>
      </c>
      <c r="AF296" s="406" t="s">
        <v>102</v>
      </c>
      <c r="AG296" s="34" t="s">
        <v>221</v>
      </c>
      <c r="AH296" s="34" t="s">
        <v>977</v>
      </c>
    </row>
    <row r="297" spans="1:34" ht="32.25" outlineLevel="1" thickBot="1" x14ac:dyDescent="0.3">
      <c r="A297" s="879" t="s">
        <v>534</v>
      </c>
      <c r="B297" s="1007" t="s">
        <v>960</v>
      </c>
      <c r="C297" s="1318" t="s">
        <v>535</v>
      </c>
      <c r="D297" s="98" t="s">
        <v>1616</v>
      </c>
      <c r="E297" s="502" t="s">
        <v>35</v>
      </c>
      <c r="F297" s="502" t="s">
        <v>35</v>
      </c>
      <c r="G297" s="127">
        <v>340</v>
      </c>
      <c r="H297" s="182">
        <v>264.22901000000002</v>
      </c>
      <c r="I297" s="1633">
        <v>0</v>
      </c>
      <c r="J297" s="1634">
        <v>0</v>
      </c>
      <c r="K297" s="1635">
        <v>0</v>
      </c>
      <c r="L297" s="409">
        <v>0</v>
      </c>
      <c r="M297" s="237">
        <v>0</v>
      </c>
      <c r="N297" s="1312">
        <v>75.770989999999983</v>
      </c>
      <c r="O297" s="845">
        <v>75.770989999999983</v>
      </c>
      <c r="P297" s="857">
        <v>0</v>
      </c>
      <c r="Q297" s="1527">
        <f t="shared" si="12"/>
        <v>75.770989999999983</v>
      </c>
      <c r="R297" s="128">
        <v>0</v>
      </c>
      <c r="S297" s="244">
        <v>0</v>
      </c>
      <c r="T297" s="409">
        <v>0</v>
      </c>
      <c r="U297" s="237">
        <v>0</v>
      </c>
      <c r="V297" s="232">
        <v>0</v>
      </c>
      <c r="W297" s="862">
        <v>0</v>
      </c>
      <c r="X297" s="1288">
        <v>0</v>
      </c>
      <c r="Y297" s="1288">
        <v>0</v>
      </c>
      <c r="Z297" s="1288">
        <v>0</v>
      </c>
      <c r="AA297" s="137">
        <v>0</v>
      </c>
      <c r="AB297" s="98" t="s">
        <v>84</v>
      </c>
      <c r="AC297" s="115" t="s">
        <v>13</v>
      </c>
      <c r="AD297" s="1411" t="s">
        <v>190</v>
      </c>
      <c r="AE297" s="1278" t="s">
        <v>92</v>
      </c>
      <c r="AF297" s="58" t="s">
        <v>101</v>
      </c>
      <c r="AG297" s="502" t="s">
        <v>203</v>
      </c>
      <c r="AH297" s="502" t="s">
        <v>975</v>
      </c>
    </row>
    <row r="298" spans="1:34" ht="25.5" outlineLevel="1" x14ac:dyDescent="0.25">
      <c r="A298" s="1118" t="s">
        <v>560</v>
      </c>
      <c r="B298" s="1119" t="s">
        <v>87</v>
      </c>
      <c r="C298" s="1315" t="s">
        <v>1144</v>
      </c>
      <c r="D298" s="479" t="s">
        <v>1498</v>
      </c>
      <c r="E298" s="482" t="s">
        <v>343</v>
      </c>
      <c r="F298" s="482" t="s">
        <v>343</v>
      </c>
      <c r="G298" s="114">
        <v>96000</v>
      </c>
      <c r="H298" s="546">
        <v>0</v>
      </c>
      <c r="I298" s="1640">
        <v>0</v>
      </c>
      <c r="J298" s="1641">
        <v>0</v>
      </c>
      <c r="K298" s="1642">
        <v>0</v>
      </c>
      <c r="L298" s="765">
        <v>0</v>
      </c>
      <c r="M298" s="236">
        <v>0</v>
      </c>
      <c r="N298" s="188">
        <v>0</v>
      </c>
      <c r="O298" s="1146">
        <v>0</v>
      </c>
      <c r="P298" s="1084">
        <v>0</v>
      </c>
      <c r="Q298" s="1536">
        <f t="shared" si="12"/>
        <v>0</v>
      </c>
      <c r="R298" s="71">
        <v>96000</v>
      </c>
      <c r="S298" s="83">
        <v>0</v>
      </c>
      <c r="T298" s="765">
        <v>0</v>
      </c>
      <c r="U298" s="236">
        <v>0</v>
      </c>
      <c r="V298" s="149">
        <v>0</v>
      </c>
      <c r="W298" s="521">
        <v>0</v>
      </c>
      <c r="X298" s="893">
        <v>0</v>
      </c>
      <c r="Y298" s="893">
        <v>0</v>
      </c>
      <c r="Z298" s="893">
        <v>0</v>
      </c>
      <c r="AA298" s="757">
        <v>0</v>
      </c>
      <c r="AB298" s="479" t="s">
        <v>84</v>
      </c>
      <c r="AC298" s="590" t="s">
        <v>11</v>
      </c>
      <c r="AD298" s="46" t="s">
        <v>561</v>
      </c>
      <c r="AE298" s="1409" t="s">
        <v>91</v>
      </c>
      <c r="AF298" s="172" t="s">
        <v>100</v>
      </c>
      <c r="AG298" s="482" t="s">
        <v>220</v>
      </c>
      <c r="AH298" s="482" t="s">
        <v>975</v>
      </c>
    </row>
    <row r="299" spans="1:34" ht="25.5" outlineLevel="1" x14ac:dyDescent="0.25">
      <c r="A299" s="1008" t="s">
        <v>562</v>
      </c>
      <c r="B299" s="1009" t="s">
        <v>802</v>
      </c>
      <c r="C299" s="1316" t="s">
        <v>563</v>
      </c>
      <c r="D299" s="35" t="s">
        <v>1498</v>
      </c>
      <c r="E299" s="34" t="s">
        <v>120</v>
      </c>
      <c r="F299" s="34" t="s">
        <v>120</v>
      </c>
      <c r="G299" s="138">
        <v>2854</v>
      </c>
      <c r="H299" s="183">
        <v>252.89000000000001</v>
      </c>
      <c r="I299" s="1643">
        <v>0</v>
      </c>
      <c r="J299" s="1644">
        <v>0</v>
      </c>
      <c r="K299" s="1645">
        <v>0</v>
      </c>
      <c r="L299" s="1010">
        <v>0</v>
      </c>
      <c r="M299" s="314">
        <v>0</v>
      </c>
      <c r="N299" s="1317">
        <v>2601.11</v>
      </c>
      <c r="O299" s="1085">
        <v>2601.11</v>
      </c>
      <c r="P299" s="859">
        <v>0</v>
      </c>
      <c r="Q299" s="1537">
        <f t="shared" si="12"/>
        <v>2601.11</v>
      </c>
      <c r="R299" s="315">
        <v>0</v>
      </c>
      <c r="S299" s="1011">
        <v>0</v>
      </c>
      <c r="T299" s="1010">
        <v>0</v>
      </c>
      <c r="U299" s="314">
        <v>0</v>
      </c>
      <c r="V299" s="329">
        <v>0</v>
      </c>
      <c r="W299" s="1012">
        <v>0</v>
      </c>
      <c r="X299" s="752">
        <v>0</v>
      </c>
      <c r="Y299" s="752">
        <v>0</v>
      </c>
      <c r="Z299" s="752">
        <v>0</v>
      </c>
      <c r="AA299" s="328">
        <v>0</v>
      </c>
      <c r="AB299" s="35" t="s">
        <v>84</v>
      </c>
      <c r="AC299" s="313" t="s">
        <v>13</v>
      </c>
      <c r="AD299" s="1401" t="s">
        <v>190</v>
      </c>
      <c r="AE299" s="1402" t="s">
        <v>92</v>
      </c>
      <c r="AF299" s="406" t="s">
        <v>101</v>
      </c>
      <c r="AG299" s="34" t="s">
        <v>217</v>
      </c>
      <c r="AH299" s="34" t="s">
        <v>975</v>
      </c>
    </row>
    <row r="300" spans="1:34" ht="31.5" outlineLevel="1" x14ac:dyDescent="0.25">
      <c r="A300" s="1013" t="s">
        <v>564</v>
      </c>
      <c r="B300" s="1014" t="s">
        <v>1161</v>
      </c>
      <c r="C300" s="1186" t="s">
        <v>565</v>
      </c>
      <c r="D300" s="694" t="s">
        <v>1498</v>
      </c>
      <c r="E300" s="928" t="s">
        <v>120</v>
      </c>
      <c r="F300" s="928" t="s">
        <v>120</v>
      </c>
      <c r="G300" s="1015">
        <v>587.74621000000002</v>
      </c>
      <c r="H300" s="1064">
        <v>0</v>
      </c>
      <c r="I300" s="1028">
        <v>587.74621000000002</v>
      </c>
      <c r="J300" s="1029">
        <v>0</v>
      </c>
      <c r="K300" s="1218">
        <v>0</v>
      </c>
      <c r="L300" s="1018">
        <v>587.74621000000002</v>
      </c>
      <c r="M300" s="1019">
        <v>0</v>
      </c>
      <c r="N300" s="1020">
        <v>0</v>
      </c>
      <c r="O300" s="1021">
        <v>587.74621000000002</v>
      </c>
      <c r="P300" s="1022">
        <v>0</v>
      </c>
      <c r="Q300" s="1187">
        <f t="shared" si="12"/>
        <v>587.74621000000002</v>
      </c>
      <c r="R300" s="1023">
        <v>0</v>
      </c>
      <c r="S300" s="1024">
        <v>0</v>
      </c>
      <c r="T300" s="1018">
        <v>0</v>
      </c>
      <c r="U300" s="1019">
        <v>0</v>
      </c>
      <c r="V300" s="1025"/>
      <c r="W300" s="902">
        <v>0</v>
      </c>
      <c r="X300" s="595">
        <v>0</v>
      </c>
      <c r="Y300" s="595">
        <v>0</v>
      </c>
      <c r="Z300" s="595">
        <v>0</v>
      </c>
      <c r="AA300" s="904">
        <v>0</v>
      </c>
      <c r="AB300" s="694" t="s">
        <v>84</v>
      </c>
      <c r="AC300" s="907" t="s">
        <v>95</v>
      </c>
      <c r="AD300" s="1026" t="s">
        <v>640</v>
      </c>
      <c r="AE300" s="908" t="s">
        <v>92</v>
      </c>
      <c r="AF300" s="1027" t="s">
        <v>101</v>
      </c>
      <c r="AG300" s="928" t="s">
        <v>217</v>
      </c>
      <c r="AH300" s="928" t="s">
        <v>975</v>
      </c>
    </row>
    <row r="301" spans="1:34" ht="25.5" outlineLevel="1" x14ac:dyDescent="0.25">
      <c r="A301" s="1013" t="s">
        <v>566</v>
      </c>
      <c r="B301" s="1014" t="s">
        <v>1163</v>
      </c>
      <c r="C301" s="1186" t="s">
        <v>567</v>
      </c>
      <c r="D301" s="694" t="s">
        <v>1498</v>
      </c>
      <c r="E301" s="928" t="s">
        <v>343</v>
      </c>
      <c r="F301" s="928" t="s">
        <v>343</v>
      </c>
      <c r="G301" s="1015">
        <v>96.42</v>
      </c>
      <c r="H301" s="1064">
        <v>0</v>
      </c>
      <c r="I301" s="1028">
        <v>96.42</v>
      </c>
      <c r="J301" s="1029">
        <v>0</v>
      </c>
      <c r="K301" s="1218">
        <v>0</v>
      </c>
      <c r="L301" s="1018">
        <v>96.42</v>
      </c>
      <c r="M301" s="1019">
        <v>0</v>
      </c>
      <c r="N301" s="1020">
        <v>0</v>
      </c>
      <c r="O301" s="1021">
        <v>96.42</v>
      </c>
      <c r="P301" s="1022">
        <v>0</v>
      </c>
      <c r="Q301" s="1187">
        <f t="shared" si="12"/>
        <v>96.42</v>
      </c>
      <c r="R301" s="1023">
        <v>0</v>
      </c>
      <c r="S301" s="1024">
        <v>0</v>
      </c>
      <c r="T301" s="1018">
        <v>0</v>
      </c>
      <c r="U301" s="1019">
        <v>0</v>
      </c>
      <c r="V301" s="1025">
        <v>0</v>
      </c>
      <c r="W301" s="902">
        <v>0</v>
      </c>
      <c r="X301" s="595">
        <v>0</v>
      </c>
      <c r="Y301" s="595">
        <v>0</v>
      </c>
      <c r="Z301" s="595">
        <v>0</v>
      </c>
      <c r="AA301" s="904">
        <v>0</v>
      </c>
      <c r="AB301" s="694" t="s">
        <v>84</v>
      </c>
      <c r="AC301" s="907" t="s">
        <v>95</v>
      </c>
      <c r="AD301" s="1026" t="s">
        <v>640</v>
      </c>
      <c r="AE301" s="908" t="s">
        <v>92</v>
      </c>
      <c r="AF301" s="1027" t="s">
        <v>101</v>
      </c>
      <c r="AG301" s="928" t="s">
        <v>220</v>
      </c>
      <c r="AH301" s="928" t="s">
        <v>975</v>
      </c>
    </row>
    <row r="302" spans="1:34" ht="31.5" outlineLevel="1" x14ac:dyDescent="0.25">
      <c r="A302" s="1032" t="s">
        <v>568</v>
      </c>
      <c r="B302" s="1033" t="s">
        <v>1691</v>
      </c>
      <c r="C302" s="1185" t="s">
        <v>569</v>
      </c>
      <c r="D302" s="910" t="s">
        <v>1498</v>
      </c>
      <c r="E302" s="946" t="s">
        <v>43</v>
      </c>
      <c r="F302" s="946" t="s">
        <v>43</v>
      </c>
      <c r="G302" s="1034">
        <v>901.87099999999998</v>
      </c>
      <c r="H302" s="1063">
        <v>0</v>
      </c>
      <c r="I302" s="1016">
        <v>0</v>
      </c>
      <c r="J302" s="1017">
        <v>0</v>
      </c>
      <c r="K302" s="1263">
        <v>901.87099999999998</v>
      </c>
      <c r="L302" s="1035">
        <v>0</v>
      </c>
      <c r="M302" s="1036">
        <v>0</v>
      </c>
      <c r="N302" s="1037">
        <v>901.87099999999998</v>
      </c>
      <c r="O302" s="1038">
        <v>1000</v>
      </c>
      <c r="P302" s="1039">
        <v>-98.129000000000005</v>
      </c>
      <c r="Q302" s="1548">
        <f t="shared" si="12"/>
        <v>901.87099999999998</v>
      </c>
      <c r="R302" s="1040">
        <v>0</v>
      </c>
      <c r="S302" s="1041">
        <v>0</v>
      </c>
      <c r="T302" s="1035">
        <v>0</v>
      </c>
      <c r="U302" s="1036">
        <v>0</v>
      </c>
      <c r="V302" s="1042">
        <v>0</v>
      </c>
      <c r="W302" s="912">
        <v>0</v>
      </c>
      <c r="X302" s="942">
        <v>0</v>
      </c>
      <c r="Y302" s="942">
        <v>0</v>
      </c>
      <c r="Z302" s="942">
        <v>0</v>
      </c>
      <c r="AA302" s="932">
        <v>0</v>
      </c>
      <c r="AB302" s="910" t="s">
        <v>1995</v>
      </c>
      <c r="AC302" s="767" t="s">
        <v>95</v>
      </c>
      <c r="AD302" s="1043" t="s">
        <v>315</v>
      </c>
      <c r="AE302" s="921" t="s">
        <v>92</v>
      </c>
      <c r="AF302" s="1044" t="s">
        <v>101</v>
      </c>
      <c r="AG302" s="946" t="s">
        <v>218</v>
      </c>
      <c r="AH302" s="946" t="s">
        <v>975</v>
      </c>
    </row>
    <row r="303" spans="1:34" ht="31.5" outlineLevel="1" x14ac:dyDescent="0.25">
      <c r="A303" s="2473" t="s">
        <v>570</v>
      </c>
      <c r="B303" s="2474" t="s">
        <v>87</v>
      </c>
      <c r="C303" s="2475" t="s">
        <v>571</v>
      </c>
      <c r="D303" s="1122" t="s">
        <v>1498</v>
      </c>
      <c r="E303" s="2476" t="s">
        <v>43</v>
      </c>
      <c r="F303" s="2476" t="s">
        <v>43</v>
      </c>
      <c r="G303" s="2477">
        <v>800</v>
      </c>
      <c r="H303" s="2478">
        <v>0</v>
      </c>
      <c r="I303" s="2479">
        <v>0</v>
      </c>
      <c r="J303" s="2480">
        <v>0</v>
      </c>
      <c r="K303" s="2481">
        <v>0</v>
      </c>
      <c r="L303" s="2482">
        <v>0</v>
      </c>
      <c r="M303" s="2483">
        <v>0</v>
      </c>
      <c r="N303" s="2484">
        <v>0</v>
      </c>
      <c r="O303" s="2485">
        <v>0</v>
      </c>
      <c r="P303" s="2486">
        <v>0</v>
      </c>
      <c r="Q303" s="2487">
        <f t="shared" si="12"/>
        <v>0</v>
      </c>
      <c r="R303" s="2488">
        <v>800</v>
      </c>
      <c r="S303" s="2489">
        <v>0</v>
      </c>
      <c r="T303" s="2482">
        <v>0</v>
      </c>
      <c r="U303" s="2483">
        <v>0</v>
      </c>
      <c r="V303" s="2490">
        <v>0</v>
      </c>
      <c r="W303" s="2491">
        <v>0</v>
      </c>
      <c r="X303" s="2492">
        <v>0</v>
      </c>
      <c r="Y303" s="2492">
        <v>0</v>
      </c>
      <c r="Z303" s="2492">
        <v>0</v>
      </c>
      <c r="AA303" s="2493">
        <v>0</v>
      </c>
      <c r="AB303" s="1122" t="s">
        <v>1996</v>
      </c>
      <c r="AC303" s="1412" t="s">
        <v>9</v>
      </c>
      <c r="AD303" s="2494" t="s">
        <v>627</v>
      </c>
      <c r="AE303" s="2495" t="s">
        <v>91</v>
      </c>
      <c r="AF303" s="797" t="s">
        <v>102</v>
      </c>
      <c r="AG303" s="2476" t="s">
        <v>218</v>
      </c>
      <c r="AH303" s="2476" t="s">
        <v>975</v>
      </c>
    </row>
    <row r="304" spans="1:34" ht="31.5" outlineLevel="1" x14ac:dyDescent="0.25">
      <c r="A304" s="2473" t="s">
        <v>572</v>
      </c>
      <c r="B304" s="2474" t="s">
        <v>87</v>
      </c>
      <c r="C304" s="2475" t="s">
        <v>573</v>
      </c>
      <c r="D304" s="1122" t="s">
        <v>1498</v>
      </c>
      <c r="E304" s="2476" t="s">
        <v>43</v>
      </c>
      <c r="F304" s="2476" t="s">
        <v>43</v>
      </c>
      <c r="G304" s="2477">
        <v>800</v>
      </c>
      <c r="H304" s="2478">
        <v>0</v>
      </c>
      <c r="I304" s="2479">
        <v>0</v>
      </c>
      <c r="J304" s="2480">
        <v>0</v>
      </c>
      <c r="K304" s="2481">
        <v>0</v>
      </c>
      <c r="L304" s="2482">
        <v>0</v>
      </c>
      <c r="M304" s="2483">
        <v>0</v>
      </c>
      <c r="N304" s="2484">
        <v>0</v>
      </c>
      <c r="O304" s="2485">
        <v>0</v>
      </c>
      <c r="P304" s="2486">
        <v>0</v>
      </c>
      <c r="Q304" s="2487">
        <f t="shared" si="12"/>
        <v>0</v>
      </c>
      <c r="R304" s="2488">
        <v>800</v>
      </c>
      <c r="S304" s="2489">
        <v>0</v>
      </c>
      <c r="T304" s="2482">
        <v>0</v>
      </c>
      <c r="U304" s="2483">
        <v>0</v>
      </c>
      <c r="V304" s="2490">
        <v>0</v>
      </c>
      <c r="W304" s="2491">
        <v>0</v>
      </c>
      <c r="X304" s="2492">
        <v>0</v>
      </c>
      <c r="Y304" s="2492">
        <v>0</v>
      </c>
      <c r="Z304" s="2492">
        <v>0</v>
      </c>
      <c r="AA304" s="2493">
        <v>0</v>
      </c>
      <c r="AB304" s="1122" t="s">
        <v>1997</v>
      </c>
      <c r="AC304" s="1412" t="s">
        <v>11</v>
      </c>
      <c r="AD304" s="2494" t="s">
        <v>561</v>
      </c>
      <c r="AE304" s="2495" t="s">
        <v>91</v>
      </c>
      <c r="AF304" s="797" t="s">
        <v>102</v>
      </c>
      <c r="AG304" s="2476" t="s">
        <v>218</v>
      </c>
      <c r="AH304" s="2476" t="s">
        <v>975</v>
      </c>
    </row>
    <row r="305" spans="1:34" ht="31.5" outlineLevel="1" x14ac:dyDescent="0.25">
      <c r="A305" s="2496" t="s">
        <v>574</v>
      </c>
      <c r="B305" s="2497" t="s">
        <v>969</v>
      </c>
      <c r="C305" s="2498" t="s">
        <v>575</v>
      </c>
      <c r="D305" s="386" t="s">
        <v>1498</v>
      </c>
      <c r="E305" s="2499" t="s">
        <v>36</v>
      </c>
      <c r="F305" s="2499" t="s">
        <v>36</v>
      </c>
      <c r="G305" s="2500">
        <v>1965</v>
      </c>
      <c r="H305" s="2501">
        <v>80</v>
      </c>
      <c r="I305" s="2502">
        <v>0</v>
      </c>
      <c r="J305" s="2503">
        <v>20</v>
      </c>
      <c r="K305" s="2504">
        <v>0</v>
      </c>
      <c r="L305" s="2505">
        <v>0</v>
      </c>
      <c r="M305" s="2506">
        <v>20</v>
      </c>
      <c r="N305" s="2507">
        <v>1500</v>
      </c>
      <c r="O305" s="2414">
        <v>1885</v>
      </c>
      <c r="P305" s="2508">
        <v>-365</v>
      </c>
      <c r="Q305" s="2508">
        <f t="shared" si="12"/>
        <v>1520</v>
      </c>
      <c r="R305" s="2509">
        <v>365</v>
      </c>
      <c r="S305" s="2510">
        <v>0</v>
      </c>
      <c r="T305" s="2505">
        <v>0</v>
      </c>
      <c r="U305" s="2506">
        <v>0</v>
      </c>
      <c r="V305" s="2511">
        <v>0</v>
      </c>
      <c r="W305" s="2417">
        <v>0</v>
      </c>
      <c r="X305" s="1897">
        <v>0</v>
      </c>
      <c r="Y305" s="1897">
        <v>0</v>
      </c>
      <c r="Z305" s="1897">
        <v>0</v>
      </c>
      <c r="AA305" s="356">
        <v>0</v>
      </c>
      <c r="AB305" s="386" t="s">
        <v>1998</v>
      </c>
      <c r="AC305" s="572" t="s">
        <v>13</v>
      </c>
      <c r="AD305" s="2512" t="s">
        <v>1564</v>
      </c>
      <c r="AE305" s="2513" t="s">
        <v>92</v>
      </c>
      <c r="AF305" s="1156" t="s">
        <v>101</v>
      </c>
      <c r="AG305" s="2499" t="s">
        <v>209</v>
      </c>
      <c r="AH305" s="2499" t="s">
        <v>975</v>
      </c>
    </row>
    <row r="306" spans="1:34" ht="31.5" outlineLevel="1" x14ac:dyDescent="0.25">
      <c r="A306" s="1008" t="s">
        <v>576</v>
      </c>
      <c r="B306" s="1009" t="s">
        <v>954</v>
      </c>
      <c r="C306" s="1316" t="s">
        <v>577</v>
      </c>
      <c r="D306" s="35" t="s">
        <v>1498</v>
      </c>
      <c r="E306" s="34" t="s">
        <v>36</v>
      </c>
      <c r="F306" s="34" t="s">
        <v>36</v>
      </c>
      <c r="G306" s="138">
        <v>7960</v>
      </c>
      <c r="H306" s="183">
        <v>450</v>
      </c>
      <c r="I306" s="1643">
        <v>0</v>
      </c>
      <c r="J306" s="1644">
        <v>90</v>
      </c>
      <c r="K306" s="1645">
        <v>0</v>
      </c>
      <c r="L306" s="1010">
        <v>0</v>
      </c>
      <c r="M306" s="314">
        <v>90</v>
      </c>
      <c r="N306" s="1317">
        <v>7420</v>
      </c>
      <c r="O306" s="1085">
        <v>7510</v>
      </c>
      <c r="P306" s="859">
        <v>0</v>
      </c>
      <c r="Q306" s="1537">
        <f t="shared" si="12"/>
        <v>7510</v>
      </c>
      <c r="R306" s="315">
        <v>0</v>
      </c>
      <c r="S306" s="1011">
        <v>0</v>
      </c>
      <c r="T306" s="1010">
        <v>0</v>
      </c>
      <c r="U306" s="314">
        <v>0</v>
      </c>
      <c r="V306" s="329">
        <v>0</v>
      </c>
      <c r="W306" s="1012">
        <v>0</v>
      </c>
      <c r="X306" s="752">
        <v>0</v>
      </c>
      <c r="Y306" s="752">
        <v>0</v>
      </c>
      <c r="Z306" s="752">
        <v>0</v>
      </c>
      <c r="AA306" s="135">
        <v>0</v>
      </c>
      <c r="AB306" s="35" t="s">
        <v>84</v>
      </c>
      <c r="AC306" s="313" t="s">
        <v>13</v>
      </c>
      <c r="AD306" s="1401" t="s">
        <v>190</v>
      </c>
      <c r="AE306" s="1402" t="s">
        <v>92</v>
      </c>
      <c r="AF306" s="406" t="s">
        <v>101</v>
      </c>
      <c r="AG306" s="34" t="s">
        <v>209</v>
      </c>
      <c r="AH306" s="34" t="s">
        <v>975</v>
      </c>
    </row>
    <row r="307" spans="1:34" ht="31.5" outlineLevel="1" x14ac:dyDescent="0.25">
      <c r="A307" s="1013" t="s">
        <v>578</v>
      </c>
      <c r="B307" s="1014" t="s">
        <v>1166</v>
      </c>
      <c r="C307" s="1186" t="s">
        <v>579</v>
      </c>
      <c r="D307" s="694" t="s">
        <v>1498</v>
      </c>
      <c r="E307" s="928" t="s">
        <v>339</v>
      </c>
      <c r="F307" s="928" t="s">
        <v>339</v>
      </c>
      <c r="G307" s="1015">
        <v>2038.91292</v>
      </c>
      <c r="H307" s="1064">
        <v>0</v>
      </c>
      <c r="I307" s="1028">
        <v>2038.91292</v>
      </c>
      <c r="J307" s="1029">
        <v>0</v>
      </c>
      <c r="K307" s="1218">
        <v>0</v>
      </c>
      <c r="L307" s="1018">
        <v>2038.91292</v>
      </c>
      <c r="M307" s="1019">
        <v>0</v>
      </c>
      <c r="N307" s="1020">
        <v>0</v>
      </c>
      <c r="O307" s="1021">
        <v>2038.91292</v>
      </c>
      <c r="P307" s="1022">
        <v>0</v>
      </c>
      <c r="Q307" s="1187">
        <f t="shared" si="12"/>
        <v>2038.91292</v>
      </c>
      <c r="R307" s="1023">
        <v>0</v>
      </c>
      <c r="S307" s="1024">
        <v>0</v>
      </c>
      <c r="T307" s="1018">
        <v>0</v>
      </c>
      <c r="U307" s="1019">
        <v>0</v>
      </c>
      <c r="V307" s="1025">
        <v>0</v>
      </c>
      <c r="W307" s="902">
        <v>0</v>
      </c>
      <c r="X307" s="595">
        <v>0</v>
      </c>
      <c r="Y307" s="595">
        <v>0</v>
      </c>
      <c r="Z307" s="595">
        <v>0</v>
      </c>
      <c r="AA307" s="136">
        <v>0</v>
      </c>
      <c r="AB307" s="694" t="s">
        <v>84</v>
      </c>
      <c r="AC307" s="907" t="s">
        <v>95</v>
      </c>
      <c r="AD307" s="1026" t="s">
        <v>640</v>
      </c>
      <c r="AE307" s="908" t="s">
        <v>92</v>
      </c>
      <c r="AF307" s="1027" t="s">
        <v>101</v>
      </c>
      <c r="AG307" s="928" t="s">
        <v>215</v>
      </c>
      <c r="AH307" s="928" t="s">
        <v>975</v>
      </c>
    </row>
    <row r="308" spans="1:34" ht="31.5" outlineLevel="1" x14ac:dyDescent="0.25">
      <c r="A308" s="1013" t="s">
        <v>580</v>
      </c>
      <c r="B308" s="1014" t="s">
        <v>1160</v>
      </c>
      <c r="C308" s="1186" t="s">
        <v>581</v>
      </c>
      <c r="D308" s="694" t="s">
        <v>1498</v>
      </c>
      <c r="E308" s="928" t="s">
        <v>339</v>
      </c>
      <c r="F308" s="928" t="s">
        <v>339</v>
      </c>
      <c r="G308" s="1015">
        <v>889</v>
      </c>
      <c r="H308" s="1064">
        <v>0</v>
      </c>
      <c r="I308" s="1028">
        <v>889</v>
      </c>
      <c r="J308" s="1029">
        <v>0</v>
      </c>
      <c r="K308" s="1218">
        <v>0</v>
      </c>
      <c r="L308" s="1018">
        <v>889</v>
      </c>
      <c r="M308" s="1019">
        <v>0</v>
      </c>
      <c r="N308" s="1020">
        <v>0</v>
      </c>
      <c r="O308" s="1021">
        <v>889</v>
      </c>
      <c r="P308" s="1022">
        <v>0</v>
      </c>
      <c r="Q308" s="1187">
        <f t="shared" si="12"/>
        <v>889</v>
      </c>
      <c r="R308" s="1023">
        <v>0</v>
      </c>
      <c r="S308" s="1024">
        <v>0</v>
      </c>
      <c r="T308" s="1018">
        <v>0</v>
      </c>
      <c r="U308" s="1019">
        <v>0</v>
      </c>
      <c r="V308" s="1025">
        <v>0</v>
      </c>
      <c r="W308" s="902">
        <v>0</v>
      </c>
      <c r="X308" s="595">
        <v>0</v>
      </c>
      <c r="Y308" s="595">
        <v>0</v>
      </c>
      <c r="Z308" s="595">
        <v>0</v>
      </c>
      <c r="AA308" s="136">
        <v>0</v>
      </c>
      <c r="AB308" s="694" t="s">
        <v>84</v>
      </c>
      <c r="AC308" s="907" t="s">
        <v>95</v>
      </c>
      <c r="AD308" s="1026" t="s">
        <v>640</v>
      </c>
      <c r="AE308" s="908" t="s">
        <v>92</v>
      </c>
      <c r="AF308" s="1027" t="s">
        <v>101</v>
      </c>
      <c r="AG308" s="928" t="s">
        <v>215</v>
      </c>
      <c r="AH308" s="928" t="s">
        <v>975</v>
      </c>
    </row>
    <row r="309" spans="1:34" ht="31.5" outlineLevel="1" x14ac:dyDescent="0.25">
      <c r="A309" s="2496" t="s">
        <v>582</v>
      </c>
      <c r="B309" s="2497" t="s">
        <v>970</v>
      </c>
      <c r="C309" s="2498" t="s">
        <v>583</v>
      </c>
      <c r="D309" s="386" t="s">
        <v>1498</v>
      </c>
      <c r="E309" s="2499" t="s">
        <v>339</v>
      </c>
      <c r="F309" s="2499" t="s">
        <v>339</v>
      </c>
      <c r="G309" s="2500">
        <v>8000</v>
      </c>
      <c r="H309" s="2501">
        <v>92.9</v>
      </c>
      <c r="I309" s="2502">
        <v>0</v>
      </c>
      <c r="J309" s="2503">
        <v>0</v>
      </c>
      <c r="K309" s="2504">
        <v>0</v>
      </c>
      <c r="L309" s="2505">
        <v>0</v>
      </c>
      <c r="M309" s="2506">
        <v>0</v>
      </c>
      <c r="N309" s="2507">
        <v>696</v>
      </c>
      <c r="O309" s="2414">
        <v>696</v>
      </c>
      <c r="P309" s="2508">
        <v>0</v>
      </c>
      <c r="Q309" s="2508">
        <f t="shared" si="12"/>
        <v>696</v>
      </c>
      <c r="R309" s="2416">
        <f>G309-H309-N309-S309</f>
        <v>2111.1000000000004</v>
      </c>
      <c r="S309" s="2510">
        <v>5100</v>
      </c>
      <c r="T309" s="2505">
        <v>0</v>
      </c>
      <c r="U309" s="2506">
        <v>0</v>
      </c>
      <c r="V309" s="2511">
        <v>0</v>
      </c>
      <c r="W309" s="2417">
        <v>0</v>
      </c>
      <c r="X309" s="1897">
        <v>0</v>
      </c>
      <c r="Y309" s="1897">
        <v>0</v>
      </c>
      <c r="Z309" s="1897">
        <v>0</v>
      </c>
      <c r="AA309" s="356">
        <v>0</v>
      </c>
      <c r="AB309" s="386" t="s">
        <v>1999</v>
      </c>
      <c r="AC309" s="572" t="s">
        <v>11</v>
      </c>
      <c r="AD309" s="2512" t="s">
        <v>1564</v>
      </c>
      <c r="AE309" s="2513" t="s">
        <v>91</v>
      </c>
      <c r="AF309" s="1156" t="s">
        <v>101</v>
      </c>
      <c r="AG309" s="2499" t="s">
        <v>215</v>
      </c>
      <c r="AH309" s="2499" t="s">
        <v>975</v>
      </c>
    </row>
    <row r="310" spans="1:34" ht="32.25" outlineLevel="1" thickBot="1" x14ac:dyDescent="0.3">
      <c r="A310" s="879" t="s">
        <v>613</v>
      </c>
      <c r="B310" s="1007" t="s">
        <v>941</v>
      </c>
      <c r="C310" s="1318" t="s">
        <v>856</v>
      </c>
      <c r="D310" s="98" t="s">
        <v>1498</v>
      </c>
      <c r="E310" s="502" t="s">
        <v>338</v>
      </c>
      <c r="F310" s="502" t="s">
        <v>338</v>
      </c>
      <c r="G310" s="127">
        <v>4915</v>
      </c>
      <c r="H310" s="182">
        <v>2148.6704399999999</v>
      </c>
      <c r="I310" s="1633">
        <v>203.30056999999999</v>
      </c>
      <c r="J310" s="1634">
        <v>2255.6685499999999</v>
      </c>
      <c r="K310" s="1635">
        <v>0</v>
      </c>
      <c r="L310" s="409">
        <v>203.30056999999999</v>
      </c>
      <c r="M310" s="237">
        <v>2255.6685499999999</v>
      </c>
      <c r="N310" s="1312">
        <v>307.36044000000038</v>
      </c>
      <c r="O310" s="845">
        <v>2766.3295600000001</v>
      </c>
      <c r="P310" s="857">
        <v>0</v>
      </c>
      <c r="Q310" s="1527">
        <f t="shared" si="12"/>
        <v>2766.3295600000001</v>
      </c>
      <c r="R310" s="128">
        <v>0</v>
      </c>
      <c r="S310" s="244">
        <v>0</v>
      </c>
      <c r="T310" s="409">
        <v>0</v>
      </c>
      <c r="U310" s="237">
        <v>0</v>
      </c>
      <c r="V310" s="232">
        <v>0</v>
      </c>
      <c r="W310" s="862">
        <v>0</v>
      </c>
      <c r="X310" s="1288">
        <v>0</v>
      </c>
      <c r="Y310" s="1288">
        <v>0</v>
      </c>
      <c r="Z310" s="1288">
        <v>0</v>
      </c>
      <c r="AA310" s="137">
        <v>0</v>
      </c>
      <c r="AB310" s="98" t="s">
        <v>84</v>
      </c>
      <c r="AC310" s="115" t="s">
        <v>13</v>
      </c>
      <c r="AD310" s="1411" t="s">
        <v>321</v>
      </c>
      <c r="AE310" s="1278" t="s">
        <v>92</v>
      </c>
      <c r="AF310" s="58" t="s">
        <v>101</v>
      </c>
      <c r="AG310" s="502" t="s">
        <v>209</v>
      </c>
      <c r="AH310" s="502" t="s">
        <v>975</v>
      </c>
    </row>
    <row r="311" spans="1:34" ht="31.5" outlineLevel="1" x14ac:dyDescent="0.25">
      <c r="A311" s="1008" t="s">
        <v>644</v>
      </c>
      <c r="B311" s="1009" t="s">
        <v>962</v>
      </c>
      <c r="C311" s="1316" t="s">
        <v>645</v>
      </c>
      <c r="D311" s="35" t="s">
        <v>1617</v>
      </c>
      <c r="E311" s="34" t="s">
        <v>309</v>
      </c>
      <c r="F311" s="34" t="s">
        <v>309</v>
      </c>
      <c r="G311" s="138">
        <v>2050</v>
      </c>
      <c r="H311" s="183">
        <v>852.03359999999998</v>
      </c>
      <c r="I311" s="1643">
        <v>0</v>
      </c>
      <c r="J311" s="1644">
        <v>0</v>
      </c>
      <c r="K311" s="1645">
        <v>1019.34756</v>
      </c>
      <c r="L311" s="1010">
        <v>0</v>
      </c>
      <c r="M311" s="314">
        <v>0</v>
      </c>
      <c r="N311" s="1317">
        <v>1197.9664</v>
      </c>
      <c r="O311" s="1085">
        <v>1197.9664</v>
      </c>
      <c r="P311" s="859">
        <v>0</v>
      </c>
      <c r="Q311" s="1537">
        <f t="shared" si="12"/>
        <v>1197.9664</v>
      </c>
      <c r="R311" s="315">
        <v>0</v>
      </c>
      <c r="S311" s="1011">
        <v>0</v>
      </c>
      <c r="T311" s="1010">
        <v>0</v>
      </c>
      <c r="U311" s="314">
        <v>0</v>
      </c>
      <c r="V311" s="329">
        <v>0</v>
      </c>
      <c r="W311" s="1012">
        <v>0</v>
      </c>
      <c r="X311" s="752">
        <v>0</v>
      </c>
      <c r="Y311" s="752">
        <v>0</v>
      </c>
      <c r="Z311" s="752">
        <v>0</v>
      </c>
      <c r="AA311" s="328">
        <v>0</v>
      </c>
      <c r="AB311" s="35" t="s">
        <v>84</v>
      </c>
      <c r="AC311" s="313" t="s">
        <v>13</v>
      </c>
      <c r="AD311" s="1401" t="s">
        <v>190</v>
      </c>
      <c r="AE311" s="1402" t="s">
        <v>92</v>
      </c>
      <c r="AF311" s="406" t="s">
        <v>101</v>
      </c>
      <c r="AG311" s="34" t="s">
        <v>211</v>
      </c>
      <c r="AH311" s="34" t="s">
        <v>975</v>
      </c>
    </row>
    <row r="312" spans="1:34" ht="31.5" outlineLevel="1" x14ac:dyDescent="0.25">
      <c r="A312" s="1008" t="s">
        <v>646</v>
      </c>
      <c r="B312" s="1009" t="s">
        <v>87</v>
      </c>
      <c r="C312" s="1316" t="s">
        <v>780</v>
      </c>
      <c r="D312" s="35" t="s">
        <v>1617</v>
      </c>
      <c r="E312" s="34" t="s">
        <v>309</v>
      </c>
      <c r="F312" s="34" t="s">
        <v>309</v>
      </c>
      <c r="G312" s="138">
        <v>280</v>
      </c>
      <c r="H312" s="183">
        <v>0</v>
      </c>
      <c r="I312" s="1643">
        <v>0</v>
      </c>
      <c r="J312" s="1644">
        <v>0</v>
      </c>
      <c r="K312" s="1645">
        <v>0</v>
      </c>
      <c r="L312" s="1010">
        <v>0</v>
      </c>
      <c r="M312" s="314">
        <v>0</v>
      </c>
      <c r="N312" s="1317">
        <v>280</v>
      </c>
      <c r="O312" s="1085">
        <v>280</v>
      </c>
      <c r="P312" s="859">
        <v>0</v>
      </c>
      <c r="Q312" s="1537">
        <f t="shared" si="12"/>
        <v>280</v>
      </c>
      <c r="R312" s="315">
        <v>0</v>
      </c>
      <c r="S312" s="1011">
        <v>0</v>
      </c>
      <c r="T312" s="1010">
        <v>0</v>
      </c>
      <c r="U312" s="314">
        <v>0</v>
      </c>
      <c r="V312" s="329">
        <v>0</v>
      </c>
      <c r="W312" s="1012">
        <v>0</v>
      </c>
      <c r="X312" s="752">
        <v>0</v>
      </c>
      <c r="Y312" s="752">
        <v>0</v>
      </c>
      <c r="Z312" s="752">
        <v>0</v>
      </c>
      <c r="AA312" s="328">
        <v>0</v>
      </c>
      <c r="AB312" s="35" t="s">
        <v>84</v>
      </c>
      <c r="AC312" s="313" t="s">
        <v>11</v>
      </c>
      <c r="AD312" s="1401" t="s">
        <v>321</v>
      </c>
      <c r="AE312" s="1402" t="s">
        <v>91</v>
      </c>
      <c r="AF312" s="406" t="s">
        <v>101</v>
      </c>
      <c r="AG312" s="34" t="s">
        <v>211</v>
      </c>
      <c r="AH312" s="34"/>
    </row>
    <row r="313" spans="1:34" ht="25.5" outlineLevel="1" x14ac:dyDescent="0.25">
      <c r="A313" s="1008" t="s">
        <v>647</v>
      </c>
      <c r="B313" s="1009" t="s">
        <v>961</v>
      </c>
      <c r="C313" s="1316" t="s">
        <v>648</v>
      </c>
      <c r="D313" s="35" t="s">
        <v>1617</v>
      </c>
      <c r="E313" s="34" t="s">
        <v>55</v>
      </c>
      <c r="F313" s="34" t="s">
        <v>55</v>
      </c>
      <c r="G313" s="138">
        <v>4900</v>
      </c>
      <c r="H313" s="183">
        <v>174.87</v>
      </c>
      <c r="I313" s="1643">
        <v>0</v>
      </c>
      <c r="J313" s="1644">
        <v>0</v>
      </c>
      <c r="K313" s="1645">
        <v>0</v>
      </c>
      <c r="L313" s="1010">
        <v>0</v>
      </c>
      <c r="M313" s="314">
        <v>0</v>
      </c>
      <c r="N313" s="1317">
        <v>4725.13</v>
      </c>
      <c r="O313" s="1085">
        <v>4725.13</v>
      </c>
      <c r="P313" s="859">
        <v>0</v>
      </c>
      <c r="Q313" s="1537">
        <f t="shared" si="12"/>
        <v>4725.13</v>
      </c>
      <c r="R313" s="315">
        <v>0</v>
      </c>
      <c r="S313" s="1011">
        <v>0</v>
      </c>
      <c r="T313" s="1010">
        <v>0</v>
      </c>
      <c r="U313" s="314">
        <v>0</v>
      </c>
      <c r="V313" s="329">
        <v>0</v>
      </c>
      <c r="W313" s="1012">
        <v>0</v>
      </c>
      <c r="X313" s="752">
        <v>0</v>
      </c>
      <c r="Y313" s="752">
        <v>0</v>
      </c>
      <c r="Z313" s="752">
        <v>0</v>
      </c>
      <c r="AA313" s="328">
        <v>0</v>
      </c>
      <c r="AB313" s="35" t="s">
        <v>84</v>
      </c>
      <c r="AC313" s="313" t="s">
        <v>13</v>
      </c>
      <c r="AD313" s="1401" t="s">
        <v>190</v>
      </c>
      <c r="AE313" s="1402" t="s">
        <v>92</v>
      </c>
      <c r="AF313" s="406" t="s">
        <v>101</v>
      </c>
      <c r="AG313" s="34" t="s">
        <v>531</v>
      </c>
      <c r="AH313" s="34" t="s">
        <v>979</v>
      </c>
    </row>
    <row r="314" spans="1:34" ht="31.5" outlineLevel="1" x14ac:dyDescent="0.25">
      <c r="A314" s="876" t="s">
        <v>650</v>
      </c>
      <c r="B314" s="998" t="s">
        <v>1162</v>
      </c>
      <c r="C314" s="1314" t="s">
        <v>651</v>
      </c>
      <c r="D314" s="95" t="s">
        <v>1617</v>
      </c>
      <c r="E314" s="514" t="s">
        <v>649</v>
      </c>
      <c r="F314" s="514" t="s">
        <v>649</v>
      </c>
      <c r="G314" s="110">
        <v>908</v>
      </c>
      <c r="H314" s="181">
        <v>0</v>
      </c>
      <c r="I314" s="1637">
        <v>794.09879999999998</v>
      </c>
      <c r="J314" s="1638">
        <v>0</v>
      </c>
      <c r="K314" s="1639">
        <v>0</v>
      </c>
      <c r="L314" s="408">
        <v>794.09879999999998</v>
      </c>
      <c r="M314" s="100">
        <v>0</v>
      </c>
      <c r="N314" s="12">
        <f>908-794.0988</f>
        <v>113.90120000000002</v>
      </c>
      <c r="O314" s="844">
        <v>908</v>
      </c>
      <c r="P314" s="856">
        <v>0</v>
      </c>
      <c r="Q314" s="848">
        <f t="shared" si="12"/>
        <v>908</v>
      </c>
      <c r="R314" s="11">
        <v>0</v>
      </c>
      <c r="S314" s="184">
        <v>0</v>
      </c>
      <c r="T314" s="408">
        <v>0</v>
      </c>
      <c r="U314" s="100">
        <v>0</v>
      </c>
      <c r="V314" s="113">
        <v>0</v>
      </c>
      <c r="W314" s="411">
        <v>0</v>
      </c>
      <c r="X314" s="752">
        <v>0</v>
      </c>
      <c r="Y314" s="752">
        <v>0</v>
      </c>
      <c r="Z314" s="752">
        <v>0</v>
      </c>
      <c r="AA314" s="135">
        <v>0</v>
      </c>
      <c r="AB314" s="95" t="s">
        <v>84</v>
      </c>
      <c r="AC314" s="111" t="s">
        <v>13</v>
      </c>
      <c r="AD314" s="1407" t="s">
        <v>190</v>
      </c>
      <c r="AE314" s="1277" t="s">
        <v>92</v>
      </c>
      <c r="AF314" s="515" t="s">
        <v>101</v>
      </c>
      <c r="AG314" s="514" t="s">
        <v>217</v>
      </c>
      <c r="AH314" s="514" t="s">
        <v>975</v>
      </c>
    </row>
    <row r="315" spans="1:34" ht="25.5" outlineLevel="1" x14ac:dyDescent="0.25">
      <c r="A315" s="1198" t="s">
        <v>652</v>
      </c>
      <c r="B315" s="1199" t="s">
        <v>1339</v>
      </c>
      <c r="C315" s="1200" t="s">
        <v>653</v>
      </c>
      <c r="D315" s="147" t="s">
        <v>1617</v>
      </c>
      <c r="E315" s="80" t="s">
        <v>343</v>
      </c>
      <c r="F315" s="80" t="s">
        <v>343</v>
      </c>
      <c r="G315" s="1201">
        <v>695.84699999999998</v>
      </c>
      <c r="H315" s="1202">
        <v>0</v>
      </c>
      <c r="I315" s="1203">
        <v>0</v>
      </c>
      <c r="J315" s="1212">
        <v>695.84699999999998</v>
      </c>
      <c r="K315" s="1217">
        <v>0</v>
      </c>
      <c r="L315" s="1204">
        <v>0</v>
      </c>
      <c r="M315" s="627">
        <v>695.84699999999998</v>
      </c>
      <c r="N315" s="1205">
        <v>0</v>
      </c>
      <c r="O315" s="1530">
        <v>695.84699999999998</v>
      </c>
      <c r="P315" s="1206">
        <v>0</v>
      </c>
      <c r="Q315" s="1538">
        <f t="shared" si="12"/>
        <v>695.84699999999998</v>
      </c>
      <c r="R315" s="1207">
        <v>0</v>
      </c>
      <c r="S315" s="1208">
        <v>0</v>
      </c>
      <c r="T315" s="1204">
        <v>0</v>
      </c>
      <c r="U315" s="627">
        <v>0</v>
      </c>
      <c r="V315" s="190">
        <v>0</v>
      </c>
      <c r="W315" s="896">
        <v>0</v>
      </c>
      <c r="X315" s="596">
        <v>0</v>
      </c>
      <c r="Y315" s="596">
        <v>0</v>
      </c>
      <c r="Z315" s="596">
        <v>0</v>
      </c>
      <c r="AA315" s="899">
        <v>0</v>
      </c>
      <c r="AB315" s="147" t="s">
        <v>84</v>
      </c>
      <c r="AC315" s="901" t="s">
        <v>95</v>
      </c>
      <c r="AD315" s="1209" t="s">
        <v>472</v>
      </c>
      <c r="AE315" s="1210" t="s">
        <v>92</v>
      </c>
      <c r="AF315" s="148" t="s">
        <v>101</v>
      </c>
      <c r="AG315" s="80" t="s">
        <v>220</v>
      </c>
      <c r="AH315" s="80" t="s">
        <v>975</v>
      </c>
    </row>
    <row r="316" spans="1:34" ht="25.5" outlineLevel="1" x14ac:dyDescent="0.25">
      <c r="A316" s="1008" t="s">
        <v>708</v>
      </c>
      <c r="B316" s="1009" t="s">
        <v>956</v>
      </c>
      <c r="C316" s="1316" t="s">
        <v>709</v>
      </c>
      <c r="D316" s="95" t="s">
        <v>1617</v>
      </c>
      <c r="E316" s="34" t="s">
        <v>338</v>
      </c>
      <c r="F316" s="34" t="s">
        <v>338</v>
      </c>
      <c r="G316" s="138">
        <v>3600</v>
      </c>
      <c r="H316" s="183">
        <v>20</v>
      </c>
      <c r="I316" s="1643">
        <v>579.99991</v>
      </c>
      <c r="J316" s="1644">
        <v>316.89999999999998</v>
      </c>
      <c r="K316" s="1645">
        <v>0</v>
      </c>
      <c r="L316" s="1010">
        <v>579.99991</v>
      </c>
      <c r="M316" s="314">
        <v>316.89999999999998</v>
      </c>
      <c r="N316" s="1317">
        <v>2683.1000899999999</v>
      </c>
      <c r="O316" s="1085">
        <v>3580</v>
      </c>
      <c r="P316" s="859">
        <v>0</v>
      </c>
      <c r="Q316" s="1537">
        <f t="shared" si="12"/>
        <v>3580</v>
      </c>
      <c r="R316" s="315">
        <v>0</v>
      </c>
      <c r="S316" s="1011">
        <v>0</v>
      </c>
      <c r="T316" s="1010">
        <v>0</v>
      </c>
      <c r="U316" s="314">
        <v>0</v>
      </c>
      <c r="V316" s="329">
        <v>0</v>
      </c>
      <c r="W316" s="1012">
        <v>0</v>
      </c>
      <c r="X316" s="752">
        <v>0</v>
      </c>
      <c r="Y316" s="752">
        <v>0</v>
      </c>
      <c r="Z316" s="752">
        <v>0</v>
      </c>
      <c r="AA316" s="328">
        <v>0</v>
      </c>
      <c r="AB316" s="35" t="s">
        <v>84</v>
      </c>
      <c r="AC316" s="313" t="s">
        <v>13</v>
      </c>
      <c r="AD316" s="1401" t="s">
        <v>191</v>
      </c>
      <c r="AE316" s="1402" t="s">
        <v>92</v>
      </c>
      <c r="AF316" s="406" t="s">
        <v>101</v>
      </c>
      <c r="AG316" s="34" t="s">
        <v>209</v>
      </c>
      <c r="AH316" s="34" t="s">
        <v>975</v>
      </c>
    </row>
    <row r="317" spans="1:34" ht="25.5" outlineLevel="1" x14ac:dyDescent="0.25">
      <c r="A317" s="1008" t="s">
        <v>710</v>
      </c>
      <c r="B317" s="1009" t="s">
        <v>958</v>
      </c>
      <c r="C317" s="1316" t="s">
        <v>711</v>
      </c>
      <c r="D317" s="95" t="s">
        <v>1617</v>
      </c>
      <c r="E317" s="34" t="s">
        <v>338</v>
      </c>
      <c r="F317" s="34" t="s">
        <v>338</v>
      </c>
      <c r="G317" s="138">
        <v>5950</v>
      </c>
      <c r="H317" s="183">
        <v>300</v>
      </c>
      <c r="I317" s="1643">
        <v>0</v>
      </c>
      <c r="J317" s="1644">
        <v>63</v>
      </c>
      <c r="K317" s="1645">
        <v>0</v>
      </c>
      <c r="L317" s="1010">
        <v>0</v>
      </c>
      <c r="M317" s="314">
        <v>63</v>
      </c>
      <c r="N317" s="1317">
        <v>5587</v>
      </c>
      <c r="O317" s="1085">
        <v>5650</v>
      </c>
      <c r="P317" s="859">
        <v>0</v>
      </c>
      <c r="Q317" s="1537">
        <f t="shared" si="12"/>
        <v>5650</v>
      </c>
      <c r="R317" s="315">
        <v>0</v>
      </c>
      <c r="S317" s="1011">
        <v>0</v>
      </c>
      <c r="T317" s="1010">
        <v>0</v>
      </c>
      <c r="U317" s="314">
        <v>0</v>
      </c>
      <c r="V317" s="329">
        <v>0</v>
      </c>
      <c r="W317" s="1012">
        <v>0</v>
      </c>
      <c r="X317" s="752">
        <v>0</v>
      </c>
      <c r="Y317" s="752">
        <v>0</v>
      </c>
      <c r="Z317" s="752">
        <v>0</v>
      </c>
      <c r="AA317" s="328">
        <v>0</v>
      </c>
      <c r="AB317" s="35" t="s">
        <v>84</v>
      </c>
      <c r="AC317" s="313" t="s">
        <v>13</v>
      </c>
      <c r="AD317" s="1401" t="s">
        <v>190</v>
      </c>
      <c r="AE317" s="1402" t="s">
        <v>92</v>
      </c>
      <c r="AF317" s="406" t="s">
        <v>101</v>
      </c>
      <c r="AG317" s="34" t="s">
        <v>209</v>
      </c>
      <c r="AH317" s="34" t="s">
        <v>975</v>
      </c>
    </row>
    <row r="318" spans="1:34" ht="31.5" outlineLevel="1" x14ac:dyDescent="0.25">
      <c r="A318" s="2496" t="s">
        <v>712</v>
      </c>
      <c r="B318" s="2497" t="s">
        <v>87</v>
      </c>
      <c r="C318" s="2498" t="s">
        <v>713</v>
      </c>
      <c r="D318" s="220" t="s">
        <v>1617</v>
      </c>
      <c r="E318" s="2499" t="s">
        <v>130</v>
      </c>
      <c r="F318" s="2499" t="s">
        <v>130</v>
      </c>
      <c r="G318" s="2500">
        <v>28000</v>
      </c>
      <c r="H318" s="2501">
        <v>0</v>
      </c>
      <c r="I318" s="2502">
        <v>0</v>
      </c>
      <c r="J318" s="2503">
        <v>0</v>
      </c>
      <c r="K318" s="2504">
        <v>0</v>
      </c>
      <c r="L318" s="2505">
        <v>0</v>
      </c>
      <c r="M318" s="2506">
        <v>0</v>
      </c>
      <c r="N318" s="2507">
        <v>800</v>
      </c>
      <c r="O318" s="2414">
        <v>3000</v>
      </c>
      <c r="P318" s="2508">
        <v>-2200</v>
      </c>
      <c r="Q318" s="2508">
        <f t="shared" si="12"/>
        <v>800</v>
      </c>
      <c r="R318" s="2509">
        <v>27200</v>
      </c>
      <c r="S318" s="2510">
        <v>0</v>
      </c>
      <c r="T318" s="2505">
        <v>0</v>
      </c>
      <c r="U318" s="2506">
        <v>0</v>
      </c>
      <c r="V318" s="2511">
        <v>0</v>
      </c>
      <c r="W318" s="2417">
        <v>0</v>
      </c>
      <c r="X318" s="1897">
        <v>0</v>
      </c>
      <c r="Y318" s="1897">
        <v>0</v>
      </c>
      <c r="Z318" s="1897">
        <v>0</v>
      </c>
      <c r="AA318" s="2416">
        <v>0</v>
      </c>
      <c r="AB318" s="386" t="s">
        <v>2000</v>
      </c>
      <c r="AC318" s="572" t="s">
        <v>11</v>
      </c>
      <c r="AD318" s="2512" t="s">
        <v>707</v>
      </c>
      <c r="AE318" s="2513" t="s">
        <v>91</v>
      </c>
      <c r="AF318" s="1156" t="s">
        <v>102</v>
      </c>
      <c r="AG318" s="2499" t="s">
        <v>219</v>
      </c>
      <c r="AH318" s="2499" t="s">
        <v>975</v>
      </c>
    </row>
    <row r="319" spans="1:34" ht="26.25" outlineLevel="1" thickBot="1" x14ac:dyDescent="0.3">
      <c r="A319" s="2514" t="s">
        <v>714</v>
      </c>
      <c r="B319" s="2515" t="s">
        <v>87</v>
      </c>
      <c r="C319" s="2516" t="s">
        <v>715</v>
      </c>
      <c r="D319" s="258" t="s">
        <v>1617</v>
      </c>
      <c r="E319" s="1755" t="s">
        <v>7</v>
      </c>
      <c r="F319" s="1755" t="s">
        <v>130</v>
      </c>
      <c r="G319" s="358">
        <v>55000</v>
      </c>
      <c r="H319" s="426">
        <v>0</v>
      </c>
      <c r="I319" s="2517">
        <v>0</v>
      </c>
      <c r="J319" s="2518">
        <v>0</v>
      </c>
      <c r="K319" s="2519">
        <v>0</v>
      </c>
      <c r="L319" s="2520">
        <v>0</v>
      </c>
      <c r="M319" s="361">
        <v>0</v>
      </c>
      <c r="N319" s="2521">
        <v>0</v>
      </c>
      <c r="O319" s="2376">
        <v>15680</v>
      </c>
      <c r="P319" s="2522">
        <v>-15680</v>
      </c>
      <c r="Q319" s="2522">
        <f t="shared" si="12"/>
        <v>0</v>
      </c>
      <c r="R319" s="288">
        <v>15680</v>
      </c>
      <c r="S319" s="260">
        <v>39320</v>
      </c>
      <c r="T319" s="2520">
        <v>0</v>
      </c>
      <c r="U319" s="361">
        <v>0</v>
      </c>
      <c r="V319" s="360">
        <v>0</v>
      </c>
      <c r="W319" s="2380">
        <v>0</v>
      </c>
      <c r="X319" s="2381">
        <v>0</v>
      </c>
      <c r="Y319" s="2381">
        <v>0</v>
      </c>
      <c r="Z319" s="2381">
        <v>0</v>
      </c>
      <c r="AA319" s="2382">
        <v>0</v>
      </c>
      <c r="AB319" s="258" t="s">
        <v>2001</v>
      </c>
      <c r="AC319" s="425" t="s">
        <v>32</v>
      </c>
      <c r="AD319" s="2523" t="s">
        <v>524</v>
      </c>
      <c r="AE319" s="2524" t="s">
        <v>91</v>
      </c>
      <c r="AF319" s="373" t="s">
        <v>102</v>
      </c>
      <c r="AG319" s="1755" t="s">
        <v>203</v>
      </c>
      <c r="AH319" s="1755" t="s">
        <v>975</v>
      </c>
    </row>
    <row r="320" spans="1:34" ht="25.5" outlineLevel="1" x14ac:dyDescent="0.25">
      <c r="A320" s="2525" t="s">
        <v>781</v>
      </c>
      <c r="B320" s="2526" t="s">
        <v>1164</v>
      </c>
      <c r="C320" s="2527" t="s">
        <v>782</v>
      </c>
      <c r="D320" s="219" t="s">
        <v>1594</v>
      </c>
      <c r="E320" s="766" t="s">
        <v>35</v>
      </c>
      <c r="F320" s="766" t="s">
        <v>35</v>
      </c>
      <c r="G320" s="2528">
        <v>10317.49</v>
      </c>
      <c r="H320" s="2529">
        <v>0</v>
      </c>
      <c r="I320" s="2530">
        <v>290.39999999999998</v>
      </c>
      <c r="J320" s="2531">
        <v>0</v>
      </c>
      <c r="K320" s="2532">
        <v>0</v>
      </c>
      <c r="L320" s="2533">
        <v>290.39999999999998</v>
      </c>
      <c r="M320" s="601">
        <v>0</v>
      </c>
      <c r="N320" s="2534">
        <v>7027.09</v>
      </c>
      <c r="O320" s="2535">
        <v>10317.490000000002</v>
      </c>
      <c r="P320" s="2536">
        <v>-3000</v>
      </c>
      <c r="Q320" s="2536">
        <f t="shared" si="12"/>
        <v>7317.4900000000016</v>
      </c>
      <c r="R320" s="466">
        <v>3000</v>
      </c>
      <c r="S320" s="552">
        <v>0</v>
      </c>
      <c r="T320" s="2533">
        <v>0</v>
      </c>
      <c r="U320" s="601">
        <v>0</v>
      </c>
      <c r="V320" s="477">
        <v>0</v>
      </c>
      <c r="W320" s="2537">
        <v>0</v>
      </c>
      <c r="X320" s="1816">
        <v>0</v>
      </c>
      <c r="Y320" s="1816">
        <v>0</v>
      </c>
      <c r="Z320" s="1816">
        <v>0</v>
      </c>
      <c r="AA320" s="2538">
        <v>0</v>
      </c>
      <c r="AB320" s="323" t="s">
        <v>2002</v>
      </c>
      <c r="AC320" s="2539" t="s">
        <v>13</v>
      </c>
      <c r="AD320" s="2540" t="s">
        <v>561</v>
      </c>
      <c r="AE320" s="2541" t="s">
        <v>92</v>
      </c>
      <c r="AF320" s="682" t="s">
        <v>101</v>
      </c>
      <c r="AG320" s="766" t="s">
        <v>203</v>
      </c>
      <c r="AH320" s="766"/>
    </row>
    <row r="321" spans="1:34" ht="25.5" outlineLevel="1" x14ac:dyDescent="0.25">
      <c r="A321" s="2496" t="s">
        <v>783</v>
      </c>
      <c r="B321" s="2497" t="s">
        <v>87</v>
      </c>
      <c r="C321" s="2498" t="s">
        <v>784</v>
      </c>
      <c r="D321" s="220" t="s">
        <v>1594</v>
      </c>
      <c r="E321" s="2499" t="s">
        <v>43</v>
      </c>
      <c r="F321" s="2499" t="s">
        <v>43</v>
      </c>
      <c r="G321" s="2500">
        <v>26950</v>
      </c>
      <c r="H321" s="2501">
        <v>0</v>
      </c>
      <c r="I321" s="2502">
        <v>0</v>
      </c>
      <c r="J321" s="2503">
        <v>0</v>
      </c>
      <c r="K321" s="2504">
        <v>0</v>
      </c>
      <c r="L321" s="2505">
        <v>0</v>
      </c>
      <c r="M321" s="2506">
        <v>0</v>
      </c>
      <c r="N321" s="2507">
        <v>8000</v>
      </c>
      <c r="O321" s="2414">
        <v>16050</v>
      </c>
      <c r="P321" s="2508">
        <v>-8050</v>
      </c>
      <c r="Q321" s="2508">
        <f t="shared" si="12"/>
        <v>8000</v>
      </c>
      <c r="R321" s="2509">
        <v>18950</v>
      </c>
      <c r="S321" s="2510">
        <v>0</v>
      </c>
      <c r="T321" s="2505">
        <v>0</v>
      </c>
      <c r="U321" s="2506">
        <v>0</v>
      </c>
      <c r="V321" s="2511">
        <v>0</v>
      </c>
      <c r="W321" s="2417">
        <v>0</v>
      </c>
      <c r="X321" s="1897">
        <v>0</v>
      </c>
      <c r="Y321" s="1897">
        <v>0</v>
      </c>
      <c r="Z321" s="1897">
        <v>0</v>
      </c>
      <c r="AA321" s="2416">
        <v>0</v>
      </c>
      <c r="AB321" s="386" t="s">
        <v>2041</v>
      </c>
      <c r="AC321" s="572" t="s">
        <v>13</v>
      </c>
      <c r="AD321" s="2512" t="s">
        <v>524</v>
      </c>
      <c r="AE321" s="2513" t="s">
        <v>92</v>
      </c>
      <c r="AF321" s="1156" t="s">
        <v>101</v>
      </c>
      <c r="AG321" s="2499" t="s">
        <v>218</v>
      </c>
      <c r="AH321" s="1686" t="s">
        <v>975</v>
      </c>
    </row>
    <row r="322" spans="1:34" ht="31.5" outlineLevel="1" x14ac:dyDescent="0.25">
      <c r="A322" s="1008" t="s">
        <v>785</v>
      </c>
      <c r="B322" s="1009" t="s">
        <v>719</v>
      </c>
      <c r="C322" s="1316" t="s">
        <v>786</v>
      </c>
      <c r="D322" s="95" t="s">
        <v>1594</v>
      </c>
      <c r="E322" s="34" t="s">
        <v>39</v>
      </c>
      <c r="F322" s="34" t="s">
        <v>39</v>
      </c>
      <c r="G322" s="138">
        <v>38741.19</v>
      </c>
      <c r="H322" s="183">
        <v>0</v>
      </c>
      <c r="I322" s="1643">
        <v>0</v>
      </c>
      <c r="J322" s="1644">
        <v>0</v>
      </c>
      <c r="K322" s="1645">
        <v>96.800000000000011</v>
      </c>
      <c r="L322" s="408">
        <v>0</v>
      </c>
      <c r="M322" s="1638">
        <v>0</v>
      </c>
      <c r="N322" s="1317">
        <v>446.8</v>
      </c>
      <c r="O322" s="1085">
        <v>446.80000000000018</v>
      </c>
      <c r="P322" s="859">
        <v>0</v>
      </c>
      <c r="Q322" s="1537">
        <f t="shared" si="12"/>
        <v>446.80000000000018</v>
      </c>
      <c r="R322" s="315">
        <f>35741.19+2553.2</f>
        <v>38294.39</v>
      </c>
      <c r="S322" s="1011">
        <v>0</v>
      </c>
      <c r="T322" s="1010">
        <v>0</v>
      </c>
      <c r="U322" s="314">
        <v>0</v>
      </c>
      <c r="V322" s="329">
        <v>0</v>
      </c>
      <c r="W322" s="1012">
        <v>0</v>
      </c>
      <c r="X322" s="752">
        <v>0</v>
      </c>
      <c r="Y322" s="752">
        <v>0</v>
      </c>
      <c r="Z322" s="752">
        <v>0</v>
      </c>
      <c r="AA322" s="328">
        <v>0</v>
      </c>
      <c r="AB322" s="35" t="s">
        <v>84</v>
      </c>
      <c r="AC322" s="313" t="s">
        <v>11</v>
      </c>
      <c r="AD322" s="1401" t="s">
        <v>1067</v>
      </c>
      <c r="AE322" s="1402" t="s">
        <v>91</v>
      </c>
      <c r="AF322" s="406" t="s">
        <v>102</v>
      </c>
      <c r="AG322" s="34" t="s">
        <v>204</v>
      </c>
      <c r="AH322" s="482" t="s">
        <v>975</v>
      </c>
    </row>
    <row r="323" spans="1:34" ht="25.5" outlineLevel="1" x14ac:dyDescent="0.25">
      <c r="A323" s="1013" t="s">
        <v>787</v>
      </c>
      <c r="B323" s="1014" t="s">
        <v>87</v>
      </c>
      <c r="C323" s="1186" t="s">
        <v>788</v>
      </c>
      <c r="D323" s="27" t="s">
        <v>1594</v>
      </c>
      <c r="E323" s="928" t="s">
        <v>241</v>
      </c>
      <c r="F323" s="928" t="s">
        <v>241</v>
      </c>
      <c r="G323" s="1015">
        <v>0</v>
      </c>
      <c r="H323" s="1064">
        <v>0</v>
      </c>
      <c r="I323" s="1028">
        <v>0</v>
      </c>
      <c r="J323" s="1029">
        <v>0</v>
      </c>
      <c r="K323" s="1218">
        <v>0</v>
      </c>
      <c r="L323" s="1018">
        <v>0</v>
      </c>
      <c r="M323" s="1019">
        <v>0</v>
      </c>
      <c r="N323" s="1020">
        <v>0</v>
      </c>
      <c r="O323" s="1021">
        <v>1200</v>
      </c>
      <c r="P323" s="1022">
        <v>-1200</v>
      </c>
      <c r="Q323" s="1187">
        <f t="shared" si="12"/>
        <v>0</v>
      </c>
      <c r="R323" s="1023">
        <v>0</v>
      </c>
      <c r="S323" s="1024">
        <v>0</v>
      </c>
      <c r="T323" s="1018">
        <v>0</v>
      </c>
      <c r="U323" s="1019">
        <v>0</v>
      </c>
      <c r="V323" s="1025">
        <v>0</v>
      </c>
      <c r="W323" s="902">
        <v>0</v>
      </c>
      <c r="X323" s="595">
        <v>0</v>
      </c>
      <c r="Y323" s="595">
        <v>0</v>
      </c>
      <c r="Z323" s="595">
        <v>0</v>
      </c>
      <c r="AA323" s="904">
        <v>0</v>
      </c>
      <c r="AB323" s="694" t="s">
        <v>2003</v>
      </c>
      <c r="AC323" s="907" t="s">
        <v>93</v>
      </c>
      <c r="AD323" s="1026" t="s">
        <v>315</v>
      </c>
      <c r="AE323" s="908" t="s">
        <v>91</v>
      </c>
      <c r="AF323" s="1027" t="s">
        <v>100</v>
      </c>
      <c r="AG323" s="928" t="s">
        <v>796</v>
      </c>
      <c r="AH323" s="928"/>
    </row>
    <row r="324" spans="1:34" ht="25.5" outlineLevel="1" x14ac:dyDescent="0.25">
      <c r="A324" s="1008" t="s">
        <v>789</v>
      </c>
      <c r="B324" s="1009" t="s">
        <v>963</v>
      </c>
      <c r="C324" s="1316" t="s">
        <v>790</v>
      </c>
      <c r="D324" s="93" t="s">
        <v>1594</v>
      </c>
      <c r="E324" s="34" t="s">
        <v>338</v>
      </c>
      <c r="F324" s="34" t="s">
        <v>338</v>
      </c>
      <c r="G324" s="138">
        <v>4338.6090000000004</v>
      </c>
      <c r="H324" s="183">
        <v>50</v>
      </c>
      <c r="I324" s="1643">
        <v>0</v>
      </c>
      <c r="J324" s="1644">
        <v>299.47500000000002</v>
      </c>
      <c r="K324" s="1645">
        <v>102</v>
      </c>
      <c r="L324" s="1010">
        <v>0</v>
      </c>
      <c r="M324" s="314">
        <v>299.47500000000002</v>
      </c>
      <c r="N324" s="1317">
        <f>4288.609-299.475</f>
        <v>3989.1340000000005</v>
      </c>
      <c r="O324" s="1085">
        <v>4288.6090000000004</v>
      </c>
      <c r="P324" s="859">
        <v>0</v>
      </c>
      <c r="Q324" s="1537">
        <f t="shared" si="12"/>
        <v>4288.6090000000004</v>
      </c>
      <c r="R324" s="315">
        <v>0</v>
      </c>
      <c r="S324" s="1011">
        <v>0</v>
      </c>
      <c r="T324" s="1010">
        <v>0</v>
      </c>
      <c r="U324" s="314">
        <v>0</v>
      </c>
      <c r="V324" s="329">
        <v>0</v>
      </c>
      <c r="W324" s="1012">
        <v>0</v>
      </c>
      <c r="X324" s="752">
        <v>0</v>
      </c>
      <c r="Y324" s="752">
        <v>0</v>
      </c>
      <c r="Z324" s="752">
        <v>0</v>
      </c>
      <c r="AA324" s="328">
        <v>0</v>
      </c>
      <c r="AB324" s="35" t="s">
        <v>84</v>
      </c>
      <c r="AC324" s="313" t="s">
        <v>13</v>
      </c>
      <c r="AD324" s="1401" t="s">
        <v>190</v>
      </c>
      <c r="AE324" s="1402" t="s">
        <v>92</v>
      </c>
      <c r="AF324" s="406" t="s">
        <v>101</v>
      </c>
      <c r="AG324" s="34" t="s">
        <v>209</v>
      </c>
      <c r="AH324" s="34" t="s">
        <v>975</v>
      </c>
    </row>
    <row r="325" spans="1:34" ht="31.5" outlineLevel="1" x14ac:dyDescent="0.25">
      <c r="A325" s="2496" t="s">
        <v>791</v>
      </c>
      <c r="B325" s="2497" t="s">
        <v>964</v>
      </c>
      <c r="C325" s="2542" t="s">
        <v>792</v>
      </c>
      <c r="D325" s="220" t="s">
        <v>1594</v>
      </c>
      <c r="E325" s="1686" t="s">
        <v>338</v>
      </c>
      <c r="F325" s="1686" t="s">
        <v>338</v>
      </c>
      <c r="G325" s="351">
        <v>2943.7959999999998</v>
      </c>
      <c r="H325" s="424">
        <v>50</v>
      </c>
      <c r="I325" s="2543">
        <v>0</v>
      </c>
      <c r="J325" s="2544">
        <v>297.90199999999999</v>
      </c>
      <c r="K325" s="2545">
        <v>0</v>
      </c>
      <c r="L325" s="1901">
        <v>0</v>
      </c>
      <c r="M325" s="352">
        <v>297.90199999999999</v>
      </c>
      <c r="N325" s="1900">
        <v>2595.8939999999998</v>
      </c>
      <c r="O325" s="357">
        <v>297.90199999999999</v>
      </c>
      <c r="P325" s="2546">
        <v>2595.8939999999998</v>
      </c>
      <c r="Q325" s="2546">
        <f t="shared" si="12"/>
        <v>2893.7959999999998</v>
      </c>
      <c r="R325" s="270">
        <v>0</v>
      </c>
      <c r="S325" s="256">
        <v>0</v>
      </c>
      <c r="T325" s="1901">
        <v>0</v>
      </c>
      <c r="U325" s="352">
        <v>0</v>
      </c>
      <c r="V325" s="269">
        <v>0</v>
      </c>
      <c r="W325" s="1902">
        <v>0</v>
      </c>
      <c r="X325" s="1897">
        <v>0</v>
      </c>
      <c r="Y325" s="1897">
        <v>0</v>
      </c>
      <c r="Z325" s="1897">
        <v>0</v>
      </c>
      <c r="AA325" s="356">
        <v>0</v>
      </c>
      <c r="AB325" s="220" t="s">
        <v>2004</v>
      </c>
      <c r="AC325" s="268" t="s">
        <v>13</v>
      </c>
      <c r="AD325" s="2547" t="s">
        <v>190</v>
      </c>
      <c r="AE325" s="1697" t="s">
        <v>92</v>
      </c>
      <c r="AF325" s="252" t="s">
        <v>101</v>
      </c>
      <c r="AG325" s="1686" t="s">
        <v>209</v>
      </c>
      <c r="AH325" s="1686" t="s">
        <v>975</v>
      </c>
    </row>
    <row r="326" spans="1:34" ht="47.25" outlineLevel="1" x14ac:dyDescent="0.25">
      <c r="A326" s="2496" t="s">
        <v>793</v>
      </c>
      <c r="B326" s="2497" t="s">
        <v>957</v>
      </c>
      <c r="C326" s="2527" t="s">
        <v>1541</v>
      </c>
      <c r="D326" s="219" t="s">
        <v>1594</v>
      </c>
      <c r="E326" s="766" t="s">
        <v>338</v>
      </c>
      <c r="F326" s="766" t="s">
        <v>338</v>
      </c>
      <c r="G326" s="2528">
        <v>42908</v>
      </c>
      <c r="H326" s="2529">
        <v>1089</v>
      </c>
      <c r="I326" s="2530">
        <v>0</v>
      </c>
      <c r="J326" s="2531">
        <v>260.69</v>
      </c>
      <c r="K326" s="2532">
        <v>0</v>
      </c>
      <c r="L326" s="2533">
        <v>0</v>
      </c>
      <c r="M326" s="601">
        <v>260.69</v>
      </c>
      <c r="N326" s="2534">
        <v>4000</v>
      </c>
      <c r="O326" s="357">
        <v>18900</v>
      </c>
      <c r="P326" s="2546">
        <v>-14639.31</v>
      </c>
      <c r="Q326" s="2546">
        <f t="shared" si="12"/>
        <v>4260.6900000000005</v>
      </c>
      <c r="R326" s="270">
        <f>22919+14639.31</f>
        <v>37558.31</v>
      </c>
      <c r="S326" s="256">
        <v>0</v>
      </c>
      <c r="T326" s="1901">
        <v>0</v>
      </c>
      <c r="U326" s="352">
        <v>0</v>
      </c>
      <c r="V326" s="269">
        <v>0</v>
      </c>
      <c r="W326" s="1902">
        <v>0</v>
      </c>
      <c r="X326" s="1897">
        <v>0</v>
      </c>
      <c r="Y326" s="1897">
        <v>0</v>
      </c>
      <c r="Z326" s="1897">
        <v>0</v>
      </c>
      <c r="AA326" s="356">
        <v>0</v>
      </c>
      <c r="AB326" s="220" t="s">
        <v>2005</v>
      </c>
      <c r="AC326" s="268" t="s">
        <v>13</v>
      </c>
      <c r="AD326" s="2547" t="s">
        <v>524</v>
      </c>
      <c r="AE326" s="1697" t="s">
        <v>92</v>
      </c>
      <c r="AF326" s="252" t="s">
        <v>101</v>
      </c>
      <c r="AG326" s="1686" t="s">
        <v>209</v>
      </c>
      <c r="AH326" s="1686"/>
    </row>
    <row r="327" spans="1:34" ht="26.25" outlineLevel="1" thickBot="1" x14ac:dyDescent="0.3">
      <c r="A327" s="199" t="s">
        <v>794</v>
      </c>
      <c r="B327" s="1179" t="s">
        <v>968</v>
      </c>
      <c r="C327" s="1180" t="s">
        <v>795</v>
      </c>
      <c r="D327" s="73" t="s">
        <v>1594</v>
      </c>
      <c r="E327" s="160" t="s">
        <v>42</v>
      </c>
      <c r="F327" s="160" t="s">
        <v>42</v>
      </c>
      <c r="G327" s="200">
        <v>200</v>
      </c>
      <c r="H327" s="1065">
        <v>105.0885</v>
      </c>
      <c r="I327" s="891">
        <v>94.911500000000004</v>
      </c>
      <c r="J327" s="892">
        <v>0</v>
      </c>
      <c r="K327" s="1216">
        <v>0</v>
      </c>
      <c r="L327" s="295">
        <v>94.911500000000004</v>
      </c>
      <c r="M327" s="242">
        <v>0</v>
      </c>
      <c r="N327" s="1181">
        <v>0</v>
      </c>
      <c r="O327" s="1182">
        <v>94.911500000000004</v>
      </c>
      <c r="P327" s="1183">
        <v>0</v>
      </c>
      <c r="Q327" s="1197">
        <f t="shared" si="12"/>
        <v>94.911500000000004</v>
      </c>
      <c r="R327" s="693">
        <v>0</v>
      </c>
      <c r="S327" s="923">
        <v>0</v>
      </c>
      <c r="T327" s="295">
        <v>0</v>
      </c>
      <c r="U327" s="242">
        <v>0</v>
      </c>
      <c r="V327" s="234">
        <v>0</v>
      </c>
      <c r="W327" s="562">
        <v>0</v>
      </c>
      <c r="X327" s="634">
        <v>0</v>
      </c>
      <c r="Y327" s="634">
        <v>0</v>
      </c>
      <c r="Z327" s="634">
        <v>0</v>
      </c>
      <c r="AA327" s="460">
        <v>0</v>
      </c>
      <c r="AB327" s="151" t="s">
        <v>84</v>
      </c>
      <c r="AC327" s="986" t="s">
        <v>95</v>
      </c>
      <c r="AD327" s="987" t="s">
        <v>640</v>
      </c>
      <c r="AE327" s="988" t="s">
        <v>92</v>
      </c>
      <c r="AF327" s="153" t="s">
        <v>101</v>
      </c>
      <c r="AG327" s="191" t="s">
        <v>204</v>
      </c>
      <c r="AH327" s="191"/>
    </row>
    <row r="328" spans="1:34" ht="31.5" outlineLevel="1" x14ac:dyDescent="0.25">
      <c r="A328" s="1118" t="s">
        <v>857</v>
      </c>
      <c r="B328" s="1342" t="s">
        <v>87</v>
      </c>
      <c r="C328" s="1315" t="s">
        <v>858</v>
      </c>
      <c r="D328" s="95" t="s">
        <v>1593</v>
      </c>
      <c r="E328" s="482" t="s">
        <v>120</v>
      </c>
      <c r="F328" s="482" t="s">
        <v>120</v>
      </c>
      <c r="G328" s="114">
        <v>550</v>
      </c>
      <c r="H328" s="546">
        <v>0</v>
      </c>
      <c r="I328" s="1640">
        <v>0</v>
      </c>
      <c r="J328" s="1641">
        <v>0</v>
      </c>
      <c r="K328" s="1642">
        <v>0</v>
      </c>
      <c r="L328" s="765">
        <v>0</v>
      </c>
      <c r="M328" s="236">
        <v>0</v>
      </c>
      <c r="N328" s="188">
        <v>550</v>
      </c>
      <c r="O328" s="1146">
        <v>550</v>
      </c>
      <c r="P328" s="1084">
        <v>0</v>
      </c>
      <c r="Q328" s="1536">
        <f t="shared" si="12"/>
        <v>550</v>
      </c>
      <c r="R328" s="71">
        <v>0</v>
      </c>
      <c r="S328" s="83">
        <v>0</v>
      </c>
      <c r="T328" s="765">
        <v>0</v>
      </c>
      <c r="U328" s="236">
        <v>0</v>
      </c>
      <c r="V328" s="149">
        <v>0</v>
      </c>
      <c r="W328" s="521">
        <v>0</v>
      </c>
      <c r="X328" s="893">
        <v>0</v>
      </c>
      <c r="Y328" s="893">
        <v>0</v>
      </c>
      <c r="Z328" s="893">
        <v>0</v>
      </c>
      <c r="AA328" s="757">
        <v>0</v>
      </c>
      <c r="AB328" s="479" t="s">
        <v>84</v>
      </c>
      <c r="AC328" s="590" t="s">
        <v>11</v>
      </c>
      <c r="AD328" s="46" t="s">
        <v>321</v>
      </c>
      <c r="AE328" s="1409" t="s">
        <v>91</v>
      </c>
      <c r="AF328" s="172" t="s">
        <v>101</v>
      </c>
      <c r="AG328" s="482" t="s">
        <v>217</v>
      </c>
      <c r="AH328" s="482"/>
    </row>
    <row r="329" spans="1:34" ht="25.5" outlineLevel="1" x14ac:dyDescent="0.25">
      <c r="A329" s="1008" t="s">
        <v>859</v>
      </c>
      <c r="B329" s="1119" t="s">
        <v>87</v>
      </c>
      <c r="C329" s="1316" t="s">
        <v>860</v>
      </c>
      <c r="D329" s="95" t="s">
        <v>1593</v>
      </c>
      <c r="E329" s="34" t="s">
        <v>120</v>
      </c>
      <c r="F329" s="34" t="s">
        <v>120</v>
      </c>
      <c r="G329" s="138">
        <v>150</v>
      </c>
      <c r="H329" s="183">
        <v>0</v>
      </c>
      <c r="I329" s="1643">
        <v>0</v>
      </c>
      <c r="J329" s="1644">
        <v>0</v>
      </c>
      <c r="K329" s="1645">
        <v>0</v>
      </c>
      <c r="L329" s="1010">
        <v>0</v>
      </c>
      <c r="M329" s="314">
        <v>0</v>
      </c>
      <c r="N329" s="1317">
        <v>150</v>
      </c>
      <c r="O329" s="1085">
        <v>150</v>
      </c>
      <c r="P329" s="859">
        <v>0</v>
      </c>
      <c r="Q329" s="1537">
        <f t="shared" si="12"/>
        <v>150</v>
      </c>
      <c r="R329" s="315">
        <v>0</v>
      </c>
      <c r="S329" s="1011">
        <v>0</v>
      </c>
      <c r="T329" s="1010">
        <v>0</v>
      </c>
      <c r="U329" s="314">
        <v>0</v>
      </c>
      <c r="V329" s="329">
        <v>0</v>
      </c>
      <c r="W329" s="1012">
        <v>0</v>
      </c>
      <c r="X329" s="893">
        <v>0</v>
      </c>
      <c r="Y329" s="893">
        <v>0</v>
      </c>
      <c r="Z329" s="893">
        <v>0</v>
      </c>
      <c r="AA329" s="328">
        <v>0</v>
      </c>
      <c r="AB329" s="35" t="s">
        <v>84</v>
      </c>
      <c r="AC329" s="313" t="s">
        <v>13</v>
      </c>
      <c r="AD329" s="1401" t="s">
        <v>321</v>
      </c>
      <c r="AE329" s="1402" t="s">
        <v>92</v>
      </c>
      <c r="AF329" s="406" t="s">
        <v>101</v>
      </c>
      <c r="AG329" s="34" t="s">
        <v>217</v>
      </c>
      <c r="AH329" s="34"/>
    </row>
    <row r="330" spans="1:34" ht="25.5" outlineLevel="1" x14ac:dyDescent="0.25">
      <c r="A330" s="1008" t="s">
        <v>861</v>
      </c>
      <c r="B330" s="1009" t="s">
        <v>1336</v>
      </c>
      <c r="C330" s="1316" t="s">
        <v>862</v>
      </c>
      <c r="D330" s="95" t="s">
        <v>1593</v>
      </c>
      <c r="E330" s="34" t="s">
        <v>120</v>
      </c>
      <c r="F330" s="34" t="s">
        <v>120</v>
      </c>
      <c r="G330" s="138">
        <v>210</v>
      </c>
      <c r="H330" s="183">
        <v>0</v>
      </c>
      <c r="I330" s="1643">
        <v>0</v>
      </c>
      <c r="J330" s="1644">
        <v>157.26829000000001</v>
      </c>
      <c r="K330" s="1645">
        <v>0</v>
      </c>
      <c r="L330" s="1010">
        <v>0</v>
      </c>
      <c r="M330" s="314">
        <v>157.26829000000001</v>
      </c>
      <c r="N330" s="1317">
        <v>52.731709999999993</v>
      </c>
      <c r="O330" s="1085">
        <v>210</v>
      </c>
      <c r="P330" s="859">
        <v>0</v>
      </c>
      <c r="Q330" s="1537">
        <f t="shared" si="12"/>
        <v>210</v>
      </c>
      <c r="R330" s="315">
        <v>0</v>
      </c>
      <c r="S330" s="1011">
        <v>0</v>
      </c>
      <c r="T330" s="1010">
        <v>0</v>
      </c>
      <c r="U330" s="314">
        <v>0</v>
      </c>
      <c r="V330" s="329">
        <v>0</v>
      </c>
      <c r="W330" s="1012">
        <v>0</v>
      </c>
      <c r="X330" s="893">
        <v>0</v>
      </c>
      <c r="Y330" s="893">
        <v>0</v>
      </c>
      <c r="Z330" s="893">
        <v>0</v>
      </c>
      <c r="AA330" s="328">
        <v>0</v>
      </c>
      <c r="AB330" s="35" t="s">
        <v>84</v>
      </c>
      <c r="AC330" s="313" t="s">
        <v>13</v>
      </c>
      <c r="AD330" s="1401" t="s">
        <v>321</v>
      </c>
      <c r="AE330" s="1402" t="s">
        <v>92</v>
      </c>
      <c r="AF330" s="406" t="s">
        <v>101</v>
      </c>
      <c r="AG330" s="34" t="s">
        <v>217</v>
      </c>
      <c r="AH330" s="34"/>
    </row>
    <row r="331" spans="1:34" ht="25.5" outlineLevel="1" x14ac:dyDescent="0.25">
      <c r="A331" s="1008" t="s">
        <v>863</v>
      </c>
      <c r="B331" s="1009" t="s">
        <v>1542</v>
      </c>
      <c r="C331" s="1316" t="s">
        <v>864</v>
      </c>
      <c r="D331" s="95" t="s">
        <v>1593</v>
      </c>
      <c r="E331" s="34" t="s">
        <v>120</v>
      </c>
      <c r="F331" s="34" t="s">
        <v>120</v>
      </c>
      <c r="G331" s="138">
        <f>460+360</f>
        <v>820</v>
      </c>
      <c r="H331" s="183">
        <v>0</v>
      </c>
      <c r="I331" s="1643">
        <v>0</v>
      </c>
      <c r="J331" s="1644">
        <v>0</v>
      </c>
      <c r="K331" s="1645">
        <v>0</v>
      </c>
      <c r="L331" s="1010">
        <v>0</v>
      </c>
      <c r="M331" s="314">
        <f>820-820</f>
        <v>0</v>
      </c>
      <c r="N331" s="1317">
        <f>0+820</f>
        <v>820</v>
      </c>
      <c r="O331" s="1085">
        <v>820</v>
      </c>
      <c r="P331" s="859">
        <v>0</v>
      </c>
      <c r="Q331" s="1537">
        <f t="shared" si="12"/>
        <v>820</v>
      </c>
      <c r="R331" s="315"/>
      <c r="S331" s="1011">
        <v>0</v>
      </c>
      <c r="T331" s="1010">
        <v>0</v>
      </c>
      <c r="U331" s="314">
        <v>0</v>
      </c>
      <c r="V331" s="329">
        <v>0</v>
      </c>
      <c r="W331" s="1012">
        <v>0</v>
      </c>
      <c r="X331" s="893">
        <v>0</v>
      </c>
      <c r="Y331" s="893">
        <v>0</v>
      </c>
      <c r="Z331" s="893">
        <v>0</v>
      </c>
      <c r="AA331" s="328">
        <v>0</v>
      </c>
      <c r="AB331" s="35" t="s">
        <v>84</v>
      </c>
      <c r="AC331" s="313" t="s">
        <v>13</v>
      </c>
      <c r="AD331" s="1401" t="s">
        <v>321</v>
      </c>
      <c r="AE331" s="1402" t="s">
        <v>92</v>
      </c>
      <c r="AF331" s="406" t="s">
        <v>101</v>
      </c>
      <c r="AG331" s="34" t="s">
        <v>217</v>
      </c>
      <c r="AH331" s="34"/>
    </row>
    <row r="332" spans="1:34" ht="25.5" outlineLevel="1" x14ac:dyDescent="0.25">
      <c r="A332" s="1013" t="s">
        <v>865</v>
      </c>
      <c r="B332" s="1014" t="s">
        <v>1543</v>
      </c>
      <c r="C332" s="1186" t="s">
        <v>866</v>
      </c>
      <c r="D332" s="27" t="s">
        <v>1593</v>
      </c>
      <c r="E332" s="928" t="s">
        <v>120</v>
      </c>
      <c r="F332" s="928" t="s">
        <v>120</v>
      </c>
      <c r="G332" s="1015">
        <v>499.52699999999999</v>
      </c>
      <c r="H332" s="1064">
        <v>0</v>
      </c>
      <c r="I332" s="1028">
        <v>0</v>
      </c>
      <c r="J332" s="1029">
        <v>499.52699999999999</v>
      </c>
      <c r="K332" s="1218">
        <v>0</v>
      </c>
      <c r="L332" s="1018">
        <v>0</v>
      </c>
      <c r="M332" s="1019">
        <v>499.52699999999999</v>
      </c>
      <c r="N332" s="1020">
        <v>0</v>
      </c>
      <c r="O332" s="1021">
        <v>499.52699999999999</v>
      </c>
      <c r="P332" s="1022">
        <v>0</v>
      </c>
      <c r="Q332" s="1187">
        <f t="shared" si="12"/>
        <v>499.52699999999999</v>
      </c>
      <c r="R332" s="1023">
        <v>0</v>
      </c>
      <c r="S332" s="1024">
        <v>0</v>
      </c>
      <c r="T332" s="1018">
        <v>0</v>
      </c>
      <c r="U332" s="1019">
        <v>0</v>
      </c>
      <c r="V332" s="1025">
        <v>0</v>
      </c>
      <c r="W332" s="902">
        <v>0</v>
      </c>
      <c r="X332" s="596">
        <v>0</v>
      </c>
      <c r="Y332" s="596">
        <v>0</v>
      </c>
      <c r="Z332" s="596">
        <v>0</v>
      </c>
      <c r="AA332" s="904">
        <v>0</v>
      </c>
      <c r="AB332" s="694" t="s">
        <v>84</v>
      </c>
      <c r="AC332" s="907" t="s">
        <v>95</v>
      </c>
      <c r="AD332" s="1026" t="s">
        <v>321</v>
      </c>
      <c r="AE332" s="908" t="s">
        <v>91</v>
      </c>
      <c r="AF332" s="1027" t="s">
        <v>101</v>
      </c>
      <c r="AG332" s="928" t="s">
        <v>217</v>
      </c>
      <c r="AH332" s="928"/>
    </row>
    <row r="333" spans="1:34" ht="25.5" outlineLevel="1" x14ac:dyDescent="0.25">
      <c r="A333" s="1008" t="s">
        <v>867</v>
      </c>
      <c r="B333" s="1009" t="s">
        <v>87</v>
      </c>
      <c r="C333" s="1316" t="s">
        <v>868</v>
      </c>
      <c r="D333" s="95" t="s">
        <v>1593</v>
      </c>
      <c r="E333" s="34" t="s">
        <v>36</v>
      </c>
      <c r="F333" s="34" t="s">
        <v>36</v>
      </c>
      <c r="G333" s="138">
        <v>500</v>
      </c>
      <c r="H333" s="183">
        <v>0</v>
      </c>
      <c r="I333" s="1643">
        <v>0</v>
      </c>
      <c r="J333" s="1644">
        <v>0</v>
      </c>
      <c r="K333" s="1645">
        <v>0</v>
      </c>
      <c r="L333" s="1010">
        <v>0</v>
      </c>
      <c r="M333" s="314">
        <v>0</v>
      </c>
      <c r="N333" s="1317">
        <v>500</v>
      </c>
      <c r="O333" s="1085">
        <v>500</v>
      </c>
      <c r="P333" s="859">
        <v>0</v>
      </c>
      <c r="Q333" s="1537">
        <f t="shared" si="12"/>
        <v>500</v>
      </c>
      <c r="R333" s="315">
        <v>0</v>
      </c>
      <c r="S333" s="1011">
        <v>0</v>
      </c>
      <c r="T333" s="1010">
        <v>0</v>
      </c>
      <c r="U333" s="314">
        <v>0</v>
      </c>
      <c r="V333" s="329">
        <v>0</v>
      </c>
      <c r="W333" s="1012">
        <v>0</v>
      </c>
      <c r="X333" s="893">
        <v>0</v>
      </c>
      <c r="Y333" s="893">
        <v>0</v>
      </c>
      <c r="Z333" s="893">
        <v>0</v>
      </c>
      <c r="AA333" s="328">
        <v>0</v>
      </c>
      <c r="AB333" s="35" t="s">
        <v>84</v>
      </c>
      <c r="AC333" s="313" t="s">
        <v>9</v>
      </c>
      <c r="AD333" s="1401" t="s">
        <v>321</v>
      </c>
      <c r="AE333" s="1402" t="s">
        <v>91</v>
      </c>
      <c r="AF333" s="406" t="s">
        <v>101</v>
      </c>
      <c r="AG333" s="34" t="s">
        <v>209</v>
      </c>
      <c r="AH333" s="34"/>
    </row>
    <row r="334" spans="1:34" ht="25.5" outlineLevel="1" x14ac:dyDescent="0.25">
      <c r="A334" s="2496" t="s">
        <v>869</v>
      </c>
      <c r="B334" s="2497" t="s">
        <v>87</v>
      </c>
      <c r="C334" s="2498" t="s">
        <v>870</v>
      </c>
      <c r="D334" s="220" t="s">
        <v>1593</v>
      </c>
      <c r="E334" s="2499" t="s">
        <v>36</v>
      </c>
      <c r="F334" s="2499" t="s">
        <v>36</v>
      </c>
      <c r="G334" s="2500">
        <v>500</v>
      </c>
      <c r="H334" s="2501">
        <v>0</v>
      </c>
      <c r="I334" s="2502">
        <v>0</v>
      </c>
      <c r="J334" s="2503">
        <v>0</v>
      </c>
      <c r="K334" s="2504">
        <v>0</v>
      </c>
      <c r="L334" s="2505">
        <v>0</v>
      </c>
      <c r="M334" s="2506">
        <v>0</v>
      </c>
      <c r="N334" s="2507">
        <v>305</v>
      </c>
      <c r="O334" s="2414">
        <v>500</v>
      </c>
      <c r="P334" s="2508">
        <v>-195</v>
      </c>
      <c r="Q334" s="2508">
        <f t="shared" si="12"/>
        <v>305</v>
      </c>
      <c r="R334" s="2509">
        <v>195</v>
      </c>
      <c r="S334" s="2510">
        <v>0</v>
      </c>
      <c r="T334" s="2505">
        <v>0</v>
      </c>
      <c r="U334" s="2506">
        <v>0</v>
      </c>
      <c r="V334" s="2511">
        <v>0</v>
      </c>
      <c r="W334" s="2417">
        <v>0</v>
      </c>
      <c r="X334" s="1816">
        <v>0</v>
      </c>
      <c r="Y334" s="1816">
        <v>0</v>
      </c>
      <c r="Z334" s="1816">
        <v>0</v>
      </c>
      <c r="AA334" s="2416">
        <v>0</v>
      </c>
      <c r="AB334" s="386" t="s">
        <v>2006</v>
      </c>
      <c r="AC334" s="572" t="s">
        <v>9</v>
      </c>
      <c r="AD334" s="2512" t="s">
        <v>321</v>
      </c>
      <c r="AE334" s="2513" t="s">
        <v>91</v>
      </c>
      <c r="AF334" s="1156" t="s">
        <v>101</v>
      </c>
      <c r="AG334" s="2499" t="s">
        <v>209</v>
      </c>
      <c r="AH334" s="2499"/>
    </row>
    <row r="335" spans="1:34" ht="25.5" outlineLevel="1" x14ac:dyDescent="0.25">
      <c r="A335" s="1008" t="s">
        <v>871</v>
      </c>
      <c r="B335" s="1009" t="s">
        <v>1335</v>
      </c>
      <c r="C335" s="1316" t="s">
        <v>872</v>
      </c>
      <c r="D335" s="95" t="s">
        <v>1593</v>
      </c>
      <c r="E335" s="34" t="s">
        <v>36</v>
      </c>
      <c r="F335" s="34" t="s">
        <v>36</v>
      </c>
      <c r="G335" s="138">
        <v>700</v>
      </c>
      <c r="H335" s="183">
        <v>0</v>
      </c>
      <c r="I335" s="1643">
        <v>0</v>
      </c>
      <c r="J335" s="1644">
        <v>672.58199999999999</v>
      </c>
      <c r="K335" s="1645">
        <v>0</v>
      </c>
      <c r="L335" s="1010">
        <v>0</v>
      </c>
      <c r="M335" s="314">
        <v>672.58199999999999</v>
      </c>
      <c r="N335" s="1317">
        <v>27.418000000000006</v>
      </c>
      <c r="O335" s="1085">
        <v>700</v>
      </c>
      <c r="P335" s="859">
        <v>0</v>
      </c>
      <c r="Q335" s="1537">
        <f t="shared" si="12"/>
        <v>700</v>
      </c>
      <c r="R335" s="315">
        <v>0</v>
      </c>
      <c r="S335" s="1011">
        <v>0</v>
      </c>
      <c r="T335" s="1010">
        <v>0</v>
      </c>
      <c r="U335" s="314">
        <v>0</v>
      </c>
      <c r="V335" s="329">
        <v>0</v>
      </c>
      <c r="W335" s="1012">
        <v>0</v>
      </c>
      <c r="X335" s="893">
        <v>0</v>
      </c>
      <c r="Y335" s="893">
        <v>0</v>
      </c>
      <c r="Z335" s="893">
        <v>0</v>
      </c>
      <c r="AA335" s="328">
        <v>0</v>
      </c>
      <c r="AB335" s="35" t="s">
        <v>84</v>
      </c>
      <c r="AC335" s="313" t="s">
        <v>13</v>
      </c>
      <c r="AD335" s="1401" t="s">
        <v>321</v>
      </c>
      <c r="AE335" s="1402" t="s">
        <v>92</v>
      </c>
      <c r="AF335" s="406" t="s">
        <v>101</v>
      </c>
      <c r="AG335" s="34" t="s">
        <v>209</v>
      </c>
      <c r="AH335" s="34"/>
    </row>
    <row r="336" spans="1:34" ht="25.5" outlineLevel="1" x14ac:dyDescent="0.25">
      <c r="A336" s="1008" t="s">
        <v>873</v>
      </c>
      <c r="B336" s="1009" t="s">
        <v>1544</v>
      </c>
      <c r="C336" s="1316" t="s">
        <v>874</v>
      </c>
      <c r="D336" s="95" t="s">
        <v>1593</v>
      </c>
      <c r="E336" s="34" t="s">
        <v>36</v>
      </c>
      <c r="F336" s="34" t="s">
        <v>36</v>
      </c>
      <c r="G336" s="138">
        <v>1000</v>
      </c>
      <c r="H336" s="183">
        <v>0</v>
      </c>
      <c r="I336" s="1643">
        <v>0</v>
      </c>
      <c r="J336" s="1644">
        <v>590.37400000000002</v>
      </c>
      <c r="K336" s="1645">
        <v>395.05</v>
      </c>
      <c r="L336" s="1010">
        <v>0</v>
      </c>
      <c r="M336" s="314">
        <v>590.37400000000002</v>
      </c>
      <c r="N336" s="1317">
        <v>409.62599999999998</v>
      </c>
      <c r="O336" s="1085">
        <v>1000</v>
      </c>
      <c r="P336" s="859">
        <v>0</v>
      </c>
      <c r="Q336" s="1537">
        <f t="shared" si="12"/>
        <v>1000</v>
      </c>
      <c r="R336" s="315">
        <v>0</v>
      </c>
      <c r="S336" s="1011">
        <v>0</v>
      </c>
      <c r="T336" s="1010">
        <v>0</v>
      </c>
      <c r="U336" s="314">
        <v>0</v>
      </c>
      <c r="V336" s="329">
        <v>0</v>
      </c>
      <c r="W336" s="1012">
        <v>0</v>
      </c>
      <c r="X336" s="893">
        <v>0</v>
      </c>
      <c r="Y336" s="893">
        <v>0</v>
      </c>
      <c r="Z336" s="893">
        <v>0</v>
      </c>
      <c r="AA336" s="328">
        <v>0</v>
      </c>
      <c r="AB336" s="35" t="s">
        <v>84</v>
      </c>
      <c r="AC336" s="313" t="s">
        <v>13</v>
      </c>
      <c r="AD336" s="1401" t="s">
        <v>321</v>
      </c>
      <c r="AE336" s="1402" t="s">
        <v>92</v>
      </c>
      <c r="AF336" s="406" t="s">
        <v>101</v>
      </c>
      <c r="AG336" s="34" t="s">
        <v>209</v>
      </c>
      <c r="AH336" s="34"/>
    </row>
    <row r="337" spans="1:34" ht="25.5" outlineLevel="1" x14ac:dyDescent="0.25">
      <c r="A337" s="1008" t="s">
        <v>875</v>
      </c>
      <c r="B337" s="1009" t="s">
        <v>1545</v>
      </c>
      <c r="C337" s="1316" t="s">
        <v>876</v>
      </c>
      <c r="D337" s="95" t="s">
        <v>1593</v>
      </c>
      <c r="E337" s="34" t="s">
        <v>36</v>
      </c>
      <c r="F337" s="34" t="s">
        <v>36</v>
      </c>
      <c r="G337" s="138">
        <v>1300</v>
      </c>
      <c r="H337" s="183">
        <v>0</v>
      </c>
      <c r="I337" s="1643">
        <v>0</v>
      </c>
      <c r="J337" s="1644">
        <v>423.67099999999999</v>
      </c>
      <c r="K337" s="1645">
        <v>0</v>
      </c>
      <c r="L337" s="1010">
        <v>0</v>
      </c>
      <c r="M337" s="314">
        <v>423.67099999999999</v>
      </c>
      <c r="N337" s="1317">
        <f>1300-423.671</f>
        <v>876.32899999999995</v>
      </c>
      <c r="O337" s="1085">
        <v>1300</v>
      </c>
      <c r="P337" s="859">
        <v>0</v>
      </c>
      <c r="Q337" s="1537">
        <f t="shared" si="12"/>
        <v>1300</v>
      </c>
      <c r="R337" s="315">
        <v>0</v>
      </c>
      <c r="S337" s="1011">
        <v>0</v>
      </c>
      <c r="T337" s="1010">
        <v>0</v>
      </c>
      <c r="U337" s="314">
        <v>0</v>
      </c>
      <c r="V337" s="329">
        <v>0</v>
      </c>
      <c r="W337" s="1012">
        <v>0</v>
      </c>
      <c r="X337" s="893">
        <v>0</v>
      </c>
      <c r="Y337" s="893">
        <v>0</v>
      </c>
      <c r="Z337" s="893">
        <v>0</v>
      </c>
      <c r="AA337" s="328">
        <v>0</v>
      </c>
      <c r="AB337" s="35" t="s">
        <v>84</v>
      </c>
      <c r="AC337" s="313" t="s">
        <v>13</v>
      </c>
      <c r="AD337" s="1401" t="s">
        <v>321</v>
      </c>
      <c r="AE337" s="1402" t="s">
        <v>92</v>
      </c>
      <c r="AF337" s="406" t="s">
        <v>101</v>
      </c>
      <c r="AG337" s="34" t="s">
        <v>209</v>
      </c>
      <c r="AH337" s="34"/>
    </row>
    <row r="338" spans="1:34" ht="25.5" outlineLevel="1" x14ac:dyDescent="0.25">
      <c r="A338" s="1008" t="s">
        <v>877</v>
      </c>
      <c r="B338" s="1009" t="s">
        <v>87</v>
      </c>
      <c r="C338" s="1316" t="s">
        <v>878</v>
      </c>
      <c r="D338" s="95" t="s">
        <v>1593</v>
      </c>
      <c r="E338" s="34" t="s">
        <v>39</v>
      </c>
      <c r="F338" s="34" t="s">
        <v>39</v>
      </c>
      <c r="G338" s="138">
        <v>263</v>
      </c>
      <c r="H338" s="183">
        <v>0</v>
      </c>
      <c r="I338" s="1643">
        <v>0</v>
      </c>
      <c r="J338" s="1644">
        <v>0</v>
      </c>
      <c r="K338" s="1645">
        <v>0</v>
      </c>
      <c r="L338" s="1010">
        <v>0</v>
      </c>
      <c r="M338" s="314">
        <v>0</v>
      </c>
      <c r="N338" s="1317">
        <v>263</v>
      </c>
      <c r="O338" s="1085">
        <v>263</v>
      </c>
      <c r="P338" s="859">
        <v>0</v>
      </c>
      <c r="Q338" s="1537">
        <f t="shared" si="12"/>
        <v>263</v>
      </c>
      <c r="R338" s="315">
        <v>0</v>
      </c>
      <c r="S338" s="1011">
        <v>0</v>
      </c>
      <c r="T338" s="1010">
        <v>0</v>
      </c>
      <c r="U338" s="314">
        <v>0</v>
      </c>
      <c r="V338" s="329">
        <v>0</v>
      </c>
      <c r="W338" s="1012">
        <v>0</v>
      </c>
      <c r="X338" s="893">
        <v>0</v>
      </c>
      <c r="Y338" s="893">
        <v>0</v>
      </c>
      <c r="Z338" s="893">
        <v>0</v>
      </c>
      <c r="AA338" s="328">
        <v>0</v>
      </c>
      <c r="AB338" s="35" t="s">
        <v>84</v>
      </c>
      <c r="AC338" s="313" t="s">
        <v>11</v>
      </c>
      <c r="AD338" s="1401" t="s">
        <v>321</v>
      </c>
      <c r="AE338" s="1402" t="s">
        <v>91</v>
      </c>
      <c r="AF338" s="406" t="s">
        <v>101</v>
      </c>
      <c r="AG338" s="34" t="s">
        <v>204</v>
      </c>
      <c r="AH338" s="34"/>
    </row>
    <row r="339" spans="1:34" ht="25.5" outlineLevel="1" x14ac:dyDescent="0.25">
      <c r="A339" s="1008" t="s">
        <v>879</v>
      </c>
      <c r="B339" s="1009" t="s">
        <v>2007</v>
      </c>
      <c r="C339" s="1316" t="s">
        <v>880</v>
      </c>
      <c r="D339" s="95" t="s">
        <v>1593</v>
      </c>
      <c r="E339" s="34" t="s">
        <v>39</v>
      </c>
      <c r="F339" s="34" t="s">
        <v>39</v>
      </c>
      <c r="G339" s="138">
        <v>3050</v>
      </c>
      <c r="H339" s="183">
        <v>0</v>
      </c>
      <c r="I339" s="1643">
        <v>0</v>
      </c>
      <c r="J339" s="1644">
        <v>0</v>
      </c>
      <c r="K339" s="1645">
        <v>0</v>
      </c>
      <c r="L339" s="1010">
        <v>0</v>
      </c>
      <c r="M339" s="314">
        <v>0</v>
      </c>
      <c r="N339" s="1317">
        <v>0</v>
      </c>
      <c r="O339" s="1085">
        <v>0</v>
      </c>
      <c r="P339" s="859">
        <v>0</v>
      </c>
      <c r="Q339" s="1537">
        <f t="shared" si="12"/>
        <v>0</v>
      </c>
      <c r="R339" s="315">
        <v>3050</v>
      </c>
      <c r="S339" s="1011">
        <v>0</v>
      </c>
      <c r="T339" s="1010">
        <v>0</v>
      </c>
      <c r="U339" s="314">
        <v>0</v>
      </c>
      <c r="V339" s="329">
        <v>0</v>
      </c>
      <c r="W339" s="1012">
        <v>0</v>
      </c>
      <c r="X339" s="893">
        <v>0</v>
      </c>
      <c r="Y339" s="893">
        <v>0</v>
      </c>
      <c r="Z339" s="893">
        <v>0</v>
      </c>
      <c r="AA339" s="328">
        <v>0</v>
      </c>
      <c r="AB339" s="35" t="s">
        <v>84</v>
      </c>
      <c r="AC339" s="313" t="s">
        <v>11</v>
      </c>
      <c r="AD339" s="1401" t="s">
        <v>321</v>
      </c>
      <c r="AE339" s="1402" t="s">
        <v>91</v>
      </c>
      <c r="AF339" s="406" t="s">
        <v>101</v>
      </c>
      <c r="AG339" s="34" t="s">
        <v>204</v>
      </c>
      <c r="AH339" s="34"/>
    </row>
    <row r="340" spans="1:34" ht="25.5" outlineLevel="1" x14ac:dyDescent="0.25">
      <c r="A340" s="1008" t="s">
        <v>881</v>
      </c>
      <c r="B340" s="1009" t="s">
        <v>2008</v>
      </c>
      <c r="C340" s="1316" t="s">
        <v>882</v>
      </c>
      <c r="D340" s="95" t="s">
        <v>1593</v>
      </c>
      <c r="E340" s="34" t="s">
        <v>39</v>
      </c>
      <c r="F340" s="34" t="s">
        <v>39</v>
      </c>
      <c r="G340" s="138">
        <v>650</v>
      </c>
      <c r="H340" s="183">
        <v>0</v>
      </c>
      <c r="I340" s="1643">
        <v>0</v>
      </c>
      <c r="J340" s="1644">
        <v>0</v>
      </c>
      <c r="K340" s="1645">
        <v>0</v>
      </c>
      <c r="L340" s="1010">
        <v>0</v>
      </c>
      <c r="M340" s="314">
        <v>0</v>
      </c>
      <c r="N340" s="1317">
        <v>650</v>
      </c>
      <c r="O340" s="1085">
        <v>650</v>
      </c>
      <c r="P340" s="859">
        <v>0</v>
      </c>
      <c r="Q340" s="1537">
        <f t="shared" ref="Q340:Q403" si="13">O340+P340</f>
        <v>650</v>
      </c>
      <c r="R340" s="315">
        <v>0</v>
      </c>
      <c r="S340" s="1011">
        <v>0</v>
      </c>
      <c r="T340" s="1010">
        <v>0</v>
      </c>
      <c r="U340" s="314">
        <v>0</v>
      </c>
      <c r="V340" s="329">
        <v>0</v>
      </c>
      <c r="W340" s="1012">
        <v>0</v>
      </c>
      <c r="X340" s="893">
        <v>0</v>
      </c>
      <c r="Y340" s="893">
        <v>0</v>
      </c>
      <c r="Z340" s="893">
        <v>0</v>
      </c>
      <c r="AA340" s="328">
        <v>0</v>
      </c>
      <c r="AB340" s="35" t="s">
        <v>84</v>
      </c>
      <c r="AC340" s="313" t="s">
        <v>13</v>
      </c>
      <c r="AD340" s="1401" t="s">
        <v>321</v>
      </c>
      <c r="AE340" s="1402" t="s">
        <v>92</v>
      </c>
      <c r="AF340" s="406" t="s">
        <v>101</v>
      </c>
      <c r="AG340" s="34" t="s">
        <v>204</v>
      </c>
      <c r="AH340" s="34"/>
    </row>
    <row r="341" spans="1:34" ht="25.5" outlineLevel="1" x14ac:dyDescent="0.25">
      <c r="A341" s="1008" t="s">
        <v>883</v>
      </c>
      <c r="B341" s="1009" t="s">
        <v>87</v>
      </c>
      <c r="C341" s="1316" t="s">
        <v>884</v>
      </c>
      <c r="D341" s="95" t="s">
        <v>1593</v>
      </c>
      <c r="E341" s="34" t="s">
        <v>39</v>
      </c>
      <c r="F341" s="34" t="s">
        <v>39</v>
      </c>
      <c r="G341" s="138">
        <v>10000</v>
      </c>
      <c r="H341" s="183">
        <v>0</v>
      </c>
      <c r="I341" s="1643">
        <v>0</v>
      </c>
      <c r="J341" s="1644">
        <v>0</v>
      </c>
      <c r="K341" s="1645">
        <v>0</v>
      </c>
      <c r="L341" s="1010">
        <v>0</v>
      </c>
      <c r="M341" s="314">
        <v>0</v>
      </c>
      <c r="N341" s="1317">
        <v>0</v>
      </c>
      <c r="O341" s="1085">
        <v>0</v>
      </c>
      <c r="P341" s="859">
        <v>0</v>
      </c>
      <c r="Q341" s="1537">
        <f t="shared" si="13"/>
        <v>0</v>
      </c>
      <c r="R341" s="315">
        <v>10000</v>
      </c>
      <c r="S341" s="1011">
        <v>0</v>
      </c>
      <c r="T341" s="1010">
        <v>0</v>
      </c>
      <c r="U341" s="314">
        <v>0</v>
      </c>
      <c r="V341" s="329">
        <v>0</v>
      </c>
      <c r="W341" s="1012">
        <v>0</v>
      </c>
      <c r="X341" s="893">
        <v>0</v>
      </c>
      <c r="Y341" s="893">
        <v>0</v>
      </c>
      <c r="Z341" s="893">
        <v>0</v>
      </c>
      <c r="AA341" s="328">
        <v>0</v>
      </c>
      <c r="AB341" s="35" t="s">
        <v>84</v>
      </c>
      <c r="AC341" s="313" t="s">
        <v>11</v>
      </c>
      <c r="AD341" s="1401" t="s">
        <v>321</v>
      </c>
      <c r="AE341" s="1402" t="s">
        <v>91</v>
      </c>
      <c r="AF341" s="406" t="s">
        <v>100</v>
      </c>
      <c r="AG341" s="34" t="s">
        <v>204</v>
      </c>
      <c r="AH341" s="34"/>
    </row>
    <row r="342" spans="1:34" ht="47.25" outlineLevel="1" x14ac:dyDescent="0.25">
      <c r="A342" s="1008" t="s">
        <v>885</v>
      </c>
      <c r="B342" s="1009" t="s">
        <v>87</v>
      </c>
      <c r="C342" s="1316" t="s">
        <v>1138</v>
      </c>
      <c r="D342" s="95" t="s">
        <v>1593</v>
      </c>
      <c r="E342" s="34" t="s">
        <v>39</v>
      </c>
      <c r="F342" s="34" t="s">
        <v>39</v>
      </c>
      <c r="G342" s="138">
        <v>3500</v>
      </c>
      <c r="H342" s="183">
        <v>0</v>
      </c>
      <c r="I342" s="1643">
        <v>0</v>
      </c>
      <c r="J342" s="1644">
        <v>0</v>
      </c>
      <c r="K342" s="1645">
        <v>0</v>
      </c>
      <c r="L342" s="1010">
        <v>0</v>
      </c>
      <c r="M342" s="314">
        <v>0</v>
      </c>
      <c r="N342" s="1317">
        <v>1500</v>
      </c>
      <c r="O342" s="1085">
        <v>1500</v>
      </c>
      <c r="P342" s="859">
        <v>0</v>
      </c>
      <c r="Q342" s="1537">
        <f t="shared" si="13"/>
        <v>1500</v>
      </c>
      <c r="R342" s="315">
        <v>2000</v>
      </c>
      <c r="S342" s="1011">
        <v>0</v>
      </c>
      <c r="T342" s="1010">
        <v>0</v>
      </c>
      <c r="U342" s="314">
        <v>0</v>
      </c>
      <c r="V342" s="329">
        <v>0</v>
      </c>
      <c r="W342" s="1012">
        <v>0</v>
      </c>
      <c r="X342" s="893">
        <v>0</v>
      </c>
      <c r="Y342" s="893">
        <v>0</v>
      </c>
      <c r="Z342" s="893">
        <v>0</v>
      </c>
      <c r="AA342" s="328">
        <v>0</v>
      </c>
      <c r="AB342" s="35" t="s">
        <v>84</v>
      </c>
      <c r="AC342" s="313" t="s">
        <v>9</v>
      </c>
      <c r="AD342" s="1401" t="s">
        <v>321</v>
      </c>
      <c r="AE342" s="1402" t="s">
        <v>91</v>
      </c>
      <c r="AF342" s="406" t="s">
        <v>101</v>
      </c>
      <c r="AG342" s="34" t="s">
        <v>204</v>
      </c>
      <c r="AH342" s="34"/>
    </row>
    <row r="343" spans="1:34" ht="31.5" outlineLevel="1" x14ac:dyDescent="0.25">
      <c r="A343" s="122" t="s">
        <v>886</v>
      </c>
      <c r="B343" s="1006" t="s">
        <v>1337</v>
      </c>
      <c r="C343" s="1155" t="s">
        <v>887</v>
      </c>
      <c r="D343" s="27" t="s">
        <v>1593</v>
      </c>
      <c r="E343" s="28" t="s">
        <v>39</v>
      </c>
      <c r="F343" s="28" t="s">
        <v>39</v>
      </c>
      <c r="G343" s="121">
        <v>63.99</v>
      </c>
      <c r="H343" s="1062">
        <v>0</v>
      </c>
      <c r="I343" s="999">
        <v>0</v>
      </c>
      <c r="J343" s="1000">
        <v>63.99</v>
      </c>
      <c r="K343" s="1215">
        <v>0</v>
      </c>
      <c r="L343" s="139">
        <v>0</v>
      </c>
      <c r="M343" s="118">
        <v>63.99</v>
      </c>
      <c r="N343" s="1001">
        <v>0</v>
      </c>
      <c r="O343" s="629">
        <v>63.99</v>
      </c>
      <c r="P343" s="1002">
        <v>0</v>
      </c>
      <c r="Q343" s="1003">
        <f t="shared" si="13"/>
        <v>63.99</v>
      </c>
      <c r="R343" s="926">
        <v>0</v>
      </c>
      <c r="S343" s="927">
        <v>0</v>
      </c>
      <c r="T343" s="139">
        <v>0</v>
      </c>
      <c r="U343" s="118">
        <v>0</v>
      </c>
      <c r="V343" s="124">
        <v>0</v>
      </c>
      <c r="W343" s="560">
        <v>0</v>
      </c>
      <c r="X343" s="595">
        <v>0</v>
      </c>
      <c r="Y343" s="595">
        <v>0</v>
      </c>
      <c r="Z343" s="595">
        <v>0</v>
      </c>
      <c r="AA343" s="136">
        <v>0</v>
      </c>
      <c r="AB343" s="27" t="s">
        <v>84</v>
      </c>
      <c r="AC343" s="123" t="s">
        <v>95</v>
      </c>
      <c r="AD343" s="1004" t="s">
        <v>321</v>
      </c>
      <c r="AE343" s="132" t="s">
        <v>92</v>
      </c>
      <c r="AF343" s="26" t="s">
        <v>101</v>
      </c>
      <c r="AG343" s="28" t="s">
        <v>204</v>
      </c>
      <c r="AH343" s="28"/>
    </row>
    <row r="344" spans="1:34" ht="31.5" outlineLevel="1" x14ac:dyDescent="0.25">
      <c r="A344" s="1032" t="s">
        <v>888</v>
      </c>
      <c r="B344" s="1033" t="s">
        <v>1686</v>
      </c>
      <c r="C344" s="1185" t="s">
        <v>889</v>
      </c>
      <c r="D344" s="204" t="s">
        <v>1593</v>
      </c>
      <c r="E344" s="946" t="s">
        <v>343</v>
      </c>
      <c r="F344" s="946" t="s">
        <v>343</v>
      </c>
      <c r="G344" s="1034">
        <v>179.08</v>
      </c>
      <c r="H344" s="1063">
        <v>0</v>
      </c>
      <c r="I344" s="1016">
        <v>0</v>
      </c>
      <c r="J344" s="1017">
        <v>0</v>
      </c>
      <c r="K344" s="1263">
        <v>179.08</v>
      </c>
      <c r="L344" s="1035">
        <v>0</v>
      </c>
      <c r="M344" s="1036">
        <v>0</v>
      </c>
      <c r="N344" s="1037">
        <v>179.08</v>
      </c>
      <c r="O344" s="1038">
        <v>180</v>
      </c>
      <c r="P344" s="1039">
        <v>-0.92</v>
      </c>
      <c r="Q344" s="1548">
        <f t="shared" si="13"/>
        <v>179.08</v>
      </c>
      <c r="R344" s="1040">
        <v>0</v>
      </c>
      <c r="S344" s="1041">
        <v>0</v>
      </c>
      <c r="T344" s="1035">
        <v>0</v>
      </c>
      <c r="U344" s="1036">
        <v>0</v>
      </c>
      <c r="V344" s="1042">
        <v>0</v>
      </c>
      <c r="W344" s="912">
        <v>0</v>
      </c>
      <c r="X344" s="995">
        <v>0</v>
      </c>
      <c r="Y344" s="995">
        <v>0</v>
      </c>
      <c r="Z344" s="995">
        <v>0</v>
      </c>
      <c r="AA344" s="913">
        <v>0</v>
      </c>
      <c r="AB344" s="910" t="s">
        <v>527</v>
      </c>
      <c r="AC344" s="767" t="s">
        <v>95</v>
      </c>
      <c r="AD344" s="1043" t="s">
        <v>321</v>
      </c>
      <c r="AE344" s="921" t="s">
        <v>92</v>
      </c>
      <c r="AF344" s="1044" t="s">
        <v>101</v>
      </c>
      <c r="AG344" s="946" t="s">
        <v>220</v>
      </c>
      <c r="AH344" s="946"/>
    </row>
    <row r="345" spans="1:34" ht="31.5" outlineLevel="1" x14ac:dyDescent="0.25">
      <c r="A345" s="1008" t="s">
        <v>890</v>
      </c>
      <c r="B345" s="1009" t="s">
        <v>87</v>
      </c>
      <c r="C345" s="1316" t="s">
        <v>891</v>
      </c>
      <c r="D345" s="95" t="s">
        <v>1593</v>
      </c>
      <c r="E345" s="34" t="s">
        <v>343</v>
      </c>
      <c r="F345" s="34" t="s">
        <v>343</v>
      </c>
      <c r="G345" s="138">
        <v>600</v>
      </c>
      <c r="H345" s="183">
        <v>0</v>
      </c>
      <c r="I345" s="1643">
        <v>0</v>
      </c>
      <c r="J345" s="1644">
        <v>0</v>
      </c>
      <c r="K345" s="1645">
        <v>0</v>
      </c>
      <c r="L345" s="1010">
        <v>0</v>
      </c>
      <c r="M345" s="314">
        <v>0</v>
      </c>
      <c r="N345" s="1317">
        <v>600</v>
      </c>
      <c r="O345" s="1085">
        <v>600</v>
      </c>
      <c r="P345" s="859">
        <v>0</v>
      </c>
      <c r="Q345" s="1537">
        <f t="shared" si="13"/>
        <v>600</v>
      </c>
      <c r="R345" s="315">
        <v>0</v>
      </c>
      <c r="S345" s="1011">
        <v>0</v>
      </c>
      <c r="T345" s="1010">
        <v>0</v>
      </c>
      <c r="U345" s="314">
        <v>0</v>
      </c>
      <c r="V345" s="329">
        <v>0</v>
      </c>
      <c r="W345" s="1012">
        <v>0</v>
      </c>
      <c r="X345" s="893">
        <v>0</v>
      </c>
      <c r="Y345" s="893">
        <v>0</v>
      </c>
      <c r="Z345" s="893">
        <v>0</v>
      </c>
      <c r="AA345" s="328">
        <v>0</v>
      </c>
      <c r="AB345" s="35" t="s">
        <v>84</v>
      </c>
      <c r="AC345" s="313" t="s">
        <v>13</v>
      </c>
      <c r="AD345" s="1401" t="s">
        <v>321</v>
      </c>
      <c r="AE345" s="1402" t="s">
        <v>92</v>
      </c>
      <c r="AF345" s="406" t="s">
        <v>101</v>
      </c>
      <c r="AG345" s="34" t="s">
        <v>220</v>
      </c>
      <c r="AH345" s="34"/>
    </row>
    <row r="346" spans="1:34" ht="31.5" outlineLevel="1" x14ac:dyDescent="0.25">
      <c r="A346" s="1013" t="s">
        <v>892</v>
      </c>
      <c r="B346" s="1014" t="s">
        <v>1687</v>
      </c>
      <c r="C346" s="1186" t="s">
        <v>893</v>
      </c>
      <c r="D346" s="27" t="s">
        <v>1593</v>
      </c>
      <c r="E346" s="928" t="s">
        <v>343</v>
      </c>
      <c r="F346" s="928" t="s">
        <v>343</v>
      </c>
      <c r="G346" s="1015">
        <v>144.55799999999999</v>
      </c>
      <c r="H346" s="1064">
        <v>0</v>
      </c>
      <c r="I346" s="1028">
        <v>0</v>
      </c>
      <c r="J346" s="1029">
        <v>0</v>
      </c>
      <c r="K346" s="1218">
        <v>144.55799999999999</v>
      </c>
      <c r="L346" s="1018">
        <v>0</v>
      </c>
      <c r="M346" s="1019">
        <v>0</v>
      </c>
      <c r="N346" s="1020">
        <v>144.55799999999999</v>
      </c>
      <c r="O346" s="1021">
        <v>145</v>
      </c>
      <c r="P346" s="1022">
        <v>-0.442</v>
      </c>
      <c r="Q346" s="1187">
        <f t="shared" si="13"/>
        <v>144.55799999999999</v>
      </c>
      <c r="R346" s="1023">
        <v>0</v>
      </c>
      <c r="S346" s="1024">
        <v>0</v>
      </c>
      <c r="T346" s="1018">
        <v>0</v>
      </c>
      <c r="U346" s="1019">
        <v>0</v>
      </c>
      <c r="V346" s="1025">
        <v>0</v>
      </c>
      <c r="W346" s="902">
        <v>0</v>
      </c>
      <c r="X346" s="596">
        <v>0</v>
      </c>
      <c r="Y346" s="596">
        <v>0</v>
      </c>
      <c r="Z346" s="596">
        <v>0</v>
      </c>
      <c r="AA346" s="904">
        <v>0</v>
      </c>
      <c r="AB346" s="694" t="s">
        <v>84</v>
      </c>
      <c r="AC346" s="907" t="s">
        <v>95</v>
      </c>
      <c r="AD346" s="1026" t="s">
        <v>321</v>
      </c>
      <c r="AE346" s="908" t="s">
        <v>92</v>
      </c>
      <c r="AF346" s="1027" t="s">
        <v>101</v>
      </c>
      <c r="AG346" s="928" t="s">
        <v>220</v>
      </c>
      <c r="AH346" s="928"/>
    </row>
    <row r="347" spans="1:34" ht="25.5" outlineLevel="1" x14ac:dyDescent="0.25">
      <c r="A347" s="1013" t="s">
        <v>894</v>
      </c>
      <c r="B347" s="1014" t="s">
        <v>1165</v>
      </c>
      <c r="C347" s="1186" t="s">
        <v>895</v>
      </c>
      <c r="D347" s="27" t="s">
        <v>1593</v>
      </c>
      <c r="E347" s="928" t="s">
        <v>241</v>
      </c>
      <c r="F347" s="928" t="s">
        <v>241</v>
      </c>
      <c r="G347" s="1015">
        <v>384</v>
      </c>
      <c r="H347" s="1064">
        <v>0</v>
      </c>
      <c r="I347" s="1028">
        <v>384</v>
      </c>
      <c r="J347" s="1029">
        <v>0</v>
      </c>
      <c r="K347" s="1218">
        <v>0</v>
      </c>
      <c r="L347" s="1018">
        <v>384</v>
      </c>
      <c r="M347" s="1019">
        <v>0</v>
      </c>
      <c r="N347" s="1020">
        <v>0</v>
      </c>
      <c r="O347" s="1021">
        <v>384</v>
      </c>
      <c r="P347" s="1022">
        <v>0</v>
      </c>
      <c r="Q347" s="1187">
        <f t="shared" si="13"/>
        <v>384</v>
      </c>
      <c r="R347" s="1023">
        <v>0</v>
      </c>
      <c r="S347" s="1024">
        <v>0</v>
      </c>
      <c r="T347" s="1018">
        <v>0</v>
      </c>
      <c r="U347" s="1019">
        <v>0</v>
      </c>
      <c r="V347" s="1025">
        <v>0</v>
      </c>
      <c r="W347" s="902">
        <v>0</v>
      </c>
      <c r="X347" s="596">
        <v>0</v>
      </c>
      <c r="Y347" s="596">
        <v>0</v>
      </c>
      <c r="Z347" s="596">
        <v>0</v>
      </c>
      <c r="AA347" s="904">
        <v>0</v>
      </c>
      <c r="AB347" s="694" t="s">
        <v>84</v>
      </c>
      <c r="AC347" s="907" t="s">
        <v>95</v>
      </c>
      <c r="AD347" s="1026" t="s">
        <v>321</v>
      </c>
      <c r="AE347" s="908" t="s">
        <v>92</v>
      </c>
      <c r="AF347" s="1027" t="s">
        <v>101</v>
      </c>
      <c r="AG347" s="928" t="s">
        <v>796</v>
      </c>
      <c r="AH347" s="928"/>
    </row>
    <row r="348" spans="1:34" s="1176" customFormat="1" ht="31.5" outlineLevel="1" x14ac:dyDescent="0.25">
      <c r="A348" s="2473" t="s">
        <v>896</v>
      </c>
      <c r="B348" s="2474" t="s">
        <v>959</v>
      </c>
      <c r="C348" s="2475" t="s">
        <v>2082</v>
      </c>
      <c r="D348" s="157" t="s">
        <v>1593</v>
      </c>
      <c r="E348" s="2476" t="s">
        <v>338</v>
      </c>
      <c r="F348" s="2476" t="s">
        <v>338</v>
      </c>
      <c r="G348" s="2477">
        <f>5712.49+312.56116</f>
        <v>6025.05116</v>
      </c>
      <c r="H348" s="2478">
        <v>2513.8313199999998</v>
      </c>
      <c r="I348" s="2479">
        <v>0</v>
      </c>
      <c r="J348" s="2480">
        <v>2868.6489300000003</v>
      </c>
      <c r="K348" s="2481">
        <v>25</v>
      </c>
      <c r="L348" s="2482">
        <v>0</v>
      </c>
      <c r="M348" s="2483">
        <v>2868.6489299999998</v>
      </c>
      <c r="N348" s="2484">
        <f>330.00975+312.56116</f>
        <v>642.57090999999991</v>
      </c>
      <c r="O348" s="2485">
        <v>3198.6586800000005</v>
      </c>
      <c r="P348" s="2486">
        <f>0+312.56116</f>
        <v>312.56115999999997</v>
      </c>
      <c r="Q348" s="2487">
        <f t="shared" si="13"/>
        <v>3511.2198400000007</v>
      </c>
      <c r="R348" s="2488">
        <v>0</v>
      </c>
      <c r="S348" s="2489">
        <v>0</v>
      </c>
      <c r="T348" s="2482">
        <v>0</v>
      </c>
      <c r="U348" s="2483">
        <v>0</v>
      </c>
      <c r="V348" s="2490">
        <v>0</v>
      </c>
      <c r="W348" s="2491">
        <v>0</v>
      </c>
      <c r="X348" s="2550">
        <v>0</v>
      </c>
      <c r="Y348" s="2550">
        <v>0</v>
      </c>
      <c r="Z348" s="2550">
        <v>0</v>
      </c>
      <c r="AA348" s="2551">
        <v>0</v>
      </c>
      <c r="AB348" s="1122" t="s">
        <v>2083</v>
      </c>
      <c r="AC348" s="1412" t="s">
        <v>13</v>
      </c>
      <c r="AD348" s="2494" t="s">
        <v>321</v>
      </c>
      <c r="AE348" s="2495" t="s">
        <v>92</v>
      </c>
      <c r="AF348" s="797" t="s">
        <v>101</v>
      </c>
      <c r="AG348" s="2476" t="s">
        <v>209</v>
      </c>
      <c r="AH348" s="2476"/>
    </row>
    <row r="349" spans="1:34" ht="31.5" outlineLevel="1" x14ac:dyDescent="0.25">
      <c r="A349" s="1008" t="s">
        <v>897</v>
      </c>
      <c r="B349" s="1009" t="s">
        <v>87</v>
      </c>
      <c r="C349" s="1316" t="s">
        <v>898</v>
      </c>
      <c r="D349" s="95" t="s">
        <v>1593</v>
      </c>
      <c r="E349" s="34" t="s">
        <v>338</v>
      </c>
      <c r="F349" s="34" t="s">
        <v>338</v>
      </c>
      <c r="G349" s="138">
        <v>1558</v>
      </c>
      <c r="H349" s="183">
        <v>0</v>
      </c>
      <c r="I349" s="1643">
        <v>0</v>
      </c>
      <c r="J349" s="1644">
        <v>0</v>
      </c>
      <c r="K349" s="1645">
        <v>0</v>
      </c>
      <c r="L349" s="1010">
        <v>0</v>
      </c>
      <c r="M349" s="314">
        <v>0</v>
      </c>
      <c r="N349" s="1317">
        <v>1558</v>
      </c>
      <c r="O349" s="1085">
        <v>1558</v>
      </c>
      <c r="P349" s="859">
        <v>0</v>
      </c>
      <c r="Q349" s="1537">
        <f t="shared" si="13"/>
        <v>1558</v>
      </c>
      <c r="R349" s="315">
        <v>0</v>
      </c>
      <c r="S349" s="1011">
        <v>0</v>
      </c>
      <c r="T349" s="1010">
        <v>0</v>
      </c>
      <c r="U349" s="314">
        <v>0</v>
      </c>
      <c r="V349" s="329">
        <v>0</v>
      </c>
      <c r="W349" s="1012">
        <v>0</v>
      </c>
      <c r="X349" s="893">
        <v>0</v>
      </c>
      <c r="Y349" s="893">
        <v>0</v>
      </c>
      <c r="Z349" s="893">
        <v>0</v>
      </c>
      <c r="AA349" s="328">
        <v>0</v>
      </c>
      <c r="AB349" s="35" t="s">
        <v>84</v>
      </c>
      <c r="AC349" s="313" t="s">
        <v>13</v>
      </c>
      <c r="AD349" s="1401" t="s">
        <v>321</v>
      </c>
      <c r="AE349" s="1402" t="s">
        <v>92</v>
      </c>
      <c r="AF349" s="406" t="s">
        <v>101</v>
      </c>
      <c r="AG349" s="34" t="s">
        <v>209</v>
      </c>
      <c r="AH349" s="34"/>
    </row>
    <row r="350" spans="1:34" ht="32.25" outlineLevel="1" thickBot="1" x14ac:dyDescent="0.3">
      <c r="A350" s="199" t="s">
        <v>899</v>
      </c>
      <c r="B350" s="1179" t="s">
        <v>1423</v>
      </c>
      <c r="C350" s="1180" t="s">
        <v>1082</v>
      </c>
      <c r="D350" s="73" t="s">
        <v>1593</v>
      </c>
      <c r="E350" s="160" t="s">
        <v>333</v>
      </c>
      <c r="F350" s="160" t="s">
        <v>333</v>
      </c>
      <c r="G350" s="200">
        <v>113.619</v>
      </c>
      <c r="H350" s="1065">
        <v>0</v>
      </c>
      <c r="I350" s="891">
        <v>0</v>
      </c>
      <c r="J350" s="892">
        <v>113.619</v>
      </c>
      <c r="K350" s="1216">
        <v>0</v>
      </c>
      <c r="L350" s="295">
        <v>0</v>
      </c>
      <c r="M350" s="242">
        <v>113.619</v>
      </c>
      <c r="N350" s="1181">
        <v>0</v>
      </c>
      <c r="O350" s="1182">
        <v>113.619</v>
      </c>
      <c r="P350" s="1183">
        <v>0</v>
      </c>
      <c r="Q350" s="1197">
        <f t="shared" si="13"/>
        <v>113.619</v>
      </c>
      <c r="R350" s="693">
        <v>0</v>
      </c>
      <c r="S350" s="923">
        <v>0</v>
      </c>
      <c r="T350" s="295">
        <v>0</v>
      </c>
      <c r="U350" s="242">
        <v>0</v>
      </c>
      <c r="V350" s="234">
        <v>0</v>
      </c>
      <c r="W350" s="562">
        <v>0</v>
      </c>
      <c r="X350" s="634">
        <v>0</v>
      </c>
      <c r="Y350" s="634">
        <v>0</v>
      </c>
      <c r="Z350" s="634">
        <v>0</v>
      </c>
      <c r="AA350" s="460">
        <v>0</v>
      </c>
      <c r="AB350" s="73" t="s">
        <v>84</v>
      </c>
      <c r="AC350" s="696" t="s">
        <v>95</v>
      </c>
      <c r="AD350" s="1184" t="s">
        <v>321</v>
      </c>
      <c r="AE350" s="201" t="s">
        <v>92</v>
      </c>
      <c r="AF350" s="78" t="s">
        <v>101</v>
      </c>
      <c r="AG350" s="160" t="s">
        <v>222</v>
      </c>
      <c r="AH350" s="160"/>
    </row>
    <row r="351" spans="1:34" ht="31.5" outlineLevel="1" x14ac:dyDescent="0.25">
      <c r="A351" s="1118" t="s">
        <v>1083</v>
      </c>
      <c r="B351" s="1119" t="s">
        <v>87</v>
      </c>
      <c r="C351" s="1315" t="s">
        <v>1084</v>
      </c>
      <c r="D351" s="501" t="s">
        <v>1602</v>
      </c>
      <c r="E351" s="482" t="s">
        <v>39</v>
      </c>
      <c r="F351" s="482" t="s">
        <v>39</v>
      </c>
      <c r="G351" s="114">
        <v>440.44</v>
      </c>
      <c r="H351" s="546">
        <v>0</v>
      </c>
      <c r="I351" s="1640">
        <v>0</v>
      </c>
      <c r="J351" s="1641">
        <v>0</v>
      </c>
      <c r="K351" s="1642">
        <v>0</v>
      </c>
      <c r="L351" s="765">
        <v>0</v>
      </c>
      <c r="M351" s="236">
        <v>0</v>
      </c>
      <c r="N351" s="188">
        <v>440.44</v>
      </c>
      <c r="O351" s="1146">
        <v>440.44</v>
      </c>
      <c r="P351" s="1084">
        <v>0</v>
      </c>
      <c r="Q351" s="1536">
        <f t="shared" si="13"/>
        <v>440.44</v>
      </c>
      <c r="R351" s="13">
        <v>0</v>
      </c>
      <c r="S351" s="149">
        <v>0</v>
      </c>
      <c r="T351" s="765">
        <v>0</v>
      </c>
      <c r="U351" s="236">
        <v>0</v>
      </c>
      <c r="V351" s="149">
        <v>0</v>
      </c>
      <c r="W351" s="521">
        <v>0</v>
      </c>
      <c r="X351" s="893">
        <v>0</v>
      </c>
      <c r="Y351" s="893">
        <v>0</v>
      </c>
      <c r="Z351" s="893">
        <v>0</v>
      </c>
      <c r="AA351" s="757">
        <v>0</v>
      </c>
      <c r="AB351" s="479" t="s">
        <v>84</v>
      </c>
      <c r="AC351" s="590" t="s">
        <v>13</v>
      </c>
      <c r="AD351" s="46" t="s">
        <v>190</v>
      </c>
      <c r="AE351" s="1409" t="s">
        <v>92</v>
      </c>
      <c r="AF351" s="172" t="s">
        <v>101</v>
      </c>
      <c r="AG351" s="482" t="s">
        <v>204</v>
      </c>
      <c r="AH351" s="482"/>
    </row>
    <row r="352" spans="1:34" ht="31.5" outlineLevel="1" x14ac:dyDescent="0.25">
      <c r="A352" s="1008" t="s">
        <v>1085</v>
      </c>
      <c r="B352" s="1009" t="s">
        <v>1422</v>
      </c>
      <c r="C352" s="1316" t="s">
        <v>1086</v>
      </c>
      <c r="D352" s="93" t="s">
        <v>1602</v>
      </c>
      <c r="E352" s="34" t="s">
        <v>39</v>
      </c>
      <c r="F352" s="34" t="s">
        <v>39</v>
      </c>
      <c r="G352" s="138">
        <v>900</v>
      </c>
      <c r="H352" s="183">
        <v>0</v>
      </c>
      <c r="I352" s="1643">
        <v>0</v>
      </c>
      <c r="J352" s="1644">
        <v>504.79999999999995</v>
      </c>
      <c r="K352" s="1645">
        <v>0</v>
      </c>
      <c r="L352" s="1010">
        <v>0</v>
      </c>
      <c r="M352" s="314">
        <f>229.9+274.9</f>
        <v>504.79999999999995</v>
      </c>
      <c r="N352" s="1317">
        <f>274.9-274.9</f>
        <v>0</v>
      </c>
      <c r="O352" s="1085">
        <v>504.8</v>
      </c>
      <c r="P352" s="859">
        <v>0</v>
      </c>
      <c r="Q352" s="1537">
        <f t="shared" si="13"/>
        <v>504.8</v>
      </c>
      <c r="R352" s="11">
        <v>395.2</v>
      </c>
      <c r="S352" s="329">
        <v>0</v>
      </c>
      <c r="T352" s="1010">
        <v>0</v>
      </c>
      <c r="U352" s="314">
        <v>0</v>
      </c>
      <c r="V352" s="329">
        <v>0</v>
      </c>
      <c r="W352" s="1012">
        <v>0</v>
      </c>
      <c r="X352" s="893">
        <v>0</v>
      </c>
      <c r="Y352" s="893">
        <v>0</v>
      </c>
      <c r="Z352" s="893">
        <v>0</v>
      </c>
      <c r="AA352" s="328">
        <v>0</v>
      </c>
      <c r="AB352" s="35" t="s">
        <v>84</v>
      </c>
      <c r="AC352" s="313" t="s">
        <v>13</v>
      </c>
      <c r="AD352" s="1401" t="s">
        <v>321</v>
      </c>
      <c r="AE352" s="1402" t="s">
        <v>92</v>
      </c>
      <c r="AF352" s="406" t="s">
        <v>101</v>
      </c>
      <c r="AG352" s="34" t="s">
        <v>204</v>
      </c>
      <c r="AH352" s="34"/>
    </row>
    <row r="353" spans="1:34" ht="47.25" outlineLevel="1" x14ac:dyDescent="0.25">
      <c r="A353" s="1008" t="s">
        <v>1087</v>
      </c>
      <c r="B353" s="1009" t="s">
        <v>1546</v>
      </c>
      <c r="C353" s="1316" t="s">
        <v>1547</v>
      </c>
      <c r="D353" s="93" t="s">
        <v>1602</v>
      </c>
      <c r="E353" s="34" t="s">
        <v>39</v>
      </c>
      <c r="F353" s="34" t="s">
        <v>39</v>
      </c>
      <c r="G353" s="138">
        <v>171</v>
      </c>
      <c r="H353" s="183">
        <v>0</v>
      </c>
      <c r="I353" s="1643">
        <v>0</v>
      </c>
      <c r="J353" s="1644">
        <v>70</v>
      </c>
      <c r="K353" s="1645">
        <v>0</v>
      </c>
      <c r="L353" s="1010">
        <v>0</v>
      </c>
      <c r="M353" s="314">
        <f>0+70</f>
        <v>70</v>
      </c>
      <c r="N353" s="1317">
        <f>171-70</f>
        <v>101</v>
      </c>
      <c r="O353" s="1085">
        <v>171</v>
      </c>
      <c r="P353" s="859">
        <v>0</v>
      </c>
      <c r="Q353" s="1537">
        <f t="shared" si="13"/>
        <v>171</v>
      </c>
      <c r="R353" s="11">
        <v>0</v>
      </c>
      <c r="S353" s="329">
        <v>0</v>
      </c>
      <c r="T353" s="1010">
        <v>0</v>
      </c>
      <c r="U353" s="314">
        <v>0</v>
      </c>
      <c r="V353" s="329">
        <v>0</v>
      </c>
      <c r="W353" s="1012">
        <v>0</v>
      </c>
      <c r="X353" s="893">
        <v>0</v>
      </c>
      <c r="Y353" s="893">
        <v>0</v>
      </c>
      <c r="Z353" s="893">
        <v>0</v>
      </c>
      <c r="AA353" s="328">
        <v>0</v>
      </c>
      <c r="AB353" s="35" t="s">
        <v>84</v>
      </c>
      <c r="AC353" s="313" t="s">
        <v>13</v>
      </c>
      <c r="AD353" s="1401" t="s">
        <v>321</v>
      </c>
      <c r="AE353" s="1402" t="s">
        <v>92</v>
      </c>
      <c r="AF353" s="406" t="s">
        <v>101</v>
      </c>
      <c r="AG353" s="34" t="s">
        <v>204</v>
      </c>
      <c r="AH353" s="34"/>
    </row>
    <row r="354" spans="1:34" ht="31.5" outlineLevel="1" x14ac:dyDescent="0.25">
      <c r="A354" s="876" t="s">
        <v>1088</v>
      </c>
      <c r="B354" s="998" t="s">
        <v>1338</v>
      </c>
      <c r="C354" s="1314" t="s">
        <v>1089</v>
      </c>
      <c r="D354" s="95" t="s">
        <v>1602</v>
      </c>
      <c r="E354" s="514" t="s">
        <v>39</v>
      </c>
      <c r="F354" s="514" t="s">
        <v>39</v>
      </c>
      <c r="G354" s="110">
        <v>900</v>
      </c>
      <c r="H354" s="181">
        <v>0</v>
      </c>
      <c r="I354" s="1637">
        <v>0</v>
      </c>
      <c r="J354" s="1638">
        <v>175.45</v>
      </c>
      <c r="K354" s="1639">
        <v>0</v>
      </c>
      <c r="L354" s="408">
        <v>0</v>
      </c>
      <c r="M354" s="100">
        <f>0+175.45</f>
        <v>175.45</v>
      </c>
      <c r="N354" s="12">
        <v>0</v>
      </c>
      <c r="O354" s="844">
        <v>175.45</v>
      </c>
      <c r="P354" s="856">
        <v>0</v>
      </c>
      <c r="Q354" s="848">
        <f t="shared" si="13"/>
        <v>175.45</v>
      </c>
      <c r="R354" s="11">
        <v>724.55</v>
      </c>
      <c r="S354" s="113">
        <v>0</v>
      </c>
      <c r="T354" s="408">
        <v>0</v>
      </c>
      <c r="U354" s="100">
        <v>0</v>
      </c>
      <c r="V354" s="113">
        <v>0</v>
      </c>
      <c r="W354" s="411">
        <v>0</v>
      </c>
      <c r="X354" s="752">
        <v>0</v>
      </c>
      <c r="Y354" s="752">
        <v>0</v>
      </c>
      <c r="Z354" s="752">
        <v>0</v>
      </c>
      <c r="AA354" s="135">
        <v>0</v>
      </c>
      <c r="AB354" s="95" t="s">
        <v>84</v>
      </c>
      <c r="AC354" s="111" t="s">
        <v>13</v>
      </c>
      <c r="AD354" s="1407" t="s">
        <v>321</v>
      </c>
      <c r="AE354" s="1277" t="s">
        <v>92</v>
      </c>
      <c r="AF354" s="515" t="s">
        <v>101</v>
      </c>
      <c r="AG354" s="514" t="s">
        <v>204</v>
      </c>
      <c r="AH354" s="514"/>
    </row>
    <row r="355" spans="1:34" ht="25.5" outlineLevel="1" x14ac:dyDescent="0.25">
      <c r="A355" s="1008" t="s">
        <v>1090</v>
      </c>
      <c r="B355" s="1009" t="s">
        <v>1424</v>
      </c>
      <c r="C355" s="1316" t="s">
        <v>1091</v>
      </c>
      <c r="D355" s="93" t="s">
        <v>1602</v>
      </c>
      <c r="E355" s="34" t="s">
        <v>38</v>
      </c>
      <c r="F355" s="34" t="s">
        <v>38</v>
      </c>
      <c r="G355" s="138">
        <v>168</v>
      </c>
      <c r="H355" s="183">
        <v>0</v>
      </c>
      <c r="I355" s="1643">
        <v>0</v>
      </c>
      <c r="J355" s="1644">
        <v>148.226</v>
      </c>
      <c r="K355" s="1645">
        <v>0</v>
      </c>
      <c r="L355" s="1010">
        <v>0</v>
      </c>
      <c r="M355" s="314">
        <v>148.226</v>
      </c>
      <c r="N355" s="1317">
        <v>19.774000000000001</v>
      </c>
      <c r="O355" s="1085">
        <v>168</v>
      </c>
      <c r="P355" s="859">
        <v>0</v>
      </c>
      <c r="Q355" s="1537">
        <f t="shared" si="13"/>
        <v>168</v>
      </c>
      <c r="R355" s="11">
        <v>0</v>
      </c>
      <c r="S355" s="329">
        <v>0</v>
      </c>
      <c r="T355" s="1010">
        <v>0</v>
      </c>
      <c r="U355" s="314">
        <v>0</v>
      </c>
      <c r="V355" s="329">
        <v>0</v>
      </c>
      <c r="W355" s="1012">
        <v>0</v>
      </c>
      <c r="X355" s="893">
        <v>0</v>
      </c>
      <c r="Y355" s="893">
        <v>0</v>
      </c>
      <c r="Z355" s="893">
        <v>0</v>
      </c>
      <c r="AA355" s="328">
        <v>0</v>
      </c>
      <c r="AB355" s="35" t="s">
        <v>84</v>
      </c>
      <c r="AC355" s="313" t="s">
        <v>13</v>
      </c>
      <c r="AD355" s="1401" t="s">
        <v>321</v>
      </c>
      <c r="AE355" s="1402" t="s">
        <v>91</v>
      </c>
      <c r="AF355" s="406" t="s">
        <v>101</v>
      </c>
      <c r="AG355" s="34" t="s">
        <v>212</v>
      </c>
      <c r="AH355" s="34"/>
    </row>
    <row r="356" spans="1:34" ht="31.5" outlineLevel="1" x14ac:dyDescent="0.25">
      <c r="A356" s="1013" t="s">
        <v>1092</v>
      </c>
      <c r="B356" s="1014" t="s">
        <v>1428</v>
      </c>
      <c r="C356" s="1186" t="s">
        <v>1093</v>
      </c>
      <c r="D356" s="30" t="s">
        <v>1602</v>
      </c>
      <c r="E356" s="928" t="s">
        <v>38</v>
      </c>
      <c r="F356" s="928" t="s">
        <v>38</v>
      </c>
      <c r="G356" s="1015">
        <v>757.94</v>
      </c>
      <c r="H356" s="1064">
        <v>0</v>
      </c>
      <c r="I356" s="1028">
        <v>0</v>
      </c>
      <c r="J356" s="1029">
        <v>757.94</v>
      </c>
      <c r="K356" s="1218">
        <v>0</v>
      </c>
      <c r="L356" s="1018">
        <v>0</v>
      </c>
      <c r="M356" s="1019">
        <v>757.94</v>
      </c>
      <c r="N356" s="1020">
        <v>0</v>
      </c>
      <c r="O356" s="1021">
        <v>757.94</v>
      </c>
      <c r="P356" s="1022">
        <v>0</v>
      </c>
      <c r="Q356" s="1187">
        <f t="shared" si="13"/>
        <v>757.94</v>
      </c>
      <c r="R356" s="926">
        <v>0</v>
      </c>
      <c r="S356" s="1025">
        <v>0</v>
      </c>
      <c r="T356" s="1018">
        <v>0</v>
      </c>
      <c r="U356" s="1019">
        <v>0</v>
      </c>
      <c r="V356" s="1025">
        <v>0</v>
      </c>
      <c r="W356" s="902">
        <v>0</v>
      </c>
      <c r="X356" s="596">
        <v>0</v>
      </c>
      <c r="Y356" s="596">
        <v>0</v>
      </c>
      <c r="Z356" s="596">
        <v>0</v>
      </c>
      <c r="AA356" s="904">
        <v>0</v>
      </c>
      <c r="AB356" s="694" t="s">
        <v>84</v>
      </c>
      <c r="AC356" s="907" t="s">
        <v>95</v>
      </c>
      <c r="AD356" s="1026" t="s">
        <v>321</v>
      </c>
      <c r="AE356" s="908" t="s">
        <v>92</v>
      </c>
      <c r="AF356" s="1027" t="s">
        <v>101</v>
      </c>
      <c r="AG356" s="928" t="s">
        <v>212</v>
      </c>
      <c r="AH356" s="928"/>
    </row>
    <row r="357" spans="1:34" ht="31.5" outlineLevel="1" x14ac:dyDescent="0.25">
      <c r="A357" s="1008" t="s">
        <v>1094</v>
      </c>
      <c r="B357" s="1009" t="s">
        <v>1548</v>
      </c>
      <c r="C357" s="1316" t="s">
        <v>1095</v>
      </c>
      <c r="D357" s="93" t="s">
        <v>1602</v>
      </c>
      <c r="E357" s="34" t="s">
        <v>38</v>
      </c>
      <c r="F357" s="34" t="s">
        <v>38</v>
      </c>
      <c r="G357" s="138">
        <v>115</v>
      </c>
      <c r="H357" s="183">
        <v>0</v>
      </c>
      <c r="I357" s="1643">
        <v>0</v>
      </c>
      <c r="J357" s="1644">
        <v>41.250109999999999</v>
      </c>
      <c r="K357" s="1645">
        <v>0</v>
      </c>
      <c r="L357" s="1010">
        <v>0</v>
      </c>
      <c r="M357" s="314">
        <v>41.250109999999999</v>
      </c>
      <c r="N357" s="1317">
        <v>73.749889999999994</v>
      </c>
      <c r="O357" s="1085">
        <v>115</v>
      </c>
      <c r="P357" s="859">
        <v>0</v>
      </c>
      <c r="Q357" s="1537">
        <f t="shared" si="13"/>
        <v>115</v>
      </c>
      <c r="R357" s="11">
        <v>0</v>
      </c>
      <c r="S357" s="329">
        <v>0</v>
      </c>
      <c r="T357" s="1010">
        <v>0</v>
      </c>
      <c r="U357" s="314">
        <v>0</v>
      </c>
      <c r="V357" s="329">
        <v>0</v>
      </c>
      <c r="W357" s="1012">
        <v>0</v>
      </c>
      <c r="X357" s="893">
        <v>0</v>
      </c>
      <c r="Y357" s="893">
        <v>0</v>
      </c>
      <c r="Z357" s="893">
        <v>0</v>
      </c>
      <c r="AA357" s="328">
        <v>0</v>
      </c>
      <c r="AB357" s="35" t="s">
        <v>84</v>
      </c>
      <c r="AC357" s="313" t="s">
        <v>13</v>
      </c>
      <c r="AD357" s="1401" t="s">
        <v>321</v>
      </c>
      <c r="AE357" s="1402" t="s">
        <v>92</v>
      </c>
      <c r="AF357" s="406" t="s">
        <v>101</v>
      </c>
      <c r="AG357" s="34" t="s">
        <v>212</v>
      </c>
      <c r="AH357" s="34"/>
    </row>
    <row r="358" spans="1:34" ht="25.5" outlineLevel="1" x14ac:dyDescent="0.25">
      <c r="A358" s="1032" t="s">
        <v>1096</v>
      </c>
      <c r="B358" s="1033" t="s">
        <v>1429</v>
      </c>
      <c r="C358" s="1185" t="s">
        <v>1097</v>
      </c>
      <c r="D358" s="245" t="s">
        <v>1602</v>
      </c>
      <c r="E358" s="946" t="s">
        <v>38</v>
      </c>
      <c r="F358" s="946" t="s">
        <v>38</v>
      </c>
      <c r="G358" s="1034">
        <v>79.013000000000005</v>
      </c>
      <c r="H358" s="1063">
        <v>0</v>
      </c>
      <c r="I358" s="1016">
        <v>0</v>
      </c>
      <c r="J358" s="1017">
        <v>79.013000000000005</v>
      </c>
      <c r="K358" s="1263">
        <v>0</v>
      </c>
      <c r="L358" s="1035">
        <v>0</v>
      </c>
      <c r="M358" s="1036">
        <v>79.013000000000005</v>
      </c>
      <c r="N358" s="1037">
        <v>0</v>
      </c>
      <c r="O358" s="1038">
        <v>80</v>
      </c>
      <c r="P358" s="1039">
        <v>-0.98699999999999999</v>
      </c>
      <c r="Q358" s="1548">
        <f t="shared" si="13"/>
        <v>79.013000000000005</v>
      </c>
      <c r="R358" s="937">
        <v>0</v>
      </c>
      <c r="S358" s="1042">
        <v>0</v>
      </c>
      <c r="T358" s="1035">
        <v>0</v>
      </c>
      <c r="U358" s="1036">
        <v>0</v>
      </c>
      <c r="V358" s="1042">
        <v>0</v>
      </c>
      <c r="W358" s="912">
        <v>0</v>
      </c>
      <c r="X358" s="995">
        <v>0</v>
      </c>
      <c r="Y358" s="995">
        <v>0</v>
      </c>
      <c r="Z358" s="995">
        <v>0</v>
      </c>
      <c r="AA358" s="913">
        <v>0</v>
      </c>
      <c r="AB358" s="910" t="s">
        <v>527</v>
      </c>
      <c r="AC358" s="767" t="s">
        <v>95</v>
      </c>
      <c r="AD358" s="1043" t="s">
        <v>321</v>
      </c>
      <c r="AE358" s="921" t="s">
        <v>92</v>
      </c>
      <c r="AF358" s="1044" t="s">
        <v>101</v>
      </c>
      <c r="AG358" s="946" t="s">
        <v>212</v>
      </c>
      <c r="AH358" s="946"/>
    </row>
    <row r="359" spans="1:34" ht="31.5" outlineLevel="1" x14ac:dyDescent="0.25">
      <c r="A359" s="2473" t="s">
        <v>1098</v>
      </c>
      <c r="B359" s="2474" t="s">
        <v>1549</v>
      </c>
      <c r="C359" s="2475" t="s">
        <v>1099</v>
      </c>
      <c r="D359" s="639" t="s">
        <v>1602</v>
      </c>
      <c r="E359" s="2476" t="s">
        <v>38</v>
      </c>
      <c r="F359" s="2476" t="s">
        <v>38</v>
      </c>
      <c r="G359" s="2477">
        <v>556.17650000000003</v>
      </c>
      <c r="H359" s="2478">
        <v>0</v>
      </c>
      <c r="I359" s="2479">
        <v>0</v>
      </c>
      <c r="J359" s="2480">
        <v>136.3065</v>
      </c>
      <c r="K359" s="2481">
        <v>0</v>
      </c>
      <c r="L359" s="2482">
        <v>0</v>
      </c>
      <c r="M359" s="2483">
        <v>136.3065</v>
      </c>
      <c r="N359" s="2484">
        <v>419.87</v>
      </c>
      <c r="O359" s="2485">
        <v>550</v>
      </c>
      <c r="P359" s="2486">
        <v>6.1764999999999999</v>
      </c>
      <c r="Q359" s="2487">
        <f t="shared" si="13"/>
        <v>556.17650000000003</v>
      </c>
      <c r="R359" s="2549">
        <v>0</v>
      </c>
      <c r="S359" s="2490">
        <v>0</v>
      </c>
      <c r="T359" s="2482">
        <v>0</v>
      </c>
      <c r="U359" s="2483">
        <v>0</v>
      </c>
      <c r="V359" s="2490">
        <v>0</v>
      </c>
      <c r="W359" s="2491">
        <v>0</v>
      </c>
      <c r="X359" s="2550">
        <v>0</v>
      </c>
      <c r="Y359" s="2550">
        <v>0</v>
      </c>
      <c r="Z359" s="2550">
        <v>0</v>
      </c>
      <c r="AA359" s="2551">
        <v>0</v>
      </c>
      <c r="AB359" s="1122" t="s">
        <v>2009</v>
      </c>
      <c r="AC359" s="1412" t="s">
        <v>13</v>
      </c>
      <c r="AD359" s="2494" t="s">
        <v>321</v>
      </c>
      <c r="AE359" s="2495" t="s">
        <v>92</v>
      </c>
      <c r="AF359" s="797" t="s">
        <v>101</v>
      </c>
      <c r="AG359" s="2476" t="s">
        <v>212</v>
      </c>
      <c r="AH359" s="2476"/>
    </row>
    <row r="360" spans="1:34" ht="25.5" outlineLevel="1" x14ac:dyDescent="0.25">
      <c r="A360" s="1013" t="s">
        <v>1100</v>
      </c>
      <c r="B360" s="1014" t="s">
        <v>1550</v>
      </c>
      <c r="C360" s="1186" t="s">
        <v>1101</v>
      </c>
      <c r="D360" s="30" t="s">
        <v>1602</v>
      </c>
      <c r="E360" s="928" t="s">
        <v>38</v>
      </c>
      <c r="F360" s="928" t="s">
        <v>38</v>
      </c>
      <c r="G360" s="1015">
        <v>138.2269</v>
      </c>
      <c r="H360" s="1064">
        <v>0</v>
      </c>
      <c r="I360" s="1028">
        <v>0</v>
      </c>
      <c r="J360" s="1029">
        <v>138.2269</v>
      </c>
      <c r="K360" s="1218">
        <v>0</v>
      </c>
      <c r="L360" s="1018">
        <v>0</v>
      </c>
      <c r="M360" s="1019">
        <v>138.2269</v>
      </c>
      <c r="N360" s="1020">
        <v>0</v>
      </c>
      <c r="O360" s="1021">
        <v>138.2269</v>
      </c>
      <c r="P360" s="1022">
        <v>0</v>
      </c>
      <c r="Q360" s="1187">
        <f t="shared" si="13"/>
        <v>138.2269</v>
      </c>
      <c r="R360" s="926">
        <v>0</v>
      </c>
      <c r="S360" s="1025">
        <v>0</v>
      </c>
      <c r="T360" s="1018">
        <v>0</v>
      </c>
      <c r="U360" s="1019">
        <v>0</v>
      </c>
      <c r="V360" s="1025">
        <v>0</v>
      </c>
      <c r="W360" s="902">
        <v>0</v>
      </c>
      <c r="X360" s="596">
        <v>0</v>
      </c>
      <c r="Y360" s="596">
        <v>0</v>
      </c>
      <c r="Z360" s="596">
        <v>0</v>
      </c>
      <c r="AA360" s="904">
        <v>0</v>
      </c>
      <c r="AB360" s="694" t="s">
        <v>84</v>
      </c>
      <c r="AC360" s="907" t="s">
        <v>95</v>
      </c>
      <c r="AD360" s="1026" t="s">
        <v>321</v>
      </c>
      <c r="AE360" s="908" t="s">
        <v>92</v>
      </c>
      <c r="AF360" s="1027" t="s">
        <v>101</v>
      </c>
      <c r="AG360" s="928" t="s">
        <v>212</v>
      </c>
      <c r="AH360" s="928"/>
    </row>
    <row r="361" spans="1:34" ht="25.5" outlineLevel="1" x14ac:dyDescent="0.25">
      <c r="A361" s="2496" t="s">
        <v>1102</v>
      </c>
      <c r="B361" s="2497" t="s">
        <v>87</v>
      </c>
      <c r="C361" s="2498" t="s">
        <v>1103</v>
      </c>
      <c r="D361" s="219" t="s">
        <v>1602</v>
      </c>
      <c r="E361" s="2499" t="s">
        <v>303</v>
      </c>
      <c r="F361" s="2499" t="s">
        <v>303</v>
      </c>
      <c r="G361" s="2500">
        <v>700</v>
      </c>
      <c r="H361" s="2501">
        <v>0</v>
      </c>
      <c r="I361" s="2502">
        <v>0</v>
      </c>
      <c r="J361" s="2503">
        <v>0</v>
      </c>
      <c r="K361" s="2504">
        <v>0</v>
      </c>
      <c r="L361" s="2505">
        <v>0</v>
      </c>
      <c r="M361" s="2506">
        <v>0</v>
      </c>
      <c r="N361" s="2507">
        <v>0</v>
      </c>
      <c r="O361" s="2414">
        <v>700</v>
      </c>
      <c r="P361" s="2508">
        <v>-700</v>
      </c>
      <c r="Q361" s="2508">
        <f t="shared" si="13"/>
        <v>0</v>
      </c>
      <c r="R361" s="270">
        <v>700</v>
      </c>
      <c r="S361" s="2511">
        <v>0</v>
      </c>
      <c r="T361" s="2505">
        <v>0</v>
      </c>
      <c r="U361" s="2506">
        <v>0</v>
      </c>
      <c r="V361" s="2511">
        <v>0</v>
      </c>
      <c r="W361" s="2417">
        <v>0</v>
      </c>
      <c r="X361" s="1816">
        <v>0</v>
      </c>
      <c r="Y361" s="1816">
        <v>0</v>
      </c>
      <c r="Z361" s="1816">
        <v>0</v>
      </c>
      <c r="AA361" s="2416">
        <v>0</v>
      </c>
      <c r="AB361" s="386" t="s">
        <v>2042</v>
      </c>
      <c r="AC361" s="572" t="s">
        <v>11</v>
      </c>
      <c r="AD361" s="2512" t="s">
        <v>321</v>
      </c>
      <c r="AE361" s="2513" t="s">
        <v>91</v>
      </c>
      <c r="AF361" s="1156" t="s">
        <v>101</v>
      </c>
      <c r="AG361" s="2499" t="s">
        <v>210</v>
      </c>
      <c r="AH361" s="2499"/>
    </row>
    <row r="362" spans="1:34" ht="25.5" outlineLevel="1" x14ac:dyDescent="0.25">
      <c r="A362" s="2473" t="s">
        <v>1104</v>
      </c>
      <c r="B362" s="2474" t="s">
        <v>87</v>
      </c>
      <c r="C362" s="2475" t="s">
        <v>1105</v>
      </c>
      <c r="D362" s="639" t="s">
        <v>1602</v>
      </c>
      <c r="E362" s="2476" t="s">
        <v>303</v>
      </c>
      <c r="F362" s="2476" t="s">
        <v>303</v>
      </c>
      <c r="G362" s="2477">
        <v>460</v>
      </c>
      <c r="H362" s="2478">
        <v>0</v>
      </c>
      <c r="I362" s="2479">
        <v>0</v>
      </c>
      <c r="J362" s="2480">
        <v>0</v>
      </c>
      <c r="K362" s="2481">
        <v>0</v>
      </c>
      <c r="L362" s="2482">
        <v>0</v>
      </c>
      <c r="M362" s="2483">
        <v>0</v>
      </c>
      <c r="N362" s="2484">
        <v>460</v>
      </c>
      <c r="O362" s="2485">
        <v>230</v>
      </c>
      <c r="P362" s="2486">
        <v>230</v>
      </c>
      <c r="Q362" s="2487">
        <f t="shared" si="13"/>
        <v>460</v>
      </c>
      <c r="R362" s="2549">
        <v>0</v>
      </c>
      <c r="S362" s="2490">
        <v>0</v>
      </c>
      <c r="T362" s="2482">
        <v>0</v>
      </c>
      <c r="U362" s="2483">
        <v>0</v>
      </c>
      <c r="V362" s="2490">
        <v>0</v>
      </c>
      <c r="W362" s="2491">
        <v>0</v>
      </c>
      <c r="X362" s="2550">
        <v>0</v>
      </c>
      <c r="Y362" s="2550">
        <v>0</v>
      </c>
      <c r="Z362" s="2550">
        <v>0</v>
      </c>
      <c r="AA362" s="2551">
        <v>0</v>
      </c>
      <c r="AB362" s="1122" t="s">
        <v>2043</v>
      </c>
      <c r="AC362" s="1412" t="s">
        <v>11</v>
      </c>
      <c r="AD362" s="2494" t="s">
        <v>321</v>
      </c>
      <c r="AE362" s="2495" t="s">
        <v>91</v>
      </c>
      <c r="AF362" s="797" t="s">
        <v>101</v>
      </c>
      <c r="AG362" s="2476" t="s">
        <v>210</v>
      </c>
      <c r="AH362" s="2476"/>
    </row>
    <row r="363" spans="1:34" ht="31.5" outlineLevel="1" x14ac:dyDescent="0.25">
      <c r="A363" s="1008" t="s">
        <v>1106</v>
      </c>
      <c r="B363" s="1009" t="s">
        <v>87</v>
      </c>
      <c r="C363" s="1316" t="s">
        <v>1107</v>
      </c>
      <c r="D363" s="93" t="s">
        <v>1602</v>
      </c>
      <c r="E363" s="34" t="s">
        <v>43</v>
      </c>
      <c r="F363" s="34" t="s">
        <v>43</v>
      </c>
      <c r="G363" s="138">
        <v>1000</v>
      </c>
      <c r="H363" s="183">
        <v>0</v>
      </c>
      <c r="I363" s="1643">
        <v>0</v>
      </c>
      <c r="J363" s="1644">
        <v>0</v>
      </c>
      <c r="K363" s="1645">
        <v>0</v>
      </c>
      <c r="L363" s="1010">
        <v>0</v>
      </c>
      <c r="M363" s="314">
        <v>0</v>
      </c>
      <c r="N363" s="1317">
        <v>1000</v>
      </c>
      <c r="O363" s="1085">
        <v>1000</v>
      </c>
      <c r="P363" s="859">
        <v>0</v>
      </c>
      <c r="Q363" s="1537">
        <f t="shared" si="13"/>
        <v>1000</v>
      </c>
      <c r="R363" s="11">
        <v>0</v>
      </c>
      <c r="S363" s="329">
        <v>0</v>
      </c>
      <c r="T363" s="1010">
        <v>0</v>
      </c>
      <c r="U363" s="314">
        <v>0</v>
      </c>
      <c r="V363" s="329">
        <v>0</v>
      </c>
      <c r="W363" s="1012">
        <v>0</v>
      </c>
      <c r="X363" s="893">
        <v>0</v>
      </c>
      <c r="Y363" s="893">
        <v>0</v>
      </c>
      <c r="Z363" s="893">
        <v>0</v>
      </c>
      <c r="AA363" s="328">
        <v>0</v>
      </c>
      <c r="AB363" s="35" t="s">
        <v>84</v>
      </c>
      <c r="AC363" s="313" t="s">
        <v>13</v>
      </c>
      <c r="AD363" s="1401" t="s">
        <v>321</v>
      </c>
      <c r="AE363" s="1402" t="s">
        <v>92</v>
      </c>
      <c r="AF363" s="406" t="s">
        <v>101</v>
      </c>
      <c r="AG363" s="34" t="s">
        <v>218</v>
      </c>
      <c r="AH363" s="34"/>
    </row>
    <row r="364" spans="1:34" ht="31.5" outlineLevel="1" x14ac:dyDescent="0.25">
      <c r="A364" s="1008" t="s">
        <v>1108</v>
      </c>
      <c r="B364" s="1009" t="s">
        <v>87</v>
      </c>
      <c r="C364" s="1316" t="s">
        <v>1112</v>
      </c>
      <c r="D364" s="93" t="s">
        <v>1602</v>
      </c>
      <c r="E364" s="34" t="s">
        <v>241</v>
      </c>
      <c r="F364" s="34" t="s">
        <v>241</v>
      </c>
      <c r="G364" s="138">
        <v>6900</v>
      </c>
      <c r="H364" s="183">
        <v>0</v>
      </c>
      <c r="I364" s="1643">
        <v>0</v>
      </c>
      <c r="J364" s="1644">
        <v>0</v>
      </c>
      <c r="K364" s="1645">
        <v>0</v>
      </c>
      <c r="L364" s="1010">
        <v>0</v>
      </c>
      <c r="M364" s="314">
        <v>0</v>
      </c>
      <c r="N364" s="1317">
        <v>700</v>
      </c>
      <c r="O364" s="1085">
        <v>700</v>
      </c>
      <c r="P364" s="859">
        <v>0</v>
      </c>
      <c r="Q364" s="1537">
        <f t="shared" si="13"/>
        <v>700</v>
      </c>
      <c r="R364" s="11">
        <v>6200</v>
      </c>
      <c r="S364" s="329">
        <v>0</v>
      </c>
      <c r="T364" s="1010">
        <v>0</v>
      </c>
      <c r="U364" s="314">
        <v>0</v>
      </c>
      <c r="V364" s="329">
        <v>0</v>
      </c>
      <c r="W364" s="1012">
        <v>0</v>
      </c>
      <c r="X364" s="893">
        <v>0</v>
      </c>
      <c r="Y364" s="893">
        <v>0</v>
      </c>
      <c r="Z364" s="893">
        <v>0</v>
      </c>
      <c r="AA364" s="328">
        <v>0</v>
      </c>
      <c r="AB364" s="35" t="s">
        <v>84</v>
      </c>
      <c r="AC364" s="313" t="s">
        <v>11</v>
      </c>
      <c r="AD364" s="1401" t="s">
        <v>321</v>
      </c>
      <c r="AE364" s="1402" t="s">
        <v>91</v>
      </c>
      <c r="AF364" s="406" t="s">
        <v>101</v>
      </c>
      <c r="AG364" s="34" t="s">
        <v>796</v>
      </c>
      <c r="AH364" s="34"/>
    </row>
    <row r="365" spans="1:34" ht="31.5" outlineLevel="1" x14ac:dyDescent="0.25">
      <c r="A365" s="876" t="s">
        <v>1109</v>
      </c>
      <c r="B365" s="998" t="s">
        <v>87</v>
      </c>
      <c r="C365" s="1314" t="s">
        <v>1114</v>
      </c>
      <c r="D365" s="95" t="s">
        <v>1602</v>
      </c>
      <c r="E365" s="514" t="s">
        <v>241</v>
      </c>
      <c r="F365" s="514" t="s">
        <v>241</v>
      </c>
      <c r="G365" s="110">
        <v>810</v>
      </c>
      <c r="H365" s="181">
        <v>0</v>
      </c>
      <c r="I365" s="1637">
        <v>0</v>
      </c>
      <c r="J365" s="1638">
        <v>0</v>
      </c>
      <c r="K365" s="1639">
        <v>0</v>
      </c>
      <c r="L365" s="408">
        <v>0</v>
      </c>
      <c r="M365" s="100">
        <v>0</v>
      </c>
      <c r="N365" s="100">
        <v>810</v>
      </c>
      <c r="O365" s="844">
        <v>810</v>
      </c>
      <c r="P365" s="856">
        <v>0</v>
      </c>
      <c r="Q365" s="848">
        <f t="shared" si="13"/>
        <v>810</v>
      </c>
      <c r="R365" s="11">
        <v>0</v>
      </c>
      <c r="S365" s="113">
        <v>0</v>
      </c>
      <c r="T365" s="408">
        <v>0</v>
      </c>
      <c r="U365" s="100">
        <v>0</v>
      </c>
      <c r="V365" s="113">
        <v>0</v>
      </c>
      <c r="W365" s="411">
        <v>0</v>
      </c>
      <c r="X365" s="752">
        <v>0</v>
      </c>
      <c r="Y365" s="752">
        <v>0</v>
      </c>
      <c r="Z365" s="752">
        <v>0</v>
      </c>
      <c r="AA365" s="135">
        <v>0</v>
      </c>
      <c r="AB365" s="95" t="s">
        <v>84</v>
      </c>
      <c r="AC365" s="111" t="s">
        <v>13</v>
      </c>
      <c r="AD365" s="1407" t="s">
        <v>321</v>
      </c>
      <c r="AE365" s="1277" t="s">
        <v>92</v>
      </c>
      <c r="AF365" s="515" t="s">
        <v>101</v>
      </c>
      <c r="AG365" s="514" t="s">
        <v>796</v>
      </c>
      <c r="AH365" s="514"/>
    </row>
    <row r="366" spans="1:34" ht="25.5" outlineLevel="1" x14ac:dyDescent="0.25">
      <c r="A366" s="2496" t="s">
        <v>1110</v>
      </c>
      <c r="B366" s="2497" t="s">
        <v>87</v>
      </c>
      <c r="C366" s="2498" t="s">
        <v>1117</v>
      </c>
      <c r="D366" s="219" t="s">
        <v>1602</v>
      </c>
      <c r="E366" s="2499" t="s">
        <v>241</v>
      </c>
      <c r="F366" s="2499" t="s">
        <v>241</v>
      </c>
      <c r="G366" s="2500">
        <v>6500</v>
      </c>
      <c r="H366" s="2501">
        <v>0</v>
      </c>
      <c r="I366" s="2502">
        <v>0</v>
      </c>
      <c r="J366" s="2503">
        <v>0</v>
      </c>
      <c r="K366" s="2504">
        <v>0</v>
      </c>
      <c r="L366" s="2505">
        <v>0</v>
      </c>
      <c r="M366" s="2506">
        <v>0</v>
      </c>
      <c r="N366" s="2507">
        <v>300</v>
      </c>
      <c r="O366" s="2414">
        <v>6500</v>
      </c>
      <c r="P366" s="2508">
        <v>-6200</v>
      </c>
      <c r="Q366" s="2508">
        <f t="shared" si="13"/>
        <v>300</v>
      </c>
      <c r="R366" s="270">
        <v>6200</v>
      </c>
      <c r="S366" s="2511">
        <v>0</v>
      </c>
      <c r="T366" s="2505">
        <v>0</v>
      </c>
      <c r="U366" s="2506">
        <v>0</v>
      </c>
      <c r="V366" s="2511">
        <v>0</v>
      </c>
      <c r="W366" s="2417">
        <v>0</v>
      </c>
      <c r="X366" s="1816">
        <v>0</v>
      </c>
      <c r="Y366" s="1816">
        <v>0</v>
      </c>
      <c r="Z366" s="1816">
        <v>0</v>
      </c>
      <c r="AA366" s="2416">
        <v>0</v>
      </c>
      <c r="AB366" s="386" t="s">
        <v>2010</v>
      </c>
      <c r="AC366" s="572" t="s">
        <v>13</v>
      </c>
      <c r="AD366" s="2512" t="s">
        <v>758</v>
      </c>
      <c r="AE366" s="2513" t="s">
        <v>92</v>
      </c>
      <c r="AF366" s="1156" t="s">
        <v>101</v>
      </c>
      <c r="AG366" s="2499" t="s">
        <v>796</v>
      </c>
      <c r="AH366" s="2499"/>
    </row>
    <row r="367" spans="1:34" ht="25.5" outlineLevel="1" x14ac:dyDescent="0.25">
      <c r="A367" s="1008" t="s">
        <v>1111</v>
      </c>
      <c r="B367" s="1009" t="s">
        <v>1551</v>
      </c>
      <c r="C367" s="1316" t="s">
        <v>1118</v>
      </c>
      <c r="D367" s="93" t="s">
        <v>1300</v>
      </c>
      <c r="E367" s="34" t="s">
        <v>241</v>
      </c>
      <c r="F367" s="34" t="s">
        <v>241</v>
      </c>
      <c r="G367" s="138">
        <v>200</v>
      </c>
      <c r="H367" s="183">
        <v>0</v>
      </c>
      <c r="I367" s="1643">
        <v>0</v>
      </c>
      <c r="J367" s="1644">
        <v>183.41376</v>
      </c>
      <c r="K367" s="1645">
        <v>0</v>
      </c>
      <c r="L367" s="1010">
        <v>0</v>
      </c>
      <c r="M367" s="314">
        <v>183.41376</v>
      </c>
      <c r="N367" s="1317">
        <v>16.586240000000004</v>
      </c>
      <c r="O367" s="1085">
        <v>200</v>
      </c>
      <c r="P367" s="859">
        <v>0</v>
      </c>
      <c r="Q367" s="1537">
        <f t="shared" si="13"/>
        <v>200</v>
      </c>
      <c r="R367" s="11">
        <v>0</v>
      </c>
      <c r="S367" s="329">
        <v>0</v>
      </c>
      <c r="T367" s="1010">
        <v>0</v>
      </c>
      <c r="U367" s="314">
        <v>0</v>
      </c>
      <c r="V367" s="329">
        <v>0</v>
      </c>
      <c r="W367" s="1012">
        <v>0</v>
      </c>
      <c r="X367" s="893">
        <v>0</v>
      </c>
      <c r="Y367" s="893">
        <v>0</v>
      </c>
      <c r="Z367" s="893">
        <v>0</v>
      </c>
      <c r="AA367" s="328">
        <v>0</v>
      </c>
      <c r="AB367" s="35" t="s">
        <v>84</v>
      </c>
      <c r="AC367" s="313" t="s">
        <v>13</v>
      </c>
      <c r="AD367" s="1401" t="s">
        <v>321</v>
      </c>
      <c r="AE367" s="1402" t="s">
        <v>92</v>
      </c>
      <c r="AF367" s="406" t="s">
        <v>101</v>
      </c>
      <c r="AG367" s="34" t="s">
        <v>796</v>
      </c>
      <c r="AH367" s="34"/>
    </row>
    <row r="368" spans="1:34" ht="31.5" outlineLevel="1" x14ac:dyDescent="0.25">
      <c r="A368" s="1008" t="s">
        <v>1113</v>
      </c>
      <c r="B368" s="1009" t="s">
        <v>1689</v>
      </c>
      <c r="C368" s="1316" t="s">
        <v>1119</v>
      </c>
      <c r="D368" s="93" t="s">
        <v>1602</v>
      </c>
      <c r="E368" s="34" t="s">
        <v>241</v>
      </c>
      <c r="F368" s="34" t="s">
        <v>241</v>
      </c>
      <c r="G368" s="138">
        <v>544.5</v>
      </c>
      <c r="H368" s="183">
        <v>0</v>
      </c>
      <c r="I368" s="1643">
        <v>0</v>
      </c>
      <c r="J368" s="1644">
        <v>0</v>
      </c>
      <c r="K368" s="1645">
        <v>532.71020999999996</v>
      </c>
      <c r="L368" s="1010">
        <v>0</v>
      </c>
      <c r="M368" s="314">
        <f>532.71021-532.71021</f>
        <v>0</v>
      </c>
      <c r="N368" s="1317">
        <f>11.78979+532.71021</f>
        <v>544.5</v>
      </c>
      <c r="O368" s="1085">
        <v>544.5</v>
      </c>
      <c r="P368" s="859">
        <v>0</v>
      </c>
      <c r="Q368" s="1537">
        <f t="shared" si="13"/>
        <v>544.5</v>
      </c>
      <c r="R368" s="11">
        <v>0</v>
      </c>
      <c r="S368" s="329">
        <v>0</v>
      </c>
      <c r="T368" s="1010">
        <v>0</v>
      </c>
      <c r="U368" s="314">
        <v>0</v>
      </c>
      <c r="V368" s="329">
        <v>0</v>
      </c>
      <c r="W368" s="1012">
        <v>0</v>
      </c>
      <c r="X368" s="893">
        <v>0</v>
      </c>
      <c r="Y368" s="893">
        <v>0</v>
      </c>
      <c r="Z368" s="893">
        <v>0</v>
      </c>
      <c r="AA368" s="328">
        <v>0</v>
      </c>
      <c r="AB368" s="35" t="s">
        <v>84</v>
      </c>
      <c r="AC368" s="313" t="s">
        <v>13</v>
      </c>
      <c r="AD368" s="1401" t="s">
        <v>321</v>
      </c>
      <c r="AE368" s="1402" t="s">
        <v>92</v>
      </c>
      <c r="AF368" s="406" t="s">
        <v>101</v>
      </c>
      <c r="AG368" s="34" t="s">
        <v>796</v>
      </c>
      <c r="AH368" s="34"/>
    </row>
    <row r="369" spans="1:34" ht="47.25" outlineLevel="1" x14ac:dyDescent="0.25">
      <c r="A369" s="1008" t="s">
        <v>1115</v>
      </c>
      <c r="B369" s="1009" t="s">
        <v>1427</v>
      </c>
      <c r="C369" s="1316" t="s">
        <v>1552</v>
      </c>
      <c r="D369" s="93" t="s">
        <v>1602</v>
      </c>
      <c r="E369" s="34" t="s">
        <v>241</v>
      </c>
      <c r="F369" s="34" t="s">
        <v>241</v>
      </c>
      <c r="G369" s="138">
        <v>13000</v>
      </c>
      <c r="H369" s="183">
        <v>0</v>
      </c>
      <c r="I369" s="1643">
        <v>0</v>
      </c>
      <c r="J369" s="1644">
        <v>457.38</v>
      </c>
      <c r="K369" s="1645">
        <v>10</v>
      </c>
      <c r="L369" s="1010">
        <v>0</v>
      </c>
      <c r="M369" s="314">
        <v>457.38</v>
      </c>
      <c r="N369" s="1317">
        <v>2542.62</v>
      </c>
      <c r="O369" s="1085">
        <v>3000</v>
      </c>
      <c r="P369" s="859">
        <v>0</v>
      </c>
      <c r="Q369" s="1537">
        <f t="shared" si="13"/>
        <v>3000</v>
      </c>
      <c r="R369" s="11">
        <v>10000</v>
      </c>
      <c r="S369" s="329">
        <v>0</v>
      </c>
      <c r="T369" s="1010">
        <v>0</v>
      </c>
      <c r="U369" s="314">
        <v>0</v>
      </c>
      <c r="V369" s="329">
        <v>0</v>
      </c>
      <c r="W369" s="1012">
        <v>0</v>
      </c>
      <c r="X369" s="893">
        <v>0</v>
      </c>
      <c r="Y369" s="893">
        <v>0</v>
      </c>
      <c r="Z369" s="893">
        <v>0</v>
      </c>
      <c r="AA369" s="328">
        <v>0</v>
      </c>
      <c r="AB369" s="35" t="s">
        <v>84</v>
      </c>
      <c r="AC369" s="313" t="s">
        <v>11</v>
      </c>
      <c r="AD369" s="1401" t="s">
        <v>321</v>
      </c>
      <c r="AE369" s="1402" t="s">
        <v>91</v>
      </c>
      <c r="AF369" s="406" t="s">
        <v>101</v>
      </c>
      <c r="AG369" s="34" t="s">
        <v>796</v>
      </c>
      <c r="AH369" s="34"/>
    </row>
    <row r="370" spans="1:34" ht="26.25" outlineLevel="1" thickBot="1" x14ac:dyDescent="0.3">
      <c r="A370" s="199" t="s">
        <v>1116</v>
      </c>
      <c r="B370" s="1179" t="s">
        <v>1688</v>
      </c>
      <c r="C370" s="1180" t="s">
        <v>1120</v>
      </c>
      <c r="D370" s="151" t="s">
        <v>1602</v>
      </c>
      <c r="E370" s="160" t="s">
        <v>343</v>
      </c>
      <c r="F370" s="160" t="s">
        <v>343</v>
      </c>
      <c r="G370" s="200">
        <v>169.99289999999999</v>
      </c>
      <c r="H370" s="1065">
        <v>0</v>
      </c>
      <c r="I370" s="891">
        <v>0</v>
      </c>
      <c r="J370" s="892">
        <v>0</v>
      </c>
      <c r="K370" s="1216">
        <v>169.99289999999999</v>
      </c>
      <c r="L370" s="295">
        <v>0</v>
      </c>
      <c r="M370" s="242">
        <v>0</v>
      </c>
      <c r="N370" s="1181">
        <v>169.99289999999999</v>
      </c>
      <c r="O370" s="1182">
        <v>170</v>
      </c>
      <c r="P370" s="1183">
        <v>-7.1000000000000004E-3</v>
      </c>
      <c r="Q370" s="1197">
        <f t="shared" si="13"/>
        <v>169.99289999999999</v>
      </c>
      <c r="R370" s="693">
        <v>0</v>
      </c>
      <c r="S370" s="234">
        <v>0</v>
      </c>
      <c r="T370" s="295">
        <v>0</v>
      </c>
      <c r="U370" s="242">
        <v>0</v>
      </c>
      <c r="V370" s="234">
        <v>0</v>
      </c>
      <c r="W370" s="562">
        <v>0</v>
      </c>
      <c r="X370" s="573">
        <v>0</v>
      </c>
      <c r="Y370" s="634">
        <v>0</v>
      </c>
      <c r="Z370" s="634">
        <v>0</v>
      </c>
      <c r="AA370" s="460">
        <v>0</v>
      </c>
      <c r="AB370" s="73" t="s">
        <v>84</v>
      </c>
      <c r="AC370" s="696" t="s">
        <v>95</v>
      </c>
      <c r="AD370" s="1184" t="s">
        <v>321</v>
      </c>
      <c r="AE370" s="201" t="s">
        <v>92</v>
      </c>
      <c r="AF370" s="78" t="s">
        <v>101</v>
      </c>
      <c r="AG370" s="160" t="s">
        <v>220</v>
      </c>
      <c r="AH370" s="160"/>
    </row>
    <row r="371" spans="1:34" ht="31.5" outlineLevel="1" x14ac:dyDescent="0.25">
      <c r="A371" s="1118" t="s">
        <v>1170</v>
      </c>
      <c r="B371" s="1119" t="s">
        <v>1553</v>
      </c>
      <c r="C371" s="1315" t="s">
        <v>41</v>
      </c>
      <c r="D371" s="93" t="s">
        <v>1592</v>
      </c>
      <c r="E371" s="482" t="s">
        <v>7</v>
      </c>
      <c r="F371" s="482" t="s">
        <v>7</v>
      </c>
      <c r="G371" s="114">
        <v>2000</v>
      </c>
      <c r="H371" s="546">
        <v>0</v>
      </c>
      <c r="I371" s="1640">
        <v>0</v>
      </c>
      <c r="J371" s="1641">
        <v>60.5</v>
      </c>
      <c r="K371" s="1642">
        <v>0</v>
      </c>
      <c r="L371" s="765">
        <v>0</v>
      </c>
      <c r="M371" s="236">
        <v>60.5</v>
      </c>
      <c r="N371" s="188">
        <v>1939.5</v>
      </c>
      <c r="O371" s="1146">
        <v>2000</v>
      </c>
      <c r="P371" s="1084">
        <v>0</v>
      </c>
      <c r="Q371" s="1536">
        <f t="shared" si="13"/>
        <v>2000</v>
      </c>
      <c r="R371" s="13">
        <v>0</v>
      </c>
      <c r="S371" s="149">
        <v>0</v>
      </c>
      <c r="T371" s="765">
        <v>0</v>
      </c>
      <c r="U371" s="236">
        <v>0</v>
      </c>
      <c r="V371" s="149">
        <v>0</v>
      </c>
      <c r="W371" s="521">
        <v>0</v>
      </c>
      <c r="X371" s="452">
        <v>0</v>
      </c>
      <c r="Y371" s="893">
        <v>0</v>
      </c>
      <c r="Z371" s="893">
        <v>0</v>
      </c>
      <c r="AA371" s="757">
        <v>0</v>
      </c>
      <c r="AB371" s="479" t="s">
        <v>84</v>
      </c>
      <c r="AC371" s="590" t="s">
        <v>32</v>
      </c>
      <c r="AD371" s="46" t="s">
        <v>321</v>
      </c>
      <c r="AE371" s="1409" t="s">
        <v>91</v>
      </c>
      <c r="AF371" s="172" t="s">
        <v>101</v>
      </c>
      <c r="AG371" s="482" t="s">
        <v>531</v>
      </c>
      <c r="AH371" s="482"/>
    </row>
    <row r="372" spans="1:34" ht="25.5" outlineLevel="1" x14ac:dyDescent="0.25">
      <c r="A372" s="1008" t="s">
        <v>1171</v>
      </c>
      <c r="B372" s="1009" t="s">
        <v>87</v>
      </c>
      <c r="C372" s="1316" t="s">
        <v>1172</v>
      </c>
      <c r="D372" s="93" t="s">
        <v>1592</v>
      </c>
      <c r="E372" s="34" t="s">
        <v>120</v>
      </c>
      <c r="F372" s="34" t="s">
        <v>120</v>
      </c>
      <c r="G372" s="138">
        <v>2990</v>
      </c>
      <c r="H372" s="183">
        <v>0</v>
      </c>
      <c r="I372" s="1643">
        <v>0</v>
      </c>
      <c r="J372" s="1644">
        <v>0</v>
      </c>
      <c r="K372" s="1645">
        <v>0</v>
      </c>
      <c r="L372" s="1010">
        <v>0</v>
      </c>
      <c r="M372" s="314">
        <v>0</v>
      </c>
      <c r="N372" s="1317">
        <v>0</v>
      </c>
      <c r="O372" s="1085">
        <v>0</v>
      </c>
      <c r="P372" s="859">
        <v>0</v>
      </c>
      <c r="Q372" s="1537">
        <f t="shared" si="13"/>
        <v>0</v>
      </c>
      <c r="R372" s="11">
        <v>2990</v>
      </c>
      <c r="S372" s="329">
        <v>0</v>
      </c>
      <c r="T372" s="1010">
        <v>0</v>
      </c>
      <c r="U372" s="314">
        <v>0</v>
      </c>
      <c r="V372" s="329">
        <v>0</v>
      </c>
      <c r="W372" s="1012">
        <v>0</v>
      </c>
      <c r="X372" s="240">
        <v>0</v>
      </c>
      <c r="Y372" s="752">
        <v>0</v>
      </c>
      <c r="Z372" s="752">
        <v>0</v>
      </c>
      <c r="AA372" s="328">
        <v>0</v>
      </c>
      <c r="AB372" s="35" t="s">
        <v>84</v>
      </c>
      <c r="AC372" s="313" t="s">
        <v>9</v>
      </c>
      <c r="AD372" s="1401" t="s">
        <v>321</v>
      </c>
      <c r="AE372" s="1402" t="s">
        <v>91</v>
      </c>
      <c r="AF372" s="406" t="s">
        <v>101</v>
      </c>
      <c r="AG372" s="34" t="s">
        <v>217</v>
      </c>
      <c r="AH372" s="34"/>
    </row>
    <row r="373" spans="1:34" ht="25.5" outlineLevel="1" x14ac:dyDescent="0.25">
      <c r="A373" s="2496" t="s">
        <v>1173</v>
      </c>
      <c r="B373" s="2497" t="s">
        <v>87</v>
      </c>
      <c r="C373" s="2498" t="s">
        <v>1174</v>
      </c>
      <c r="D373" s="219" t="s">
        <v>1592</v>
      </c>
      <c r="E373" s="2499" t="s">
        <v>120</v>
      </c>
      <c r="F373" s="2499" t="s">
        <v>120</v>
      </c>
      <c r="G373" s="2500">
        <v>2950</v>
      </c>
      <c r="H373" s="2501">
        <v>0</v>
      </c>
      <c r="I373" s="2502">
        <v>0</v>
      </c>
      <c r="J373" s="2503">
        <v>0</v>
      </c>
      <c r="K373" s="2504">
        <v>0</v>
      </c>
      <c r="L373" s="2505">
        <v>0</v>
      </c>
      <c r="M373" s="2506">
        <v>0</v>
      </c>
      <c r="N373" s="2507">
        <v>0</v>
      </c>
      <c r="O373" s="2414">
        <v>295</v>
      </c>
      <c r="P373" s="2508">
        <v>-295</v>
      </c>
      <c r="Q373" s="2508">
        <f t="shared" si="13"/>
        <v>0</v>
      </c>
      <c r="R373" s="270">
        <v>295</v>
      </c>
      <c r="S373" s="2511">
        <v>2655</v>
      </c>
      <c r="T373" s="2505">
        <v>0</v>
      </c>
      <c r="U373" s="2506">
        <v>0</v>
      </c>
      <c r="V373" s="2511">
        <v>0</v>
      </c>
      <c r="W373" s="2417">
        <v>0</v>
      </c>
      <c r="X373" s="571">
        <v>0</v>
      </c>
      <c r="Y373" s="1897">
        <v>0</v>
      </c>
      <c r="Z373" s="1897">
        <v>0</v>
      </c>
      <c r="AA373" s="2416">
        <v>0</v>
      </c>
      <c r="AB373" s="386" t="s">
        <v>2011</v>
      </c>
      <c r="AC373" s="572" t="s">
        <v>11</v>
      </c>
      <c r="AD373" s="2512" t="s">
        <v>321</v>
      </c>
      <c r="AE373" s="2513" t="s">
        <v>91</v>
      </c>
      <c r="AF373" s="1156" t="s">
        <v>101</v>
      </c>
      <c r="AG373" s="2499" t="s">
        <v>217</v>
      </c>
      <c r="AH373" s="2499"/>
    </row>
    <row r="374" spans="1:34" ht="25.5" outlineLevel="1" x14ac:dyDescent="0.25">
      <c r="A374" s="1008" t="s">
        <v>1175</v>
      </c>
      <c r="B374" s="1009" t="s">
        <v>87</v>
      </c>
      <c r="C374" s="1316" t="s">
        <v>1176</v>
      </c>
      <c r="D374" s="95" t="s">
        <v>1592</v>
      </c>
      <c r="E374" s="34" t="s">
        <v>120</v>
      </c>
      <c r="F374" s="34" t="s">
        <v>120</v>
      </c>
      <c r="G374" s="138">
        <v>1210</v>
      </c>
      <c r="H374" s="183">
        <v>0</v>
      </c>
      <c r="I374" s="1643">
        <v>0</v>
      </c>
      <c r="J374" s="1644">
        <v>0</v>
      </c>
      <c r="K374" s="1645">
        <v>0</v>
      </c>
      <c r="L374" s="1010">
        <v>0</v>
      </c>
      <c r="M374" s="314">
        <v>0</v>
      </c>
      <c r="N374" s="1317">
        <v>1210</v>
      </c>
      <c r="O374" s="1085">
        <v>1210</v>
      </c>
      <c r="P374" s="859">
        <v>0</v>
      </c>
      <c r="Q374" s="1537">
        <f t="shared" si="13"/>
        <v>1210</v>
      </c>
      <c r="R374" s="11">
        <v>0</v>
      </c>
      <c r="S374" s="329">
        <v>0</v>
      </c>
      <c r="T374" s="1010">
        <v>0</v>
      </c>
      <c r="U374" s="314">
        <v>0</v>
      </c>
      <c r="V374" s="329">
        <v>0</v>
      </c>
      <c r="W374" s="1012">
        <v>0</v>
      </c>
      <c r="X374" s="240">
        <v>0</v>
      </c>
      <c r="Y374" s="752">
        <v>0</v>
      </c>
      <c r="Z374" s="752">
        <v>0</v>
      </c>
      <c r="AA374" s="328">
        <v>0</v>
      </c>
      <c r="AB374" s="35" t="s">
        <v>84</v>
      </c>
      <c r="AC374" s="313" t="s">
        <v>13</v>
      </c>
      <c r="AD374" s="1401" t="s">
        <v>321</v>
      </c>
      <c r="AE374" s="1402" t="s">
        <v>92</v>
      </c>
      <c r="AF374" s="406" t="s">
        <v>101</v>
      </c>
      <c r="AG374" s="34" t="s">
        <v>217</v>
      </c>
      <c r="AH374" s="34"/>
    </row>
    <row r="375" spans="1:34" ht="31.5" outlineLevel="1" x14ac:dyDescent="0.25">
      <c r="A375" s="1008" t="s">
        <v>1177</v>
      </c>
      <c r="B375" s="1009" t="s">
        <v>87</v>
      </c>
      <c r="C375" s="1316" t="s">
        <v>1178</v>
      </c>
      <c r="D375" s="93" t="s">
        <v>1592</v>
      </c>
      <c r="E375" s="34" t="s">
        <v>309</v>
      </c>
      <c r="F375" s="34" t="s">
        <v>309</v>
      </c>
      <c r="G375" s="138">
        <v>181</v>
      </c>
      <c r="H375" s="183">
        <v>0</v>
      </c>
      <c r="I375" s="1643">
        <v>0</v>
      </c>
      <c r="J375" s="1644">
        <v>0</v>
      </c>
      <c r="K375" s="1645">
        <v>0</v>
      </c>
      <c r="L375" s="1010">
        <v>0</v>
      </c>
      <c r="M375" s="314">
        <v>0</v>
      </c>
      <c r="N375" s="1317">
        <v>181</v>
      </c>
      <c r="O375" s="1085">
        <v>181</v>
      </c>
      <c r="P375" s="859">
        <v>0</v>
      </c>
      <c r="Q375" s="1537">
        <f t="shared" si="13"/>
        <v>181</v>
      </c>
      <c r="R375" s="11">
        <v>0</v>
      </c>
      <c r="S375" s="329">
        <v>0</v>
      </c>
      <c r="T375" s="1010">
        <v>0</v>
      </c>
      <c r="U375" s="314">
        <v>0</v>
      </c>
      <c r="V375" s="329">
        <v>0</v>
      </c>
      <c r="W375" s="1012">
        <v>0</v>
      </c>
      <c r="X375" s="240">
        <v>0</v>
      </c>
      <c r="Y375" s="752">
        <v>0</v>
      </c>
      <c r="Z375" s="752">
        <v>0</v>
      </c>
      <c r="AA375" s="328">
        <v>0</v>
      </c>
      <c r="AB375" s="35" t="s">
        <v>84</v>
      </c>
      <c r="AC375" s="313" t="s">
        <v>13</v>
      </c>
      <c r="AD375" s="1401" t="s">
        <v>321</v>
      </c>
      <c r="AE375" s="1402" t="s">
        <v>92</v>
      </c>
      <c r="AF375" s="406" t="s">
        <v>101</v>
      </c>
      <c r="AG375" s="34" t="s">
        <v>211</v>
      </c>
      <c r="AH375" s="34"/>
    </row>
    <row r="376" spans="1:34" ht="31.5" outlineLevel="1" x14ac:dyDescent="0.25">
      <c r="A376" s="1008" t="s">
        <v>1179</v>
      </c>
      <c r="B376" s="1009" t="s">
        <v>87</v>
      </c>
      <c r="C376" s="1316" t="s">
        <v>1180</v>
      </c>
      <c r="D376" s="95" t="s">
        <v>1592</v>
      </c>
      <c r="E376" s="34" t="s">
        <v>649</v>
      </c>
      <c r="F376" s="34" t="s">
        <v>649</v>
      </c>
      <c r="G376" s="138">
        <v>375.65</v>
      </c>
      <c r="H376" s="183">
        <v>0</v>
      </c>
      <c r="I376" s="1643">
        <v>0</v>
      </c>
      <c r="J376" s="1644">
        <v>0</v>
      </c>
      <c r="K376" s="1645">
        <v>0</v>
      </c>
      <c r="L376" s="1010">
        <v>0</v>
      </c>
      <c r="M376" s="314">
        <v>0</v>
      </c>
      <c r="N376" s="1317">
        <v>375.65</v>
      </c>
      <c r="O376" s="1085">
        <v>375.65</v>
      </c>
      <c r="P376" s="859">
        <v>0</v>
      </c>
      <c r="Q376" s="1537">
        <f t="shared" si="13"/>
        <v>375.65</v>
      </c>
      <c r="R376" s="11">
        <v>0</v>
      </c>
      <c r="S376" s="329">
        <v>0</v>
      </c>
      <c r="T376" s="1010">
        <v>0</v>
      </c>
      <c r="U376" s="314">
        <v>0</v>
      </c>
      <c r="V376" s="329">
        <v>0</v>
      </c>
      <c r="W376" s="1012">
        <v>0</v>
      </c>
      <c r="X376" s="240">
        <v>0</v>
      </c>
      <c r="Y376" s="752">
        <v>0</v>
      </c>
      <c r="Z376" s="752">
        <v>0</v>
      </c>
      <c r="AA376" s="328">
        <v>0</v>
      </c>
      <c r="AB376" s="35" t="s">
        <v>84</v>
      </c>
      <c r="AC376" s="313" t="s">
        <v>13</v>
      </c>
      <c r="AD376" s="1401" t="s">
        <v>321</v>
      </c>
      <c r="AE376" s="1402" t="s">
        <v>91</v>
      </c>
      <c r="AF376" s="406" t="s">
        <v>101</v>
      </c>
      <c r="AG376" s="34" t="s">
        <v>217</v>
      </c>
      <c r="AH376" s="34"/>
    </row>
    <row r="377" spans="1:34" ht="25.5" outlineLevel="1" x14ac:dyDescent="0.25">
      <c r="A377" s="1008" t="s">
        <v>1181</v>
      </c>
      <c r="B377" s="1009" t="s">
        <v>87</v>
      </c>
      <c r="C377" s="1316" t="s">
        <v>1182</v>
      </c>
      <c r="D377" s="93" t="s">
        <v>1592</v>
      </c>
      <c r="E377" s="34" t="s">
        <v>649</v>
      </c>
      <c r="F377" s="34" t="s">
        <v>649</v>
      </c>
      <c r="G377" s="138">
        <v>1750</v>
      </c>
      <c r="H377" s="183">
        <v>0</v>
      </c>
      <c r="I377" s="1643">
        <v>0</v>
      </c>
      <c r="J377" s="1644">
        <v>0</v>
      </c>
      <c r="K377" s="1645">
        <v>0</v>
      </c>
      <c r="L377" s="1010">
        <v>0</v>
      </c>
      <c r="M377" s="314">
        <v>0</v>
      </c>
      <c r="N377" s="1317">
        <v>150</v>
      </c>
      <c r="O377" s="1085">
        <v>150</v>
      </c>
      <c r="P377" s="859">
        <v>0</v>
      </c>
      <c r="Q377" s="1537">
        <f t="shared" si="13"/>
        <v>150</v>
      </c>
      <c r="R377" s="11">
        <v>300</v>
      </c>
      <c r="S377" s="329">
        <v>1300</v>
      </c>
      <c r="T377" s="1010">
        <v>0</v>
      </c>
      <c r="U377" s="314">
        <v>0</v>
      </c>
      <c r="V377" s="329">
        <v>0</v>
      </c>
      <c r="W377" s="1012">
        <v>0</v>
      </c>
      <c r="X377" s="240">
        <v>0</v>
      </c>
      <c r="Y377" s="752">
        <v>0</v>
      </c>
      <c r="Z377" s="752">
        <v>0</v>
      </c>
      <c r="AA377" s="328">
        <v>0</v>
      </c>
      <c r="AB377" s="35" t="s">
        <v>84</v>
      </c>
      <c r="AC377" s="313" t="s">
        <v>11</v>
      </c>
      <c r="AD377" s="1401" t="s">
        <v>321</v>
      </c>
      <c r="AE377" s="1402" t="s">
        <v>92</v>
      </c>
      <c r="AF377" s="406" t="s">
        <v>101</v>
      </c>
      <c r="AG377" s="34" t="s">
        <v>217</v>
      </c>
      <c r="AH377" s="34"/>
    </row>
    <row r="378" spans="1:34" ht="25.5" outlineLevel="1" x14ac:dyDescent="0.25">
      <c r="A378" s="1008" t="s">
        <v>1183</v>
      </c>
      <c r="B378" s="1009" t="s">
        <v>87</v>
      </c>
      <c r="C378" s="1316" t="s">
        <v>1184</v>
      </c>
      <c r="D378" s="95" t="s">
        <v>1592</v>
      </c>
      <c r="E378" s="34" t="s">
        <v>649</v>
      </c>
      <c r="F378" s="34" t="s">
        <v>649</v>
      </c>
      <c r="G378" s="138">
        <v>726</v>
      </c>
      <c r="H378" s="183">
        <v>0</v>
      </c>
      <c r="I378" s="1643">
        <v>0</v>
      </c>
      <c r="J378" s="1644">
        <v>0</v>
      </c>
      <c r="K378" s="1645">
        <v>0</v>
      </c>
      <c r="L378" s="1010">
        <v>0</v>
      </c>
      <c r="M378" s="314">
        <v>0</v>
      </c>
      <c r="N378" s="1317">
        <v>726</v>
      </c>
      <c r="O378" s="1085">
        <v>726</v>
      </c>
      <c r="P378" s="859">
        <v>0</v>
      </c>
      <c r="Q378" s="1537">
        <f t="shared" si="13"/>
        <v>726</v>
      </c>
      <c r="R378" s="11">
        <v>0</v>
      </c>
      <c r="S378" s="329">
        <v>0</v>
      </c>
      <c r="T378" s="1010">
        <v>0</v>
      </c>
      <c r="U378" s="314">
        <v>0</v>
      </c>
      <c r="V378" s="329">
        <v>0</v>
      </c>
      <c r="W378" s="1012">
        <v>0</v>
      </c>
      <c r="X378" s="240">
        <v>0</v>
      </c>
      <c r="Y378" s="752">
        <v>0</v>
      </c>
      <c r="Z378" s="752">
        <v>0</v>
      </c>
      <c r="AA378" s="328">
        <v>0</v>
      </c>
      <c r="AB378" s="35" t="s">
        <v>84</v>
      </c>
      <c r="AC378" s="313" t="s">
        <v>11</v>
      </c>
      <c r="AD378" s="1401" t="s">
        <v>321</v>
      </c>
      <c r="AE378" s="1402" t="s">
        <v>91</v>
      </c>
      <c r="AF378" s="406" t="s">
        <v>101</v>
      </c>
      <c r="AG378" s="34" t="s">
        <v>217</v>
      </c>
      <c r="AH378" s="34"/>
    </row>
    <row r="379" spans="1:34" ht="31.5" outlineLevel="1" x14ac:dyDescent="0.25">
      <c r="A379" s="1008" t="s">
        <v>1185</v>
      </c>
      <c r="B379" s="1009" t="s">
        <v>87</v>
      </c>
      <c r="C379" s="1316" t="s">
        <v>1186</v>
      </c>
      <c r="D379" s="93" t="s">
        <v>1592</v>
      </c>
      <c r="E379" s="34" t="s">
        <v>649</v>
      </c>
      <c r="F379" s="34" t="s">
        <v>649</v>
      </c>
      <c r="G379" s="138">
        <v>200</v>
      </c>
      <c r="H379" s="183">
        <v>0</v>
      </c>
      <c r="I379" s="1643">
        <v>0</v>
      </c>
      <c r="J379" s="1644">
        <v>0</v>
      </c>
      <c r="K379" s="1645">
        <v>0</v>
      </c>
      <c r="L379" s="1010">
        <v>0</v>
      </c>
      <c r="M379" s="314">
        <v>0</v>
      </c>
      <c r="N379" s="1317">
        <v>200</v>
      </c>
      <c r="O379" s="1085">
        <v>200</v>
      </c>
      <c r="P379" s="1469">
        <v>0</v>
      </c>
      <c r="Q379" s="1537">
        <f t="shared" si="13"/>
        <v>200</v>
      </c>
      <c r="R379" s="11">
        <v>0</v>
      </c>
      <c r="S379" s="329">
        <v>0</v>
      </c>
      <c r="T379" s="1010">
        <v>0</v>
      </c>
      <c r="U379" s="314">
        <v>0</v>
      </c>
      <c r="V379" s="329">
        <v>0</v>
      </c>
      <c r="W379" s="1012">
        <v>0</v>
      </c>
      <c r="X379" s="240">
        <v>0</v>
      </c>
      <c r="Y379" s="752">
        <v>0</v>
      </c>
      <c r="Z379" s="752">
        <v>0</v>
      </c>
      <c r="AA379" s="328">
        <v>0</v>
      </c>
      <c r="AB379" s="35" t="s">
        <v>84</v>
      </c>
      <c r="AC379" s="313" t="s">
        <v>11</v>
      </c>
      <c r="AD379" s="1401" t="s">
        <v>321</v>
      </c>
      <c r="AE379" s="1402" t="s">
        <v>91</v>
      </c>
      <c r="AF379" s="406" t="s">
        <v>101</v>
      </c>
      <c r="AG379" s="34" t="s">
        <v>217</v>
      </c>
      <c r="AH379" s="34"/>
    </row>
    <row r="380" spans="1:34" ht="47.25" outlineLevel="1" x14ac:dyDescent="0.25">
      <c r="A380" s="2496" t="s">
        <v>1187</v>
      </c>
      <c r="B380" s="2497" t="s">
        <v>1554</v>
      </c>
      <c r="C380" s="2498" t="s">
        <v>1188</v>
      </c>
      <c r="D380" s="220" t="s">
        <v>1592</v>
      </c>
      <c r="E380" s="2499" t="s">
        <v>38</v>
      </c>
      <c r="F380" s="2499" t="s">
        <v>38</v>
      </c>
      <c r="G380" s="2500">
        <v>5749</v>
      </c>
      <c r="H380" s="2501">
        <v>0</v>
      </c>
      <c r="I380" s="2502">
        <v>0</v>
      </c>
      <c r="J380" s="2503">
        <v>50.018380000000001</v>
      </c>
      <c r="K380" s="2504">
        <v>0</v>
      </c>
      <c r="L380" s="2505">
        <v>0</v>
      </c>
      <c r="M380" s="2506">
        <v>50.018380000000001</v>
      </c>
      <c r="N380" s="2507">
        <v>0</v>
      </c>
      <c r="O380" s="2414">
        <v>5749</v>
      </c>
      <c r="P380" s="2507">
        <v>-5698.9816199999996</v>
      </c>
      <c r="Q380" s="2508">
        <f t="shared" si="13"/>
        <v>50.018380000000434</v>
      </c>
      <c r="R380" s="270">
        <v>5698.9816199999996</v>
      </c>
      <c r="S380" s="2511">
        <v>0</v>
      </c>
      <c r="T380" s="2505">
        <v>0</v>
      </c>
      <c r="U380" s="2506">
        <v>0</v>
      </c>
      <c r="V380" s="2511">
        <v>0</v>
      </c>
      <c r="W380" s="2417">
        <v>0</v>
      </c>
      <c r="X380" s="571">
        <v>0</v>
      </c>
      <c r="Y380" s="1897">
        <v>0</v>
      </c>
      <c r="Z380" s="1897">
        <v>0</v>
      </c>
      <c r="AA380" s="2416">
        <v>0</v>
      </c>
      <c r="AB380" s="386" t="s">
        <v>2012</v>
      </c>
      <c r="AC380" s="572" t="s">
        <v>13</v>
      </c>
      <c r="AD380" s="2512" t="s">
        <v>627</v>
      </c>
      <c r="AE380" s="2513" t="s">
        <v>92</v>
      </c>
      <c r="AF380" s="1156" t="s">
        <v>101</v>
      </c>
      <c r="AG380" s="2499" t="s">
        <v>212</v>
      </c>
      <c r="AH380" s="2499"/>
    </row>
    <row r="381" spans="1:34" ht="25.5" outlineLevel="1" x14ac:dyDescent="0.25">
      <c r="A381" s="1008" t="s">
        <v>1189</v>
      </c>
      <c r="B381" s="1009" t="s">
        <v>87</v>
      </c>
      <c r="C381" s="1316" t="s">
        <v>340</v>
      </c>
      <c r="D381" s="93" t="s">
        <v>1592</v>
      </c>
      <c r="E381" s="34" t="s">
        <v>241</v>
      </c>
      <c r="F381" s="34" t="s">
        <v>241</v>
      </c>
      <c r="G381" s="138">
        <v>10562.5</v>
      </c>
      <c r="H381" s="183">
        <v>0</v>
      </c>
      <c r="I381" s="1643">
        <v>0</v>
      </c>
      <c r="J381" s="1644">
        <v>0</v>
      </c>
      <c r="K381" s="1645">
        <v>0</v>
      </c>
      <c r="L381" s="1010">
        <v>0</v>
      </c>
      <c r="M381" s="314">
        <v>0</v>
      </c>
      <c r="N381" s="1317">
        <v>0</v>
      </c>
      <c r="O381" s="1085">
        <v>0</v>
      </c>
      <c r="P381" s="859">
        <v>0</v>
      </c>
      <c r="Q381" s="1537">
        <f t="shared" si="13"/>
        <v>0</v>
      </c>
      <c r="R381" s="11">
        <v>0</v>
      </c>
      <c r="S381" s="329">
        <v>10562.5</v>
      </c>
      <c r="T381" s="1010">
        <v>0</v>
      </c>
      <c r="U381" s="314">
        <v>0</v>
      </c>
      <c r="V381" s="329">
        <v>0</v>
      </c>
      <c r="W381" s="1012">
        <v>0</v>
      </c>
      <c r="X381" s="240">
        <v>0</v>
      </c>
      <c r="Y381" s="752">
        <v>0</v>
      </c>
      <c r="Z381" s="752">
        <v>0</v>
      </c>
      <c r="AA381" s="328">
        <v>0</v>
      </c>
      <c r="AB381" s="35" t="s">
        <v>84</v>
      </c>
      <c r="AC381" s="313" t="s">
        <v>11</v>
      </c>
      <c r="AD381" s="1401" t="s">
        <v>321</v>
      </c>
      <c r="AE381" s="1402" t="s">
        <v>91</v>
      </c>
      <c r="AF381" s="406" t="s">
        <v>102</v>
      </c>
      <c r="AG381" s="34" t="s">
        <v>796</v>
      </c>
      <c r="AH381" s="34"/>
    </row>
    <row r="382" spans="1:34" ht="25.5" outlineLevel="1" x14ac:dyDescent="0.25">
      <c r="A382" s="1008" t="s">
        <v>1190</v>
      </c>
      <c r="B382" s="1009" t="s">
        <v>87</v>
      </c>
      <c r="C382" s="1316" t="s">
        <v>1191</v>
      </c>
      <c r="D382" s="95" t="s">
        <v>1592</v>
      </c>
      <c r="E382" s="34" t="s">
        <v>241</v>
      </c>
      <c r="F382" s="34" t="s">
        <v>241</v>
      </c>
      <c r="G382" s="138">
        <v>300</v>
      </c>
      <c r="H382" s="183">
        <v>0</v>
      </c>
      <c r="I382" s="1643">
        <v>0</v>
      </c>
      <c r="J382" s="1644">
        <v>0</v>
      </c>
      <c r="K382" s="1645">
        <v>0</v>
      </c>
      <c r="L382" s="1010">
        <v>0</v>
      </c>
      <c r="M382" s="314">
        <v>0</v>
      </c>
      <c r="N382" s="1317">
        <v>300</v>
      </c>
      <c r="O382" s="1085">
        <v>300</v>
      </c>
      <c r="P382" s="859">
        <v>0</v>
      </c>
      <c r="Q382" s="1537">
        <f t="shared" si="13"/>
        <v>300</v>
      </c>
      <c r="R382" s="11">
        <v>0</v>
      </c>
      <c r="S382" s="329">
        <v>0</v>
      </c>
      <c r="T382" s="1010">
        <v>0</v>
      </c>
      <c r="U382" s="314">
        <v>0</v>
      </c>
      <c r="V382" s="329">
        <v>0</v>
      </c>
      <c r="W382" s="1012">
        <v>0</v>
      </c>
      <c r="X382" s="240">
        <v>0</v>
      </c>
      <c r="Y382" s="752">
        <v>0</v>
      </c>
      <c r="Z382" s="752">
        <v>0</v>
      </c>
      <c r="AA382" s="328">
        <v>0</v>
      </c>
      <c r="AB382" s="35" t="s">
        <v>84</v>
      </c>
      <c r="AC382" s="313" t="s">
        <v>13</v>
      </c>
      <c r="AD382" s="1401" t="s">
        <v>321</v>
      </c>
      <c r="AE382" s="1402" t="s">
        <v>92</v>
      </c>
      <c r="AF382" s="406" t="s">
        <v>101</v>
      </c>
      <c r="AG382" s="34" t="s">
        <v>796</v>
      </c>
      <c r="AH382" s="34"/>
    </row>
    <row r="383" spans="1:34" ht="25.5" outlineLevel="1" x14ac:dyDescent="0.25">
      <c r="A383" s="1008" t="s">
        <v>1192</v>
      </c>
      <c r="B383" s="1009" t="s">
        <v>87</v>
      </c>
      <c r="C383" s="1316" t="s">
        <v>1193</v>
      </c>
      <c r="D383" s="93" t="s">
        <v>1592</v>
      </c>
      <c r="E383" s="34" t="s">
        <v>241</v>
      </c>
      <c r="F383" s="34" t="s">
        <v>241</v>
      </c>
      <c r="G383" s="138">
        <v>1300</v>
      </c>
      <c r="H383" s="183">
        <v>0</v>
      </c>
      <c r="I383" s="1643">
        <v>0</v>
      </c>
      <c r="J383" s="1644">
        <v>0</v>
      </c>
      <c r="K383" s="1645">
        <v>0</v>
      </c>
      <c r="L383" s="1010">
        <v>0</v>
      </c>
      <c r="M383" s="314">
        <v>0</v>
      </c>
      <c r="N383" s="1317">
        <v>1300</v>
      </c>
      <c r="O383" s="1085">
        <v>1300</v>
      </c>
      <c r="P383" s="859">
        <v>0</v>
      </c>
      <c r="Q383" s="1537">
        <f t="shared" si="13"/>
        <v>1300</v>
      </c>
      <c r="R383" s="11">
        <v>0</v>
      </c>
      <c r="S383" s="329">
        <v>0</v>
      </c>
      <c r="T383" s="1010">
        <v>0</v>
      </c>
      <c r="U383" s="314">
        <v>0</v>
      </c>
      <c r="V383" s="329">
        <v>0</v>
      </c>
      <c r="W383" s="1012">
        <v>0</v>
      </c>
      <c r="X383" s="240">
        <v>0</v>
      </c>
      <c r="Y383" s="752">
        <v>0</v>
      </c>
      <c r="Z383" s="752">
        <v>0</v>
      </c>
      <c r="AA383" s="328">
        <v>0</v>
      </c>
      <c r="AB383" s="35" t="s">
        <v>84</v>
      </c>
      <c r="AC383" s="313" t="s">
        <v>13</v>
      </c>
      <c r="AD383" s="1401" t="s">
        <v>321</v>
      </c>
      <c r="AE383" s="1402" t="s">
        <v>92</v>
      </c>
      <c r="AF383" s="406" t="s">
        <v>101</v>
      </c>
      <c r="AG383" s="34" t="s">
        <v>796</v>
      </c>
      <c r="AH383" s="34"/>
    </row>
    <row r="384" spans="1:34" ht="25.5" outlineLevel="1" x14ac:dyDescent="0.25">
      <c r="A384" s="1008" t="s">
        <v>1194</v>
      </c>
      <c r="B384" s="1009" t="s">
        <v>87</v>
      </c>
      <c r="C384" s="1316" t="s">
        <v>1195</v>
      </c>
      <c r="D384" s="95" t="s">
        <v>1592</v>
      </c>
      <c r="E384" s="34" t="s">
        <v>241</v>
      </c>
      <c r="F384" s="34" t="s">
        <v>241</v>
      </c>
      <c r="G384" s="138">
        <v>250</v>
      </c>
      <c r="H384" s="183">
        <v>0</v>
      </c>
      <c r="I384" s="1643">
        <v>0</v>
      </c>
      <c r="J384" s="1644">
        <v>0</v>
      </c>
      <c r="K384" s="1645">
        <v>0</v>
      </c>
      <c r="L384" s="1010">
        <v>0</v>
      </c>
      <c r="M384" s="314">
        <v>0</v>
      </c>
      <c r="N384" s="1317">
        <v>250</v>
      </c>
      <c r="O384" s="1085">
        <v>250</v>
      </c>
      <c r="P384" s="859">
        <v>0</v>
      </c>
      <c r="Q384" s="1537">
        <f t="shared" si="13"/>
        <v>250</v>
      </c>
      <c r="R384" s="11">
        <v>0</v>
      </c>
      <c r="S384" s="329">
        <v>0</v>
      </c>
      <c r="T384" s="1010">
        <v>0</v>
      </c>
      <c r="U384" s="314">
        <v>0</v>
      </c>
      <c r="V384" s="329">
        <v>0</v>
      </c>
      <c r="W384" s="1012">
        <v>0</v>
      </c>
      <c r="X384" s="240">
        <v>0</v>
      </c>
      <c r="Y384" s="752">
        <v>0</v>
      </c>
      <c r="Z384" s="752">
        <v>0</v>
      </c>
      <c r="AA384" s="328">
        <v>0</v>
      </c>
      <c r="AB384" s="35" t="s">
        <v>84</v>
      </c>
      <c r="AC384" s="313" t="s">
        <v>13</v>
      </c>
      <c r="AD384" s="1401" t="s">
        <v>321</v>
      </c>
      <c r="AE384" s="1402" t="s">
        <v>92</v>
      </c>
      <c r="AF384" s="406" t="s">
        <v>101</v>
      </c>
      <c r="AG384" s="34" t="s">
        <v>796</v>
      </c>
      <c r="AH384" s="34"/>
    </row>
    <row r="385" spans="1:34" ht="31.5" outlineLevel="1" x14ac:dyDescent="0.25">
      <c r="A385" s="1008" t="s">
        <v>1196</v>
      </c>
      <c r="B385" s="1009" t="s">
        <v>87</v>
      </c>
      <c r="C385" s="1316" t="s">
        <v>1197</v>
      </c>
      <c r="D385" s="93" t="s">
        <v>1592</v>
      </c>
      <c r="E385" s="34" t="s">
        <v>42</v>
      </c>
      <c r="F385" s="34" t="s">
        <v>42</v>
      </c>
      <c r="G385" s="138">
        <v>478.31299999999999</v>
      </c>
      <c r="H385" s="183">
        <v>0</v>
      </c>
      <c r="I385" s="1643">
        <v>0</v>
      </c>
      <c r="J385" s="1644">
        <v>0</v>
      </c>
      <c r="K385" s="1645">
        <v>0</v>
      </c>
      <c r="L385" s="1010">
        <v>0</v>
      </c>
      <c r="M385" s="314">
        <v>0</v>
      </c>
      <c r="N385" s="1317">
        <v>478.31299999999999</v>
      </c>
      <c r="O385" s="1085">
        <v>478.31299999999999</v>
      </c>
      <c r="P385" s="859">
        <v>0</v>
      </c>
      <c r="Q385" s="1537">
        <f t="shared" si="13"/>
        <v>478.31299999999999</v>
      </c>
      <c r="R385" s="11">
        <v>0</v>
      </c>
      <c r="S385" s="329">
        <v>0</v>
      </c>
      <c r="T385" s="1010">
        <v>0</v>
      </c>
      <c r="U385" s="314">
        <v>0</v>
      </c>
      <c r="V385" s="329">
        <v>0</v>
      </c>
      <c r="W385" s="1012">
        <v>0</v>
      </c>
      <c r="X385" s="240">
        <v>0</v>
      </c>
      <c r="Y385" s="752">
        <v>0</v>
      </c>
      <c r="Z385" s="752">
        <v>0</v>
      </c>
      <c r="AA385" s="328">
        <v>0</v>
      </c>
      <c r="AB385" s="35" t="s">
        <v>84</v>
      </c>
      <c r="AC385" s="313" t="s">
        <v>13</v>
      </c>
      <c r="AD385" s="1401" t="s">
        <v>321</v>
      </c>
      <c r="AE385" s="1402" t="s">
        <v>92</v>
      </c>
      <c r="AF385" s="406" t="s">
        <v>101</v>
      </c>
      <c r="AG385" s="34" t="s">
        <v>204</v>
      </c>
      <c r="AH385" s="34"/>
    </row>
    <row r="386" spans="1:34" ht="25.5" outlineLevel="1" x14ac:dyDescent="0.25">
      <c r="A386" s="1008" t="s">
        <v>1198</v>
      </c>
      <c r="B386" s="1009" t="s">
        <v>87</v>
      </c>
      <c r="C386" s="1316" t="s">
        <v>1199</v>
      </c>
      <c r="D386" s="95" t="s">
        <v>1592</v>
      </c>
      <c r="E386" s="34" t="s">
        <v>42</v>
      </c>
      <c r="F386" s="34" t="s">
        <v>42</v>
      </c>
      <c r="G386" s="138">
        <v>370.26</v>
      </c>
      <c r="H386" s="183">
        <v>0</v>
      </c>
      <c r="I386" s="1643">
        <v>0</v>
      </c>
      <c r="J386" s="1644">
        <v>0</v>
      </c>
      <c r="K386" s="1645">
        <v>0</v>
      </c>
      <c r="L386" s="1010">
        <v>0</v>
      </c>
      <c r="M386" s="314">
        <v>0</v>
      </c>
      <c r="N386" s="1317">
        <v>370.26</v>
      </c>
      <c r="O386" s="1085">
        <v>370.26</v>
      </c>
      <c r="P386" s="859">
        <v>0</v>
      </c>
      <c r="Q386" s="1537">
        <f t="shared" si="13"/>
        <v>370.26</v>
      </c>
      <c r="R386" s="11">
        <v>0</v>
      </c>
      <c r="S386" s="329">
        <v>0</v>
      </c>
      <c r="T386" s="1010">
        <v>0</v>
      </c>
      <c r="U386" s="314">
        <v>0</v>
      </c>
      <c r="V386" s="329">
        <v>0</v>
      </c>
      <c r="W386" s="1012">
        <v>0</v>
      </c>
      <c r="X386" s="240">
        <v>0</v>
      </c>
      <c r="Y386" s="752">
        <v>0</v>
      </c>
      <c r="Z386" s="752">
        <v>0</v>
      </c>
      <c r="AA386" s="328">
        <v>0</v>
      </c>
      <c r="AB386" s="35" t="s">
        <v>84</v>
      </c>
      <c r="AC386" s="313" t="s">
        <v>13</v>
      </c>
      <c r="AD386" s="1401" t="s">
        <v>321</v>
      </c>
      <c r="AE386" s="1402" t="s">
        <v>92</v>
      </c>
      <c r="AF386" s="406" t="s">
        <v>101</v>
      </c>
      <c r="AG386" s="34" t="s">
        <v>204</v>
      </c>
      <c r="AH386" s="34"/>
    </row>
    <row r="387" spans="1:34" ht="31.5" outlineLevel="1" x14ac:dyDescent="0.25">
      <c r="A387" s="1008" t="s">
        <v>1200</v>
      </c>
      <c r="B387" s="1009" t="s">
        <v>87</v>
      </c>
      <c r="C387" s="1316" t="s">
        <v>1201</v>
      </c>
      <c r="D387" s="93" t="s">
        <v>1592</v>
      </c>
      <c r="E387" s="34" t="s">
        <v>42</v>
      </c>
      <c r="F387" s="34" t="s">
        <v>42</v>
      </c>
      <c r="G387" s="138">
        <v>290.39999999999998</v>
      </c>
      <c r="H387" s="183">
        <v>0</v>
      </c>
      <c r="I387" s="1643">
        <v>0</v>
      </c>
      <c r="J387" s="1644">
        <v>0</v>
      </c>
      <c r="K387" s="1645">
        <v>0</v>
      </c>
      <c r="L387" s="1010">
        <v>0</v>
      </c>
      <c r="M387" s="314">
        <v>0</v>
      </c>
      <c r="N387" s="1317">
        <v>290.39999999999998</v>
      </c>
      <c r="O387" s="1085">
        <v>290.39999999999998</v>
      </c>
      <c r="P387" s="859">
        <v>0</v>
      </c>
      <c r="Q387" s="1537">
        <f t="shared" si="13"/>
        <v>290.39999999999998</v>
      </c>
      <c r="R387" s="11">
        <v>0</v>
      </c>
      <c r="S387" s="329">
        <v>0</v>
      </c>
      <c r="T387" s="1010">
        <v>0</v>
      </c>
      <c r="U387" s="314">
        <v>0</v>
      </c>
      <c r="V387" s="329">
        <v>0</v>
      </c>
      <c r="W387" s="1012">
        <v>0</v>
      </c>
      <c r="X387" s="240">
        <v>0</v>
      </c>
      <c r="Y387" s="752">
        <v>0</v>
      </c>
      <c r="Z387" s="752">
        <v>0</v>
      </c>
      <c r="AA387" s="328">
        <v>0</v>
      </c>
      <c r="AB387" s="35" t="s">
        <v>84</v>
      </c>
      <c r="AC387" s="313" t="s">
        <v>13</v>
      </c>
      <c r="AD387" s="1401" t="s">
        <v>321</v>
      </c>
      <c r="AE387" s="1402" t="s">
        <v>92</v>
      </c>
      <c r="AF387" s="406" t="s">
        <v>101</v>
      </c>
      <c r="AG387" s="34" t="s">
        <v>204</v>
      </c>
      <c r="AH387" s="34"/>
    </row>
    <row r="388" spans="1:34" ht="25.5" outlineLevel="1" x14ac:dyDescent="0.25">
      <c r="A388" s="1008" t="s">
        <v>1202</v>
      </c>
      <c r="B388" s="1009" t="s">
        <v>87</v>
      </c>
      <c r="C388" s="1316" t="s">
        <v>1203</v>
      </c>
      <c r="D388" s="95" t="s">
        <v>1592</v>
      </c>
      <c r="E388" s="34" t="s">
        <v>42</v>
      </c>
      <c r="F388" s="34" t="s">
        <v>42</v>
      </c>
      <c r="G388" s="138">
        <v>1015.999</v>
      </c>
      <c r="H388" s="183">
        <v>0</v>
      </c>
      <c r="I388" s="1643">
        <v>0</v>
      </c>
      <c r="J388" s="1644">
        <v>0</v>
      </c>
      <c r="K388" s="1645">
        <v>0</v>
      </c>
      <c r="L388" s="1010">
        <v>0</v>
      </c>
      <c r="M388" s="314">
        <v>0</v>
      </c>
      <c r="N388" s="1317">
        <v>1015.999</v>
      </c>
      <c r="O388" s="1085">
        <v>1015.999</v>
      </c>
      <c r="P388" s="859">
        <v>0</v>
      </c>
      <c r="Q388" s="1537">
        <f t="shared" si="13"/>
        <v>1015.999</v>
      </c>
      <c r="R388" s="11">
        <v>0</v>
      </c>
      <c r="S388" s="329">
        <v>0</v>
      </c>
      <c r="T388" s="1010">
        <v>0</v>
      </c>
      <c r="U388" s="314">
        <v>0</v>
      </c>
      <c r="V388" s="329">
        <v>0</v>
      </c>
      <c r="W388" s="1012">
        <v>0</v>
      </c>
      <c r="X388" s="240">
        <v>0</v>
      </c>
      <c r="Y388" s="752">
        <v>0</v>
      </c>
      <c r="Z388" s="752">
        <v>0</v>
      </c>
      <c r="AA388" s="328">
        <v>0</v>
      </c>
      <c r="AB388" s="35" t="s">
        <v>84</v>
      </c>
      <c r="AC388" s="313" t="s">
        <v>13</v>
      </c>
      <c r="AD388" s="1401" t="s">
        <v>321</v>
      </c>
      <c r="AE388" s="1402" t="s">
        <v>92</v>
      </c>
      <c r="AF388" s="406" t="s">
        <v>101</v>
      </c>
      <c r="AG388" s="34" t="s">
        <v>204</v>
      </c>
      <c r="AH388" s="34"/>
    </row>
    <row r="389" spans="1:34" ht="25.5" outlineLevel="1" x14ac:dyDescent="0.25">
      <c r="A389" s="1032" t="s">
        <v>1204</v>
      </c>
      <c r="B389" s="1033" t="s">
        <v>1690</v>
      </c>
      <c r="C389" s="1185" t="s">
        <v>1205</v>
      </c>
      <c r="D389" s="245" t="s">
        <v>1592</v>
      </c>
      <c r="E389" s="946" t="s">
        <v>42</v>
      </c>
      <c r="F389" s="946" t="s">
        <v>42</v>
      </c>
      <c r="G389" s="1034">
        <v>94.094999999999999</v>
      </c>
      <c r="H389" s="1063">
        <v>0</v>
      </c>
      <c r="I389" s="1016">
        <v>0</v>
      </c>
      <c r="J389" s="1017">
        <v>0</v>
      </c>
      <c r="K389" s="1263">
        <v>94.094999999999999</v>
      </c>
      <c r="L389" s="1035">
        <v>0</v>
      </c>
      <c r="M389" s="1036">
        <v>0</v>
      </c>
      <c r="N389" s="1037">
        <v>94.094999999999999</v>
      </c>
      <c r="O389" s="1038">
        <v>95.105999999999995</v>
      </c>
      <c r="P389" s="1039">
        <v>-1.0109999999999999</v>
      </c>
      <c r="Q389" s="1548">
        <f t="shared" si="13"/>
        <v>94.094999999999999</v>
      </c>
      <c r="R389" s="937">
        <v>0</v>
      </c>
      <c r="S389" s="1042">
        <v>0</v>
      </c>
      <c r="T389" s="1035">
        <v>0</v>
      </c>
      <c r="U389" s="1036">
        <v>0</v>
      </c>
      <c r="V389" s="1042">
        <v>0</v>
      </c>
      <c r="W389" s="912">
        <v>0</v>
      </c>
      <c r="X389" s="931">
        <v>0</v>
      </c>
      <c r="Y389" s="942">
        <v>0</v>
      </c>
      <c r="Z389" s="942">
        <v>0</v>
      </c>
      <c r="AA389" s="913">
        <v>0</v>
      </c>
      <c r="AB389" s="910" t="s">
        <v>527</v>
      </c>
      <c r="AC389" s="767" t="s">
        <v>95</v>
      </c>
      <c r="AD389" s="1043" t="s">
        <v>321</v>
      </c>
      <c r="AE389" s="921" t="s">
        <v>92</v>
      </c>
      <c r="AF389" s="1044" t="s">
        <v>101</v>
      </c>
      <c r="AG389" s="946" t="s">
        <v>204</v>
      </c>
      <c r="AH389" s="946"/>
    </row>
    <row r="390" spans="1:34" ht="25.5" outlineLevel="1" x14ac:dyDescent="0.25">
      <c r="A390" s="1008" t="s">
        <v>1206</v>
      </c>
      <c r="B390" s="1009" t="s">
        <v>87</v>
      </c>
      <c r="C390" s="1316" t="s">
        <v>1207</v>
      </c>
      <c r="D390" s="95" t="s">
        <v>1592</v>
      </c>
      <c r="E390" s="34" t="s">
        <v>42</v>
      </c>
      <c r="F390" s="34" t="s">
        <v>42</v>
      </c>
      <c r="G390" s="138">
        <v>191.18</v>
      </c>
      <c r="H390" s="183">
        <v>0</v>
      </c>
      <c r="I390" s="1643">
        <v>0</v>
      </c>
      <c r="J390" s="1644">
        <v>0</v>
      </c>
      <c r="K390" s="1645">
        <v>0</v>
      </c>
      <c r="L390" s="1010">
        <v>0</v>
      </c>
      <c r="M390" s="314">
        <v>0</v>
      </c>
      <c r="N390" s="1317">
        <v>191.18</v>
      </c>
      <c r="O390" s="1085">
        <v>191.18</v>
      </c>
      <c r="P390" s="859">
        <v>0</v>
      </c>
      <c r="Q390" s="1537">
        <f t="shared" si="13"/>
        <v>191.18</v>
      </c>
      <c r="R390" s="11">
        <v>0</v>
      </c>
      <c r="S390" s="329">
        <v>0</v>
      </c>
      <c r="T390" s="1010">
        <v>0</v>
      </c>
      <c r="U390" s="314">
        <v>0</v>
      </c>
      <c r="V390" s="329">
        <v>0</v>
      </c>
      <c r="W390" s="1012">
        <v>0</v>
      </c>
      <c r="X390" s="240">
        <v>0</v>
      </c>
      <c r="Y390" s="752">
        <v>0</v>
      </c>
      <c r="Z390" s="752">
        <v>0</v>
      </c>
      <c r="AA390" s="328">
        <v>0</v>
      </c>
      <c r="AB390" s="35" t="s">
        <v>84</v>
      </c>
      <c r="AC390" s="313" t="s">
        <v>11</v>
      </c>
      <c r="AD390" s="1401" t="s">
        <v>321</v>
      </c>
      <c r="AE390" s="1402" t="s">
        <v>91</v>
      </c>
      <c r="AF390" s="406" t="s">
        <v>101</v>
      </c>
      <c r="AG390" s="34" t="s">
        <v>204</v>
      </c>
      <c r="AH390" s="34"/>
    </row>
    <row r="391" spans="1:34" ht="31.5" outlineLevel="1" x14ac:dyDescent="0.25">
      <c r="A391" s="2496" t="s">
        <v>1208</v>
      </c>
      <c r="B391" s="2497" t="s">
        <v>87</v>
      </c>
      <c r="C391" s="2498" t="s">
        <v>1317</v>
      </c>
      <c r="D391" s="219" t="s">
        <v>1592</v>
      </c>
      <c r="E391" s="2499" t="s">
        <v>40</v>
      </c>
      <c r="F391" s="2499" t="s">
        <v>40</v>
      </c>
      <c r="G391" s="2500">
        <v>18700</v>
      </c>
      <c r="H391" s="2501">
        <v>0</v>
      </c>
      <c r="I391" s="2502">
        <v>0</v>
      </c>
      <c r="J391" s="2503">
        <v>0</v>
      </c>
      <c r="K391" s="2504">
        <v>0</v>
      </c>
      <c r="L391" s="2505">
        <v>0</v>
      </c>
      <c r="M391" s="2506">
        <v>0</v>
      </c>
      <c r="N391" s="2507">
        <v>310</v>
      </c>
      <c r="O391" s="2414">
        <v>6800</v>
      </c>
      <c r="P391" s="2508">
        <v>-6490</v>
      </c>
      <c r="Q391" s="2508">
        <f t="shared" si="13"/>
        <v>310</v>
      </c>
      <c r="R391" s="270">
        <v>18390</v>
      </c>
      <c r="S391" s="2511">
        <v>0</v>
      </c>
      <c r="T391" s="2505">
        <v>0</v>
      </c>
      <c r="U391" s="2506">
        <v>0</v>
      </c>
      <c r="V391" s="2511">
        <v>0</v>
      </c>
      <c r="W391" s="2417">
        <v>0</v>
      </c>
      <c r="X391" s="571">
        <v>0</v>
      </c>
      <c r="Y391" s="1897">
        <v>0</v>
      </c>
      <c r="Z391" s="1897">
        <v>0</v>
      </c>
      <c r="AA391" s="2416">
        <v>0</v>
      </c>
      <c r="AB391" s="386" t="s">
        <v>2044</v>
      </c>
      <c r="AC391" s="572" t="s">
        <v>11</v>
      </c>
      <c r="AD391" s="2512" t="s">
        <v>191</v>
      </c>
      <c r="AE391" s="2513" t="s">
        <v>91</v>
      </c>
      <c r="AF391" s="1156" t="s">
        <v>101</v>
      </c>
      <c r="AG391" s="2499" t="s">
        <v>218</v>
      </c>
      <c r="AH391" s="2499"/>
    </row>
    <row r="392" spans="1:34" ht="25.5" outlineLevel="1" x14ac:dyDescent="0.25">
      <c r="A392" s="2496" t="s">
        <v>1209</v>
      </c>
      <c r="B392" s="2497" t="s">
        <v>2013</v>
      </c>
      <c r="C392" s="2498" t="s">
        <v>1210</v>
      </c>
      <c r="D392" s="220" t="s">
        <v>1592</v>
      </c>
      <c r="E392" s="2499" t="s">
        <v>339</v>
      </c>
      <c r="F392" s="2499" t="s">
        <v>339</v>
      </c>
      <c r="G392" s="2500">
        <v>4000</v>
      </c>
      <c r="H392" s="2501">
        <v>0</v>
      </c>
      <c r="I392" s="2502">
        <v>0</v>
      </c>
      <c r="J392" s="2503">
        <v>0</v>
      </c>
      <c r="K392" s="2504">
        <v>60</v>
      </c>
      <c r="L392" s="2505">
        <v>0</v>
      </c>
      <c r="M392" s="2506">
        <v>0</v>
      </c>
      <c r="N392" s="2507">
        <v>200</v>
      </c>
      <c r="O392" s="2414">
        <v>4000</v>
      </c>
      <c r="P392" s="2508">
        <v>-3800</v>
      </c>
      <c r="Q392" s="2508">
        <f t="shared" si="13"/>
        <v>200</v>
      </c>
      <c r="R392" s="270">
        <v>3800</v>
      </c>
      <c r="S392" s="2511">
        <v>0</v>
      </c>
      <c r="T392" s="2505">
        <v>0</v>
      </c>
      <c r="U392" s="2506">
        <v>0</v>
      </c>
      <c r="V392" s="2511">
        <v>0</v>
      </c>
      <c r="W392" s="2417">
        <v>0</v>
      </c>
      <c r="X392" s="571">
        <v>0</v>
      </c>
      <c r="Y392" s="1897">
        <v>0</v>
      </c>
      <c r="Z392" s="1897">
        <v>0</v>
      </c>
      <c r="AA392" s="2416">
        <v>0</v>
      </c>
      <c r="AB392" s="386" t="s">
        <v>2014</v>
      </c>
      <c r="AC392" s="572" t="s">
        <v>11</v>
      </c>
      <c r="AD392" s="2512" t="s">
        <v>321</v>
      </c>
      <c r="AE392" s="2513" t="s">
        <v>91</v>
      </c>
      <c r="AF392" s="1156" t="s">
        <v>101</v>
      </c>
      <c r="AG392" s="2499" t="s">
        <v>215</v>
      </c>
      <c r="AH392" s="2499"/>
    </row>
    <row r="393" spans="1:34" ht="31.5" outlineLevel="1" x14ac:dyDescent="0.25">
      <c r="A393" s="1008" t="s">
        <v>1211</v>
      </c>
      <c r="B393" s="1009" t="s">
        <v>1692</v>
      </c>
      <c r="C393" s="1316" t="s">
        <v>1212</v>
      </c>
      <c r="D393" s="93" t="s">
        <v>1592</v>
      </c>
      <c r="E393" s="34" t="s">
        <v>339</v>
      </c>
      <c r="F393" s="34" t="s">
        <v>339</v>
      </c>
      <c r="G393" s="138">
        <v>100</v>
      </c>
      <c r="H393" s="183">
        <v>0</v>
      </c>
      <c r="I393" s="1643">
        <v>0</v>
      </c>
      <c r="J393" s="1644">
        <v>0</v>
      </c>
      <c r="K393" s="1645">
        <v>100</v>
      </c>
      <c r="L393" s="1010">
        <v>0</v>
      </c>
      <c r="M393" s="314">
        <v>0</v>
      </c>
      <c r="N393" s="1317">
        <v>100</v>
      </c>
      <c r="O393" s="1085">
        <v>100</v>
      </c>
      <c r="P393" s="859">
        <v>0</v>
      </c>
      <c r="Q393" s="1537">
        <f t="shared" si="13"/>
        <v>100</v>
      </c>
      <c r="R393" s="11">
        <v>0</v>
      </c>
      <c r="S393" s="329">
        <v>0</v>
      </c>
      <c r="T393" s="1010">
        <v>0</v>
      </c>
      <c r="U393" s="314">
        <v>0</v>
      </c>
      <c r="V393" s="329">
        <v>0</v>
      </c>
      <c r="W393" s="1012">
        <v>0</v>
      </c>
      <c r="X393" s="240">
        <v>0</v>
      </c>
      <c r="Y393" s="752">
        <v>0</v>
      </c>
      <c r="Z393" s="752">
        <v>0</v>
      </c>
      <c r="AA393" s="328">
        <v>0</v>
      </c>
      <c r="AB393" s="35" t="s">
        <v>84</v>
      </c>
      <c r="AC393" s="313" t="s">
        <v>11</v>
      </c>
      <c r="AD393" s="1401" t="s">
        <v>321</v>
      </c>
      <c r="AE393" s="1402" t="s">
        <v>91</v>
      </c>
      <c r="AF393" s="406" t="s">
        <v>101</v>
      </c>
      <c r="AG393" s="34" t="s">
        <v>215</v>
      </c>
      <c r="AH393" s="34"/>
    </row>
    <row r="394" spans="1:34" ht="31.5" outlineLevel="1" x14ac:dyDescent="0.25">
      <c r="A394" s="1008" t="s">
        <v>1213</v>
      </c>
      <c r="B394" s="1009" t="s">
        <v>87</v>
      </c>
      <c r="C394" s="1316" t="s">
        <v>1555</v>
      </c>
      <c r="D394" s="95" t="s">
        <v>1592</v>
      </c>
      <c r="E394" s="34" t="s">
        <v>339</v>
      </c>
      <c r="F394" s="34" t="s">
        <v>339</v>
      </c>
      <c r="G394" s="138">
        <v>800</v>
      </c>
      <c r="H394" s="183">
        <v>0</v>
      </c>
      <c r="I394" s="1643">
        <v>0</v>
      </c>
      <c r="J394" s="1644">
        <v>0</v>
      </c>
      <c r="K394" s="1645">
        <v>0</v>
      </c>
      <c r="L394" s="1010">
        <v>0</v>
      </c>
      <c r="M394" s="314">
        <v>0</v>
      </c>
      <c r="N394" s="1317">
        <v>800</v>
      </c>
      <c r="O394" s="1085">
        <v>800</v>
      </c>
      <c r="P394" s="859">
        <v>0</v>
      </c>
      <c r="Q394" s="1537">
        <f t="shared" si="13"/>
        <v>800</v>
      </c>
      <c r="R394" s="11">
        <v>0</v>
      </c>
      <c r="S394" s="329">
        <v>0</v>
      </c>
      <c r="T394" s="1010">
        <v>0</v>
      </c>
      <c r="U394" s="314">
        <v>0</v>
      </c>
      <c r="V394" s="329">
        <v>0</v>
      </c>
      <c r="W394" s="1012">
        <v>0</v>
      </c>
      <c r="X394" s="240">
        <v>0</v>
      </c>
      <c r="Y394" s="752">
        <v>0</v>
      </c>
      <c r="Z394" s="752">
        <v>0</v>
      </c>
      <c r="AA394" s="328">
        <v>0</v>
      </c>
      <c r="AB394" s="35" t="s">
        <v>84</v>
      </c>
      <c r="AC394" s="313" t="s">
        <v>13</v>
      </c>
      <c r="AD394" s="1401" t="s">
        <v>321</v>
      </c>
      <c r="AE394" s="1402" t="s">
        <v>92</v>
      </c>
      <c r="AF394" s="406" t="s">
        <v>101</v>
      </c>
      <c r="AG394" s="34" t="s">
        <v>215</v>
      </c>
      <c r="AH394" s="34"/>
    </row>
    <row r="395" spans="1:34" ht="31.5" outlineLevel="1" x14ac:dyDescent="0.25">
      <c r="A395" s="1008" t="s">
        <v>1214</v>
      </c>
      <c r="B395" s="1009" t="s">
        <v>87</v>
      </c>
      <c r="C395" s="1316" t="s">
        <v>1215</v>
      </c>
      <c r="D395" s="93" t="s">
        <v>1592</v>
      </c>
      <c r="E395" s="34" t="s">
        <v>339</v>
      </c>
      <c r="F395" s="34" t="s">
        <v>339</v>
      </c>
      <c r="G395" s="138">
        <v>160</v>
      </c>
      <c r="H395" s="183">
        <v>0</v>
      </c>
      <c r="I395" s="1643">
        <v>0</v>
      </c>
      <c r="J395" s="1644">
        <v>0</v>
      </c>
      <c r="K395" s="1645">
        <v>0</v>
      </c>
      <c r="L395" s="1010">
        <v>0</v>
      </c>
      <c r="M395" s="314">
        <v>0</v>
      </c>
      <c r="N395" s="1317">
        <v>160</v>
      </c>
      <c r="O395" s="1085">
        <v>160</v>
      </c>
      <c r="P395" s="859">
        <v>0</v>
      </c>
      <c r="Q395" s="1537">
        <f t="shared" si="13"/>
        <v>160</v>
      </c>
      <c r="R395" s="11">
        <v>0</v>
      </c>
      <c r="S395" s="329">
        <v>0</v>
      </c>
      <c r="T395" s="1010">
        <v>0</v>
      </c>
      <c r="U395" s="314">
        <v>0</v>
      </c>
      <c r="V395" s="329">
        <v>0</v>
      </c>
      <c r="W395" s="1012">
        <v>0</v>
      </c>
      <c r="X395" s="240">
        <v>0</v>
      </c>
      <c r="Y395" s="752">
        <v>0</v>
      </c>
      <c r="Z395" s="752">
        <v>0</v>
      </c>
      <c r="AA395" s="328">
        <v>0</v>
      </c>
      <c r="AB395" s="35" t="s">
        <v>84</v>
      </c>
      <c r="AC395" s="313" t="s">
        <v>13</v>
      </c>
      <c r="AD395" s="1401" t="s">
        <v>321</v>
      </c>
      <c r="AE395" s="1402" t="s">
        <v>92</v>
      </c>
      <c r="AF395" s="406" t="s">
        <v>101</v>
      </c>
      <c r="AG395" s="34" t="s">
        <v>215</v>
      </c>
      <c r="AH395" s="34"/>
    </row>
    <row r="396" spans="1:34" ht="31.5" outlineLevel="1" x14ac:dyDescent="0.25">
      <c r="A396" s="2496" t="s">
        <v>1216</v>
      </c>
      <c r="B396" s="2497" t="s">
        <v>87</v>
      </c>
      <c r="C396" s="2498" t="s">
        <v>1217</v>
      </c>
      <c r="D396" s="220" t="s">
        <v>1592</v>
      </c>
      <c r="E396" s="2499" t="s">
        <v>339</v>
      </c>
      <c r="F396" s="2499" t="s">
        <v>339</v>
      </c>
      <c r="G396" s="2500">
        <v>10260</v>
      </c>
      <c r="H396" s="2501">
        <v>0</v>
      </c>
      <c r="I396" s="2502">
        <v>0</v>
      </c>
      <c r="J396" s="2503">
        <v>0</v>
      </c>
      <c r="K396" s="2504">
        <v>0</v>
      </c>
      <c r="L396" s="2505">
        <v>0</v>
      </c>
      <c r="M396" s="2506">
        <v>0</v>
      </c>
      <c r="N396" s="2507">
        <v>107.5</v>
      </c>
      <c r="O396" s="2414">
        <v>260</v>
      </c>
      <c r="P396" s="2508">
        <v>-152.5</v>
      </c>
      <c r="Q396" s="2508">
        <f t="shared" si="13"/>
        <v>107.5</v>
      </c>
      <c r="R396" s="270">
        <f>2500+152.5</f>
        <v>2652.5</v>
      </c>
      <c r="S396" s="2511">
        <v>7500</v>
      </c>
      <c r="T396" s="2505">
        <v>0</v>
      </c>
      <c r="U396" s="2506">
        <v>0</v>
      </c>
      <c r="V396" s="2511">
        <v>0</v>
      </c>
      <c r="W396" s="2417">
        <v>0</v>
      </c>
      <c r="X396" s="571">
        <v>0</v>
      </c>
      <c r="Y396" s="1897">
        <v>0</v>
      </c>
      <c r="Z396" s="1897">
        <v>0</v>
      </c>
      <c r="AA396" s="2416">
        <v>0</v>
      </c>
      <c r="AB396" s="386" t="s">
        <v>2015</v>
      </c>
      <c r="AC396" s="572" t="s">
        <v>11</v>
      </c>
      <c r="AD396" s="2512" t="s">
        <v>321</v>
      </c>
      <c r="AE396" s="2513" t="s">
        <v>91</v>
      </c>
      <c r="AF396" s="1156" t="s">
        <v>101</v>
      </c>
      <c r="AG396" s="2499" t="s">
        <v>215</v>
      </c>
      <c r="AH396" s="2499"/>
    </row>
    <row r="397" spans="1:34" ht="31.5" outlineLevel="1" x14ac:dyDescent="0.25">
      <c r="A397" s="1008" t="s">
        <v>1218</v>
      </c>
      <c r="B397" s="1009" t="s">
        <v>87</v>
      </c>
      <c r="C397" s="1316" t="s">
        <v>1219</v>
      </c>
      <c r="D397" s="93" t="s">
        <v>1592</v>
      </c>
      <c r="E397" s="34" t="s">
        <v>339</v>
      </c>
      <c r="F397" s="34" t="s">
        <v>339</v>
      </c>
      <c r="G397" s="138">
        <v>181.5</v>
      </c>
      <c r="H397" s="183">
        <v>0</v>
      </c>
      <c r="I397" s="1643">
        <v>0</v>
      </c>
      <c r="J397" s="1644">
        <v>0</v>
      </c>
      <c r="K397" s="1645">
        <v>0</v>
      </c>
      <c r="L397" s="1010">
        <v>0</v>
      </c>
      <c r="M397" s="314">
        <v>0</v>
      </c>
      <c r="N397" s="1317">
        <v>181.5</v>
      </c>
      <c r="O397" s="1085">
        <v>181.5</v>
      </c>
      <c r="P397" s="859">
        <v>0</v>
      </c>
      <c r="Q397" s="1537">
        <f t="shared" si="13"/>
        <v>181.5</v>
      </c>
      <c r="R397" s="11">
        <v>0</v>
      </c>
      <c r="S397" s="329">
        <v>0</v>
      </c>
      <c r="T397" s="1010">
        <v>0</v>
      </c>
      <c r="U397" s="314">
        <v>0</v>
      </c>
      <c r="V397" s="329">
        <v>0</v>
      </c>
      <c r="W397" s="1012">
        <v>0</v>
      </c>
      <c r="X397" s="240">
        <v>0</v>
      </c>
      <c r="Y397" s="752">
        <v>0</v>
      </c>
      <c r="Z397" s="752">
        <v>0</v>
      </c>
      <c r="AA397" s="328">
        <v>0</v>
      </c>
      <c r="AB397" s="35" t="s">
        <v>84</v>
      </c>
      <c r="AC397" s="313" t="s">
        <v>13</v>
      </c>
      <c r="AD397" s="1401" t="s">
        <v>321</v>
      </c>
      <c r="AE397" s="1402" t="s">
        <v>92</v>
      </c>
      <c r="AF397" s="406" t="s">
        <v>101</v>
      </c>
      <c r="AG397" s="34" t="s">
        <v>215</v>
      </c>
      <c r="AH397" s="34"/>
    </row>
    <row r="398" spans="1:34" ht="25.5" outlineLevel="1" x14ac:dyDescent="0.25">
      <c r="A398" s="2552" t="s">
        <v>1220</v>
      </c>
      <c r="B398" s="2553" t="s">
        <v>87</v>
      </c>
      <c r="C398" s="2554" t="s">
        <v>1221</v>
      </c>
      <c r="D398" s="220" t="s">
        <v>1592</v>
      </c>
      <c r="E398" s="1686" t="s">
        <v>7</v>
      </c>
      <c r="F398" s="1686" t="s">
        <v>38</v>
      </c>
      <c r="G398" s="351">
        <v>1000</v>
      </c>
      <c r="H398" s="424">
        <v>0</v>
      </c>
      <c r="I398" s="2543">
        <v>0</v>
      </c>
      <c r="J398" s="2544">
        <v>0</v>
      </c>
      <c r="K398" s="2545">
        <v>0</v>
      </c>
      <c r="L398" s="1901">
        <v>0</v>
      </c>
      <c r="M398" s="352">
        <v>0</v>
      </c>
      <c r="N398" s="1900">
        <v>0</v>
      </c>
      <c r="O398" s="357">
        <v>1000</v>
      </c>
      <c r="P398" s="2546">
        <v>-1000</v>
      </c>
      <c r="Q398" s="2546">
        <f t="shared" si="13"/>
        <v>0</v>
      </c>
      <c r="R398" s="270">
        <v>1000</v>
      </c>
      <c r="S398" s="269">
        <v>0</v>
      </c>
      <c r="T398" s="1901">
        <v>0</v>
      </c>
      <c r="U398" s="352">
        <v>0</v>
      </c>
      <c r="V398" s="269">
        <v>0</v>
      </c>
      <c r="W398" s="1902">
        <v>0</v>
      </c>
      <c r="X398" s="571">
        <v>0</v>
      </c>
      <c r="Y398" s="1897">
        <v>0</v>
      </c>
      <c r="Z398" s="1897">
        <v>0</v>
      </c>
      <c r="AA398" s="356">
        <v>0</v>
      </c>
      <c r="AB398" s="220" t="s">
        <v>2016</v>
      </c>
      <c r="AC398" s="268" t="s">
        <v>32</v>
      </c>
      <c r="AD398" s="2547" t="s">
        <v>524</v>
      </c>
      <c r="AE398" s="1697" t="s">
        <v>91</v>
      </c>
      <c r="AF398" s="252" t="s">
        <v>102</v>
      </c>
      <c r="AG398" s="1686" t="s">
        <v>212</v>
      </c>
      <c r="AH398" s="1686"/>
    </row>
    <row r="399" spans="1:34" ht="63.75" outlineLevel="1" thickBot="1" x14ac:dyDescent="0.3">
      <c r="A399" s="879" t="s">
        <v>1222</v>
      </c>
      <c r="B399" s="1007" t="s">
        <v>87</v>
      </c>
      <c r="C399" s="1318" t="s">
        <v>1223</v>
      </c>
      <c r="D399" s="98" t="s">
        <v>1592</v>
      </c>
      <c r="E399" s="502" t="s">
        <v>309</v>
      </c>
      <c r="F399" s="502" t="s">
        <v>309</v>
      </c>
      <c r="G399" s="127">
        <v>263000</v>
      </c>
      <c r="H399" s="182">
        <v>0</v>
      </c>
      <c r="I399" s="1633">
        <v>0</v>
      </c>
      <c r="J399" s="1634">
        <v>0</v>
      </c>
      <c r="K399" s="1635">
        <v>0</v>
      </c>
      <c r="L399" s="409">
        <v>0</v>
      </c>
      <c r="M399" s="237">
        <v>0</v>
      </c>
      <c r="N399" s="1312">
        <v>250</v>
      </c>
      <c r="O399" s="845">
        <v>250</v>
      </c>
      <c r="P399" s="857">
        <v>0</v>
      </c>
      <c r="Q399" s="1527">
        <f t="shared" si="13"/>
        <v>250</v>
      </c>
      <c r="R399" s="128">
        <v>16750</v>
      </c>
      <c r="S399" s="232">
        <v>246000</v>
      </c>
      <c r="T399" s="409">
        <v>0</v>
      </c>
      <c r="U399" s="237">
        <v>0</v>
      </c>
      <c r="V399" s="232">
        <v>0</v>
      </c>
      <c r="W399" s="862">
        <v>0</v>
      </c>
      <c r="X399" s="542">
        <v>0</v>
      </c>
      <c r="Y399" s="1288">
        <v>0</v>
      </c>
      <c r="Z399" s="1288">
        <v>0</v>
      </c>
      <c r="AA399" s="1166">
        <v>0</v>
      </c>
      <c r="AB399" s="98" t="s">
        <v>84</v>
      </c>
      <c r="AC399" s="115" t="s">
        <v>11</v>
      </c>
      <c r="AD399" s="1411" t="s">
        <v>321</v>
      </c>
      <c r="AE399" s="1278" t="s">
        <v>91</v>
      </c>
      <c r="AF399" s="58" t="s">
        <v>102</v>
      </c>
      <c r="AG399" s="502" t="s">
        <v>211</v>
      </c>
      <c r="AH399" s="502"/>
    </row>
    <row r="400" spans="1:34" ht="25.5" outlineLevel="1" x14ac:dyDescent="0.25">
      <c r="A400" s="1118" t="s">
        <v>1367</v>
      </c>
      <c r="B400" s="1119" t="s">
        <v>2045</v>
      </c>
      <c r="C400" s="1315" t="s">
        <v>1368</v>
      </c>
      <c r="D400" s="93" t="s">
        <v>1603</v>
      </c>
      <c r="E400" s="482" t="s">
        <v>39</v>
      </c>
      <c r="F400" s="482" t="s">
        <v>39</v>
      </c>
      <c r="G400" s="114">
        <v>150</v>
      </c>
      <c r="H400" s="546">
        <v>0</v>
      </c>
      <c r="I400" s="1640">
        <v>0</v>
      </c>
      <c r="J400" s="1641">
        <v>0</v>
      </c>
      <c r="K400" s="1642">
        <v>0</v>
      </c>
      <c r="L400" s="765">
        <v>0</v>
      </c>
      <c r="M400" s="236">
        <v>0</v>
      </c>
      <c r="N400" s="188">
        <v>150</v>
      </c>
      <c r="O400" s="1146">
        <v>150</v>
      </c>
      <c r="P400" s="1084">
        <v>0</v>
      </c>
      <c r="Q400" s="1536">
        <f t="shared" si="13"/>
        <v>150</v>
      </c>
      <c r="R400" s="13">
        <v>0</v>
      </c>
      <c r="S400" s="149">
        <v>0</v>
      </c>
      <c r="T400" s="765">
        <v>0</v>
      </c>
      <c r="U400" s="236">
        <v>0</v>
      </c>
      <c r="V400" s="149">
        <v>0</v>
      </c>
      <c r="W400" s="521">
        <v>0</v>
      </c>
      <c r="X400" s="452">
        <v>0</v>
      </c>
      <c r="Y400" s="893">
        <v>0</v>
      </c>
      <c r="Z400" s="893">
        <v>0</v>
      </c>
      <c r="AA400" s="757">
        <v>0</v>
      </c>
      <c r="AB400" s="479" t="s">
        <v>84</v>
      </c>
      <c r="AC400" s="590" t="s">
        <v>13</v>
      </c>
      <c r="AD400" s="46" t="s">
        <v>321</v>
      </c>
      <c r="AE400" s="1409" t="s">
        <v>92</v>
      </c>
      <c r="AF400" s="172" t="s">
        <v>101</v>
      </c>
      <c r="AG400" s="482" t="s">
        <v>204</v>
      </c>
      <c r="AH400" s="482"/>
    </row>
    <row r="401" spans="1:34" ht="31.5" outlineLevel="1" x14ac:dyDescent="0.25">
      <c r="A401" s="1008" t="s">
        <v>1369</v>
      </c>
      <c r="B401" s="1009" t="s">
        <v>87</v>
      </c>
      <c r="C401" s="1316" t="s">
        <v>1370</v>
      </c>
      <c r="D401" s="95" t="s">
        <v>1603</v>
      </c>
      <c r="E401" s="34" t="s">
        <v>338</v>
      </c>
      <c r="F401" s="34" t="s">
        <v>338</v>
      </c>
      <c r="G401" s="138">
        <v>7500</v>
      </c>
      <c r="H401" s="183">
        <v>0</v>
      </c>
      <c r="I401" s="1643">
        <v>0</v>
      </c>
      <c r="J401" s="1644">
        <v>0</v>
      </c>
      <c r="K401" s="1645">
        <v>0</v>
      </c>
      <c r="L401" s="1010">
        <v>0</v>
      </c>
      <c r="M401" s="314">
        <v>0</v>
      </c>
      <c r="N401" s="1317">
        <v>2500</v>
      </c>
      <c r="O401" s="1085">
        <v>2500</v>
      </c>
      <c r="P401" s="859">
        <v>0</v>
      </c>
      <c r="Q401" s="1537">
        <f t="shared" si="13"/>
        <v>2500</v>
      </c>
      <c r="R401" s="11">
        <v>5000</v>
      </c>
      <c r="S401" s="329">
        <v>0</v>
      </c>
      <c r="T401" s="1010">
        <v>0</v>
      </c>
      <c r="U401" s="314">
        <v>0</v>
      </c>
      <c r="V401" s="329">
        <v>0</v>
      </c>
      <c r="W401" s="1012">
        <v>0</v>
      </c>
      <c r="X401" s="240">
        <v>0</v>
      </c>
      <c r="Y401" s="752">
        <v>0</v>
      </c>
      <c r="Z401" s="752">
        <v>0</v>
      </c>
      <c r="AA401" s="328">
        <v>0</v>
      </c>
      <c r="AB401" s="35" t="s">
        <v>84</v>
      </c>
      <c r="AC401" s="313" t="s">
        <v>13</v>
      </c>
      <c r="AD401" s="1401" t="s">
        <v>758</v>
      </c>
      <c r="AE401" s="1402" t="s">
        <v>92</v>
      </c>
      <c r="AF401" s="406" t="s">
        <v>101</v>
      </c>
      <c r="AG401" s="34" t="s">
        <v>209</v>
      </c>
      <c r="AH401" s="34"/>
    </row>
    <row r="402" spans="1:34" ht="31.5" outlineLevel="1" x14ac:dyDescent="0.25">
      <c r="A402" s="2496" t="s">
        <v>1371</v>
      </c>
      <c r="B402" s="2497" t="s">
        <v>87</v>
      </c>
      <c r="C402" s="2498" t="s">
        <v>1372</v>
      </c>
      <c r="D402" s="220" t="s">
        <v>1603</v>
      </c>
      <c r="E402" s="2499" t="s">
        <v>338</v>
      </c>
      <c r="F402" s="2499" t="s">
        <v>338</v>
      </c>
      <c r="G402" s="2500">
        <v>4000</v>
      </c>
      <c r="H402" s="2501">
        <v>0</v>
      </c>
      <c r="I402" s="2502">
        <v>0</v>
      </c>
      <c r="J402" s="2503">
        <v>0</v>
      </c>
      <c r="K402" s="2504">
        <v>0</v>
      </c>
      <c r="L402" s="2505">
        <v>0</v>
      </c>
      <c r="M402" s="2506">
        <v>0</v>
      </c>
      <c r="N402" s="2507">
        <v>400</v>
      </c>
      <c r="O402" s="2414">
        <v>1000</v>
      </c>
      <c r="P402" s="2508">
        <v>-600</v>
      </c>
      <c r="Q402" s="2508">
        <f t="shared" si="13"/>
        <v>400</v>
      </c>
      <c r="R402" s="270">
        <v>3600</v>
      </c>
      <c r="S402" s="2511">
        <v>0</v>
      </c>
      <c r="T402" s="2505">
        <v>0</v>
      </c>
      <c r="U402" s="2506">
        <v>0</v>
      </c>
      <c r="V402" s="2511">
        <v>0</v>
      </c>
      <c r="W402" s="2417">
        <v>0</v>
      </c>
      <c r="X402" s="571">
        <v>0</v>
      </c>
      <c r="Y402" s="1897">
        <v>0</v>
      </c>
      <c r="Z402" s="1897">
        <v>0</v>
      </c>
      <c r="AA402" s="2416">
        <v>0</v>
      </c>
      <c r="AB402" s="386" t="s">
        <v>2017</v>
      </c>
      <c r="AC402" s="572" t="s">
        <v>11</v>
      </c>
      <c r="AD402" s="2512" t="s">
        <v>321</v>
      </c>
      <c r="AE402" s="2513" t="s">
        <v>91</v>
      </c>
      <c r="AF402" s="1156" t="s">
        <v>101</v>
      </c>
      <c r="AG402" s="2499" t="s">
        <v>209</v>
      </c>
      <c r="AH402" s="2499"/>
    </row>
    <row r="403" spans="1:34" ht="25.5" outlineLevel="1" x14ac:dyDescent="0.25">
      <c r="A403" s="1008" t="s">
        <v>1373</v>
      </c>
      <c r="B403" s="1009" t="s">
        <v>87</v>
      </c>
      <c r="C403" s="1316" t="s">
        <v>1374</v>
      </c>
      <c r="D403" s="95" t="s">
        <v>1603</v>
      </c>
      <c r="E403" s="34" t="s">
        <v>35</v>
      </c>
      <c r="F403" s="34" t="s">
        <v>35</v>
      </c>
      <c r="G403" s="138">
        <v>100</v>
      </c>
      <c r="H403" s="183">
        <v>0</v>
      </c>
      <c r="I403" s="1643">
        <v>0</v>
      </c>
      <c r="J403" s="1644">
        <v>0</v>
      </c>
      <c r="K403" s="1645">
        <v>0</v>
      </c>
      <c r="L403" s="1010">
        <v>0</v>
      </c>
      <c r="M403" s="314">
        <v>0</v>
      </c>
      <c r="N403" s="1317">
        <v>100</v>
      </c>
      <c r="O403" s="1085">
        <v>100</v>
      </c>
      <c r="P403" s="859">
        <v>0</v>
      </c>
      <c r="Q403" s="1537">
        <f t="shared" si="13"/>
        <v>100</v>
      </c>
      <c r="R403" s="11">
        <v>0</v>
      </c>
      <c r="S403" s="329">
        <v>0</v>
      </c>
      <c r="T403" s="1010">
        <v>0</v>
      </c>
      <c r="U403" s="314">
        <v>0</v>
      </c>
      <c r="V403" s="329">
        <v>0</v>
      </c>
      <c r="W403" s="1012">
        <v>0</v>
      </c>
      <c r="X403" s="240">
        <v>0</v>
      </c>
      <c r="Y403" s="752">
        <v>0</v>
      </c>
      <c r="Z403" s="752">
        <v>0</v>
      </c>
      <c r="AA403" s="328">
        <v>0</v>
      </c>
      <c r="AB403" s="35" t="s">
        <v>84</v>
      </c>
      <c r="AC403" s="313" t="s">
        <v>13</v>
      </c>
      <c r="AD403" s="1401" t="s">
        <v>321</v>
      </c>
      <c r="AE403" s="1402" t="s">
        <v>92</v>
      </c>
      <c r="AF403" s="406" t="s">
        <v>101</v>
      </c>
      <c r="AG403" s="34" t="s">
        <v>203</v>
      </c>
      <c r="AH403" s="34"/>
    </row>
    <row r="404" spans="1:34" ht="31.5" outlineLevel="1" x14ac:dyDescent="0.25">
      <c r="A404" s="1008" t="s">
        <v>1375</v>
      </c>
      <c r="B404" s="1009" t="s">
        <v>87</v>
      </c>
      <c r="C404" s="1316" t="s">
        <v>1376</v>
      </c>
      <c r="D404" s="95" t="s">
        <v>1603</v>
      </c>
      <c r="E404" s="34" t="s">
        <v>35</v>
      </c>
      <c r="F404" s="34" t="s">
        <v>35</v>
      </c>
      <c r="G404" s="138">
        <v>225017.8</v>
      </c>
      <c r="H404" s="183">
        <v>0</v>
      </c>
      <c r="I404" s="1643">
        <v>0</v>
      </c>
      <c r="J404" s="1644">
        <v>0</v>
      </c>
      <c r="K404" s="1645">
        <v>0</v>
      </c>
      <c r="L404" s="1010">
        <v>0</v>
      </c>
      <c r="M404" s="314">
        <v>0</v>
      </c>
      <c r="N404" s="1317">
        <v>217.8</v>
      </c>
      <c r="O404" s="1085">
        <v>217.8</v>
      </c>
      <c r="P404" s="859">
        <v>0</v>
      </c>
      <c r="Q404" s="1537">
        <f t="shared" ref="Q404:Q433" si="14">O404+P404</f>
        <v>217.8</v>
      </c>
      <c r="R404" s="11">
        <v>200</v>
      </c>
      <c r="S404" s="329">
        <v>224600</v>
      </c>
      <c r="T404" s="1010">
        <v>0</v>
      </c>
      <c r="U404" s="314">
        <v>0</v>
      </c>
      <c r="V404" s="329">
        <v>0</v>
      </c>
      <c r="W404" s="1012">
        <v>0</v>
      </c>
      <c r="X404" s="240">
        <v>0</v>
      </c>
      <c r="Y404" s="752">
        <v>0</v>
      </c>
      <c r="Z404" s="752">
        <v>0</v>
      </c>
      <c r="AA404" s="328">
        <v>0</v>
      </c>
      <c r="AB404" s="35" t="s">
        <v>84</v>
      </c>
      <c r="AC404" s="313" t="s">
        <v>11</v>
      </c>
      <c r="AD404" s="1401" t="s">
        <v>321</v>
      </c>
      <c r="AE404" s="1402" t="s">
        <v>91</v>
      </c>
      <c r="AF404" s="406" t="s">
        <v>100</v>
      </c>
      <c r="AG404" s="34" t="s">
        <v>203</v>
      </c>
      <c r="AH404" s="34"/>
    </row>
    <row r="405" spans="1:34" ht="25.5" outlineLevel="1" x14ac:dyDescent="0.25">
      <c r="A405" s="1008" t="s">
        <v>1377</v>
      </c>
      <c r="B405" s="1009" t="s">
        <v>87</v>
      </c>
      <c r="C405" s="1316" t="s">
        <v>1378</v>
      </c>
      <c r="D405" s="95" t="s">
        <v>1603</v>
      </c>
      <c r="E405" s="34" t="s">
        <v>35</v>
      </c>
      <c r="F405" s="34" t="s">
        <v>35</v>
      </c>
      <c r="G405" s="138">
        <v>2550</v>
      </c>
      <c r="H405" s="183">
        <v>0</v>
      </c>
      <c r="I405" s="1643">
        <v>0</v>
      </c>
      <c r="J405" s="1644">
        <v>0</v>
      </c>
      <c r="K405" s="1645">
        <v>0</v>
      </c>
      <c r="L405" s="1010">
        <v>0</v>
      </c>
      <c r="M405" s="314">
        <v>0</v>
      </c>
      <c r="N405" s="1317">
        <v>250</v>
      </c>
      <c r="O405" s="1085">
        <v>250</v>
      </c>
      <c r="P405" s="859">
        <v>0</v>
      </c>
      <c r="Q405" s="1537">
        <f t="shared" si="14"/>
        <v>250</v>
      </c>
      <c r="R405" s="11">
        <v>2300</v>
      </c>
      <c r="S405" s="329">
        <v>0</v>
      </c>
      <c r="T405" s="1010">
        <v>0</v>
      </c>
      <c r="U405" s="314">
        <v>0</v>
      </c>
      <c r="V405" s="329">
        <v>0</v>
      </c>
      <c r="W405" s="1012">
        <v>0</v>
      </c>
      <c r="X405" s="240">
        <v>0</v>
      </c>
      <c r="Y405" s="752">
        <v>0</v>
      </c>
      <c r="Z405" s="752">
        <v>0</v>
      </c>
      <c r="AA405" s="328">
        <v>0</v>
      </c>
      <c r="AB405" s="35" t="s">
        <v>84</v>
      </c>
      <c r="AC405" s="313" t="s">
        <v>13</v>
      </c>
      <c r="AD405" s="1401" t="s">
        <v>321</v>
      </c>
      <c r="AE405" s="1402" t="s">
        <v>92</v>
      </c>
      <c r="AF405" s="406" t="s">
        <v>101</v>
      </c>
      <c r="AG405" s="34" t="s">
        <v>203</v>
      </c>
      <c r="AH405" s="34"/>
    </row>
    <row r="406" spans="1:34" ht="31.5" outlineLevel="1" x14ac:dyDescent="0.25">
      <c r="A406" s="2496" t="s">
        <v>1380</v>
      </c>
      <c r="B406" s="2497" t="s">
        <v>87</v>
      </c>
      <c r="C406" s="2498" t="s">
        <v>1379</v>
      </c>
      <c r="D406" s="220" t="s">
        <v>1603</v>
      </c>
      <c r="E406" s="2499" t="s">
        <v>35</v>
      </c>
      <c r="F406" s="2499" t="s">
        <v>35</v>
      </c>
      <c r="G406" s="2500">
        <v>143741</v>
      </c>
      <c r="H406" s="424">
        <v>0</v>
      </c>
      <c r="I406" s="2543">
        <v>0</v>
      </c>
      <c r="J406" s="2544">
        <v>0</v>
      </c>
      <c r="K406" s="2545">
        <v>0</v>
      </c>
      <c r="L406" s="1901">
        <v>0</v>
      </c>
      <c r="M406" s="2506">
        <v>0</v>
      </c>
      <c r="N406" s="2507">
        <v>883.3</v>
      </c>
      <c r="O406" s="2414">
        <v>0</v>
      </c>
      <c r="P406" s="2508">
        <v>883.3</v>
      </c>
      <c r="Q406" s="2508">
        <f t="shared" si="14"/>
        <v>883.3</v>
      </c>
      <c r="R406" s="270">
        <v>0</v>
      </c>
      <c r="S406" s="2511">
        <v>142857.70000000001</v>
      </c>
      <c r="T406" s="2505">
        <v>0</v>
      </c>
      <c r="U406" s="2506">
        <v>0</v>
      </c>
      <c r="V406" s="2511">
        <v>0</v>
      </c>
      <c r="W406" s="2417">
        <v>0</v>
      </c>
      <c r="X406" s="571">
        <v>0</v>
      </c>
      <c r="Y406" s="1897">
        <v>0</v>
      </c>
      <c r="Z406" s="1897">
        <v>0</v>
      </c>
      <c r="AA406" s="2416">
        <v>0</v>
      </c>
      <c r="AB406" s="386" t="s">
        <v>2018</v>
      </c>
      <c r="AC406" s="572" t="s">
        <v>11</v>
      </c>
      <c r="AD406" s="2512" t="s">
        <v>1564</v>
      </c>
      <c r="AE406" s="2513" t="s">
        <v>91</v>
      </c>
      <c r="AF406" s="1156" t="s">
        <v>100</v>
      </c>
      <c r="AG406" s="2499" t="s">
        <v>203</v>
      </c>
      <c r="AH406" s="2499"/>
    </row>
    <row r="407" spans="1:34" ht="25.5" outlineLevel="1" x14ac:dyDescent="0.25">
      <c r="A407" s="1008" t="s">
        <v>1382</v>
      </c>
      <c r="B407" s="1009" t="s">
        <v>87</v>
      </c>
      <c r="C407" s="1316" t="s">
        <v>1381</v>
      </c>
      <c r="D407" s="95" t="s">
        <v>1603</v>
      </c>
      <c r="E407" s="34" t="s">
        <v>241</v>
      </c>
      <c r="F407" s="34" t="s">
        <v>241</v>
      </c>
      <c r="G407" s="138">
        <v>15391.2</v>
      </c>
      <c r="H407" s="183">
        <v>0</v>
      </c>
      <c r="I407" s="1643">
        <v>0</v>
      </c>
      <c r="J407" s="1644">
        <v>0</v>
      </c>
      <c r="K407" s="1645">
        <v>0</v>
      </c>
      <c r="L407" s="1010">
        <v>0</v>
      </c>
      <c r="M407" s="314">
        <v>0</v>
      </c>
      <c r="N407" s="1317">
        <v>726</v>
      </c>
      <c r="O407" s="1085">
        <v>726</v>
      </c>
      <c r="P407" s="859">
        <v>0</v>
      </c>
      <c r="Q407" s="1537">
        <f t="shared" si="14"/>
        <v>726</v>
      </c>
      <c r="R407" s="11">
        <v>750.2</v>
      </c>
      <c r="S407" s="329">
        <v>13915</v>
      </c>
      <c r="T407" s="1010">
        <v>0</v>
      </c>
      <c r="U407" s="314">
        <v>0</v>
      </c>
      <c r="V407" s="329">
        <v>0</v>
      </c>
      <c r="W407" s="1012">
        <v>0</v>
      </c>
      <c r="X407" s="240">
        <v>0</v>
      </c>
      <c r="Y407" s="752">
        <v>0</v>
      </c>
      <c r="Z407" s="752">
        <v>0</v>
      </c>
      <c r="AA407" s="328">
        <v>0</v>
      </c>
      <c r="AB407" s="35" t="s">
        <v>84</v>
      </c>
      <c r="AC407" s="313" t="s">
        <v>11</v>
      </c>
      <c r="AD407" s="1401" t="s">
        <v>321</v>
      </c>
      <c r="AE407" s="1402" t="s">
        <v>91</v>
      </c>
      <c r="AF407" s="406" t="s">
        <v>102</v>
      </c>
      <c r="AG407" s="34" t="s">
        <v>796</v>
      </c>
      <c r="AH407" s="34"/>
    </row>
    <row r="408" spans="1:34" ht="31.5" outlineLevel="1" x14ac:dyDescent="0.25">
      <c r="A408" s="1008" t="s">
        <v>1384</v>
      </c>
      <c r="B408" s="1009" t="s">
        <v>87</v>
      </c>
      <c r="C408" s="1316" t="s">
        <v>1383</v>
      </c>
      <c r="D408" s="95" t="s">
        <v>1603</v>
      </c>
      <c r="E408" s="34" t="s">
        <v>43</v>
      </c>
      <c r="F408" s="34" t="s">
        <v>43</v>
      </c>
      <c r="G408" s="138">
        <v>31200</v>
      </c>
      <c r="H408" s="183">
        <v>0</v>
      </c>
      <c r="I408" s="1643">
        <v>0</v>
      </c>
      <c r="J408" s="1644">
        <v>0</v>
      </c>
      <c r="K408" s="1645">
        <v>0</v>
      </c>
      <c r="L408" s="1010">
        <v>0</v>
      </c>
      <c r="M408" s="314">
        <v>0</v>
      </c>
      <c r="N408" s="1317">
        <v>200</v>
      </c>
      <c r="O408" s="1085">
        <v>200</v>
      </c>
      <c r="P408" s="859">
        <v>0</v>
      </c>
      <c r="Q408" s="1537">
        <f t="shared" si="14"/>
        <v>200</v>
      </c>
      <c r="R408" s="11">
        <v>7000</v>
      </c>
      <c r="S408" s="329">
        <v>24000</v>
      </c>
      <c r="T408" s="1010">
        <v>0</v>
      </c>
      <c r="U408" s="314">
        <v>0</v>
      </c>
      <c r="V408" s="329">
        <v>0</v>
      </c>
      <c r="W408" s="1012">
        <v>0</v>
      </c>
      <c r="X408" s="240">
        <v>0</v>
      </c>
      <c r="Y408" s="752">
        <v>0</v>
      </c>
      <c r="Z408" s="752">
        <v>0</v>
      </c>
      <c r="AA408" s="328">
        <v>0</v>
      </c>
      <c r="AB408" s="35" t="s">
        <v>84</v>
      </c>
      <c r="AC408" s="313" t="s">
        <v>11</v>
      </c>
      <c r="AD408" s="1401" t="s">
        <v>321</v>
      </c>
      <c r="AE408" s="1402" t="s">
        <v>91</v>
      </c>
      <c r="AF408" s="406" t="s">
        <v>101</v>
      </c>
      <c r="AG408" s="34" t="s">
        <v>218</v>
      </c>
      <c r="AH408" s="34"/>
    </row>
    <row r="409" spans="1:34" ht="31.5" outlineLevel="1" x14ac:dyDescent="0.25">
      <c r="A409" s="1008" t="s">
        <v>1386</v>
      </c>
      <c r="B409" s="1009" t="s">
        <v>87</v>
      </c>
      <c r="C409" s="1316" t="s">
        <v>1385</v>
      </c>
      <c r="D409" s="95" t="s">
        <v>1603</v>
      </c>
      <c r="E409" s="34" t="s">
        <v>120</v>
      </c>
      <c r="F409" s="34" t="s">
        <v>120</v>
      </c>
      <c r="G409" s="138">
        <v>1190</v>
      </c>
      <c r="H409" s="183">
        <v>0</v>
      </c>
      <c r="I409" s="1643">
        <v>0</v>
      </c>
      <c r="J409" s="1644">
        <v>0</v>
      </c>
      <c r="K409" s="1645">
        <v>0</v>
      </c>
      <c r="L409" s="1010">
        <v>0</v>
      </c>
      <c r="M409" s="314">
        <v>0</v>
      </c>
      <c r="N409" s="1317">
        <v>1190</v>
      </c>
      <c r="O409" s="1085">
        <v>1190</v>
      </c>
      <c r="P409" s="859">
        <v>0</v>
      </c>
      <c r="Q409" s="1537">
        <f t="shared" si="14"/>
        <v>1190</v>
      </c>
      <c r="R409" s="11">
        <v>0</v>
      </c>
      <c r="S409" s="329">
        <v>0</v>
      </c>
      <c r="T409" s="1010">
        <v>0</v>
      </c>
      <c r="U409" s="314">
        <v>0</v>
      </c>
      <c r="V409" s="329">
        <v>0</v>
      </c>
      <c r="W409" s="1012">
        <v>0</v>
      </c>
      <c r="X409" s="240">
        <v>0</v>
      </c>
      <c r="Y409" s="240">
        <v>0</v>
      </c>
      <c r="Z409" s="240">
        <v>0</v>
      </c>
      <c r="AA409" s="328">
        <v>0</v>
      </c>
      <c r="AB409" s="35" t="s">
        <v>84</v>
      </c>
      <c r="AC409" s="313" t="s">
        <v>11</v>
      </c>
      <c r="AD409" s="1401" t="s">
        <v>321</v>
      </c>
      <c r="AE409" s="1402" t="s">
        <v>91</v>
      </c>
      <c r="AF409" s="406" t="s">
        <v>101</v>
      </c>
      <c r="AG409" s="34" t="s">
        <v>217</v>
      </c>
      <c r="AH409" s="34"/>
    </row>
    <row r="410" spans="1:34" ht="47.25" outlineLevel="1" x14ac:dyDescent="0.25">
      <c r="A410" s="1008" t="s">
        <v>1404</v>
      </c>
      <c r="B410" s="1009" t="s">
        <v>87</v>
      </c>
      <c r="C410" s="1316" t="s">
        <v>1387</v>
      </c>
      <c r="D410" s="95" t="s">
        <v>1603</v>
      </c>
      <c r="E410" s="34" t="s">
        <v>120</v>
      </c>
      <c r="F410" s="34" t="s">
        <v>120</v>
      </c>
      <c r="G410" s="138">
        <v>310669</v>
      </c>
      <c r="H410" s="183">
        <v>0</v>
      </c>
      <c r="I410" s="1643">
        <v>0</v>
      </c>
      <c r="J410" s="1644">
        <v>0</v>
      </c>
      <c r="K410" s="1645">
        <v>0</v>
      </c>
      <c r="L410" s="1010">
        <v>0</v>
      </c>
      <c r="M410" s="314">
        <v>0</v>
      </c>
      <c r="N410" s="1317">
        <v>0</v>
      </c>
      <c r="O410" s="1085">
        <v>0</v>
      </c>
      <c r="P410" s="859">
        <v>0</v>
      </c>
      <c r="Q410" s="1537">
        <f t="shared" si="14"/>
        <v>0</v>
      </c>
      <c r="R410" s="11">
        <v>0</v>
      </c>
      <c r="S410" s="329">
        <v>310669</v>
      </c>
      <c r="T410" s="1010">
        <v>0</v>
      </c>
      <c r="U410" s="314">
        <v>0</v>
      </c>
      <c r="V410" s="329">
        <v>0</v>
      </c>
      <c r="W410" s="1012">
        <v>0</v>
      </c>
      <c r="X410" s="240">
        <v>0</v>
      </c>
      <c r="Y410" s="240">
        <v>0</v>
      </c>
      <c r="Z410" s="240">
        <v>0</v>
      </c>
      <c r="AA410" s="328">
        <v>0</v>
      </c>
      <c r="AB410" s="35" t="s">
        <v>84</v>
      </c>
      <c r="AC410" s="313" t="s">
        <v>11</v>
      </c>
      <c r="AD410" s="1401" t="s">
        <v>321</v>
      </c>
      <c r="AE410" s="1402" t="s">
        <v>91</v>
      </c>
      <c r="AF410" s="406" t="s">
        <v>100</v>
      </c>
      <c r="AG410" s="34" t="s">
        <v>217</v>
      </c>
      <c r="AH410" s="34"/>
    </row>
    <row r="411" spans="1:34" ht="26.25" outlineLevel="1" thickBot="1" x14ac:dyDescent="0.3">
      <c r="A411" s="879" t="s">
        <v>1405</v>
      </c>
      <c r="B411" s="1007" t="s">
        <v>87</v>
      </c>
      <c r="C411" s="1318" t="s">
        <v>1406</v>
      </c>
      <c r="D411" s="98" t="s">
        <v>1603</v>
      </c>
      <c r="E411" s="502" t="s">
        <v>39</v>
      </c>
      <c r="F411" s="502" t="s">
        <v>39</v>
      </c>
      <c r="G411" s="127">
        <v>135</v>
      </c>
      <c r="H411" s="182">
        <v>0</v>
      </c>
      <c r="I411" s="1633">
        <v>0</v>
      </c>
      <c r="J411" s="1634">
        <v>0</v>
      </c>
      <c r="K411" s="1635">
        <v>0</v>
      </c>
      <c r="L411" s="409">
        <v>0</v>
      </c>
      <c r="M411" s="237">
        <v>0</v>
      </c>
      <c r="N411" s="1312">
        <v>135</v>
      </c>
      <c r="O411" s="845">
        <v>135</v>
      </c>
      <c r="P411" s="857">
        <v>0</v>
      </c>
      <c r="Q411" s="1527">
        <f t="shared" si="14"/>
        <v>135</v>
      </c>
      <c r="R411" s="128">
        <v>0</v>
      </c>
      <c r="S411" s="232">
        <v>0</v>
      </c>
      <c r="T411" s="409">
        <v>0</v>
      </c>
      <c r="U411" s="237">
        <v>0</v>
      </c>
      <c r="V411" s="232">
        <v>0</v>
      </c>
      <c r="W411" s="862">
        <v>0</v>
      </c>
      <c r="X411" s="1288">
        <v>0</v>
      </c>
      <c r="Y411" s="1288">
        <v>0</v>
      </c>
      <c r="Z411" s="1288">
        <v>0</v>
      </c>
      <c r="AA411" s="137">
        <v>0</v>
      </c>
      <c r="AB411" s="98" t="s">
        <v>84</v>
      </c>
      <c r="AC411" s="115" t="s">
        <v>13</v>
      </c>
      <c r="AD411" s="1411" t="s">
        <v>190</v>
      </c>
      <c r="AE411" s="1278" t="s">
        <v>92</v>
      </c>
      <c r="AF411" s="58" t="s">
        <v>101</v>
      </c>
      <c r="AG411" s="502" t="s">
        <v>204</v>
      </c>
      <c r="AH411" s="502"/>
    </row>
    <row r="412" spans="1:34" ht="25.5" outlineLevel="1" x14ac:dyDescent="0.25">
      <c r="A412" s="1567" t="s">
        <v>1556</v>
      </c>
      <c r="B412" s="1342" t="s">
        <v>87</v>
      </c>
      <c r="C412" s="1311" t="s">
        <v>1557</v>
      </c>
      <c r="D412" s="93" t="s">
        <v>1722</v>
      </c>
      <c r="E412" s="24" t="s">
        <v>120</v>
      </c>
      <c r="F412" s="24" t="s">
        <v>120</v>
      </c>
      <c r="G412" s="107">
        <v>1077</v>
      </c>
      <c r="H412" s="1313">
        <v>0</v>
      </c>
      <c r="I412" s="1646">
        <v>0</v>
      </c>
      <c r="J412" s="1647">
        <v>0</v>
      </c>
      <c r="K412" s="1648">
        <v>0</v>
      </c>
      <c r="L412" s="410">
        <v>0</v>
      </c>
      <c r="M412" s="238">
        <v>0</v>
      </c>
      <c r="N412" s="108">
        <v>315</v>
      </c>
      <c r="O412" s="843">
        <v>315</v>
      </c>
      <c r="P412" s="1575">
        <v>0</v>
      </c>
      <c r="Q412" s="1578">
        <f t="shared" si="14"/>
        <v>315</v>
      </c>
      <c r="R412" s="13">
        <v>762</v>
      </c>
      <c r="S412" s="109">
        <v>0</v>
      </c>
      <c r="T412" s="410">
        <v>0</v>
      </c>
      <c r="U412" s="238">
        <v>0</v>
      </c>
      <c r="V412" s="109">
        <v>0</v>
      </c>
      <c r="W412" s="451">
        <v>0</v>
      </c>
      <c r="X412" s="893">
        <v>0</v>
      </c>
      <c r="Y412" s="893">
        <v>0</v>
      </c>
      <c r="Z412" s="893">
        <v>0</v>
      </c>
      <c r="AA412" s="756">
        <v>0</v>
      </c>
      <c r="AB412" s="93" t="s">
        <v>84</v>
      </c>
      <c r="AC412" s="79" t="s">
        <v>11</v>
      </c>
      <c r="AD412" s="1563" t="s">
        <v>321</v>
      </c>
      <c r="AE412" s="1413" t="s">
        <v>91</v>
      </c>
      <c r="AF412" s="484" t="s">
        <v>101</v>
      </c>
      <c r="AG412" s="24" t="s">
        <v>217</v>
      </c>
      <c r="AH412" s="24"/>
    </row>
    <row r="413" spans="1:34" ht="25.5" outlineLevel="1" x14ac:dyDescent="0.25">
      <c r="A413" s="876" t="s">
        <v>1558</v>
      </c>
      <c r="B413" s="998" t="s">
        <v>87</v>
      </c>
      <c r="C413" s="1314" t="s">
        <v>1559</v>
      </c>
      <c r="D413" s="95" t="s">
        <v>1722</v>
      </c>
      <c r="E413" s="514" t="s">
        <v>120</v>
      </c>
      <c r="F413" s="514" t="s">
        <v>120</v>
      </c>
      <c r="G413" s="110">
        <v>838</v>
      </c>
      <c r="H413" s="181">
        <v>0</v>
      </c>
      <c r="I413" s="1637">
        <v>0</v>
      </c>
      <c r="J413" s="1638">
        <v>0</v>
      </c>
      <c r="K413" s="1639">
        <v>0</v>
      </c>
      <c r="L413" s="408">
        <v>0</v>
      </c>
      <c r="M413" s="100">
        <v>0</v>
      </c>
      <c r="N413" s="12">
        <v>838</v>
      </c>
      <c r="O413" s="844">
        <v>838</v>
      </c>
      <c r="P413" s="856">
        <v>0</v>
      </c>
      <c r="Q413" s="848">
        <f t="shared" si="14"/>
        <v>838</v>
      </c>
      <c r="R413" s="11">
        <v>0</v>
      </c>
      <c r="S413" s="113">
        <v>0</v>
      </c>
      <c r="T413" s="408">
        <v>0</v>
      </c>
      <c r="U413" s="100">
        <v>0</v>
      </c>
      <c r="V413" s="113">
        <v>0</v>
      </c>
      <c r="W413" s="411">
        <v>0</v>
      </c>
      <c r="X413" s="752">
        <v>0</v>
      </c>
      <c r="Y413" s="752">
        <v>0</v>
      </c>
      <c r="Z413" s="752">
        <v>0</v>
      </c>
      <c r="AA413" s="135">
        <v>0</v>
      </c>
      <c r="AB413" s="95" t="s">
        <v>84</v>
      </c>
      <c r="AC413" s="111" t="s">
        <v>13</v>
      </c>
      <c r="AD413" s="1407" t="s">
        <v>321</v>
      </c>
      <c r="AE413" s="1277" t="s">
        <v>92</v>
      </c>
      <c r="AF413" s="515" t="s">
        <v>101</v>
      </c>
      <c r="AG413" s="514" t="s">
        <v>217</v>
      </c>
      <c r="AH413" s="514"/>
    </row>
    <row r="414" spans="1:34" ht="25.5" outlineLevel="1" x14ac:dyDescent="0.25">
      <c r="A414" s="876" t="s">
        <v>1560</v>
      </c>
      <c r="B414" s="998" t="s">
        <v>87</v>
      </c>
      <c r="C414" s="1314" t="s">
        <v>1561</v>
      </c>
      <c r="D414" s="95" t="s">
        <v>1722</v>
      </c>
      <c r="E414" s="514" t="s">
        <v>39</v>
      </c>
      <c r="F414" s="514" t="s">
        <v>39</v>
      </c>
      <c r="G414" s="110">
        <v>620</v>
      </c>
      <c r="H414" s="181">
        <v>0</v>
      </c>
      <c r="I414" s="1637">
        <v>0</v>
      </c>
      <c r="J414" s="1638">
        <v>0</v>
      </c>
      <c r="K414" s="1639">
        <v>0</v>
      </c>
      <c r="L414" s="408">
        <v>0</v>
      </c>
      <c r="M414" s="100">
        <v>0</v>
      </c>
      <c r="N414" s="12">
        <v>620</v>
      </c>
      <c r="O414" s="844">
        <v>620</v>
      </c>
      <c r="P414" s="856">
        <v>0</v>
      </c>
      <c r="Q414" s="848">
        <f t="shared" si="14"/>
        <v>620</v>
      </c>
      <c r="R414" s="11">
        <v>0</v>
      </c>
      <c r="S414" s="113">
        <v>0</v>
      </c>
      <c r="T414" s="408">
        <v>0</v>
      </c>
      <c r="U414" s="100">
        <v>0</v>
      </c>
      <c r="V414" s="113">
        <v>0</v>
      </c>
      <c r="W414" s="411">
        <v>0</v>
      </c>
      <c r="X414" s="752">
        <v>0</v>
      </c>
      <c r="Y414" s="752">
        <v>0</v>
      </c>
      <c r="Z414" s="752">
        <v>0</v>
      </c>
      <c r="AA414" s="135">
        <v>0</v>
      </c>
      <c r="AB414" s="95" t="s">
        <v>84</v>
      </c>
      <c r="AC414" s="111" t="s">
        <v>11</v>
      </c>
      <c r="AD414" s="1407" t="s">
        <v>321</v>
      </c>
      <c r="AE414" s="1277" t="s">
        <v>91</v>
      </c>
      <c r="AF414" s="515" t="s">
        <v>101</v>
      </c>
      <c r="AG414" s="514" t="s">
        <v>204</v>
      </c>
      <c r="AH414" s="514"/>
    </row>
    <row r="415" spans="1:34" ht="25.5" outlineLevel="1" x14ac:dyDescent="0.25">
      <c r="A415" s="876" t="s">
        <v>1562</v>
      </c>
      <c r="B415" s="998" t="s">
        <v>87</v>
      </c>
      <c r="C415" s="1314" t="s">
        <v>1563</v>
      </c>
      <c r="D415" s="95" t="s">
        <v>1722</v>
      </c>
      <c r="E415" s="514" t="s">
        <v>39</v>
      </c>
      <c r="F415" s="514" t="s">
        <v>39</v>
      </c>
      <c r="G415" s="110">
        <v>260</v>
      </c>
      <c r="H415" s="181">
        <v>0</v>
      </c>
      <c r="I415" s="1637">
        <v>0</v>
      </c>
      <c r="J415" s="1638">
        <v>0</v>
      </c>
      <c r="K415" s="1639">
        <v>0</v>
      </c>
      <c r="L415" s="408">
        <v>0</v>
      </c>
      <c r="M415" s="100">
        <v>0</v>
      </c>
      <c r="N415" s="12">
        <v>40</v>
      </c>
      <c r="O415" s="844">
        <v>40</v>
      </c>
      <c r="P415" s="856">
        <v>0</v>
      </c>
      <c r="Q415" s="848">
        <f t="shared" si="14"/>
        <v>40</v>
      </c>
      <c r="R415" s="11">
        <v>220</v>
      </c>
      <c r="S415" s="113">
        <v>0</v>
      </c>
      <c r="T415" s="408">
        <v>0</v>
      </c>
      <c r="U415" s="100">
        <v>0</v>
      </c>
      <c r="V415" s="113">
        <v>0</v>
      </c>
      <c r="W415" s="411">
        <v>0</v>
      </c>
      <c r="X415" s="752">
        <v>0</v>
      </c>
      <c r="Y415" s="752">
        <v>0</v>
      </c>
      <c r="Z415" s="752">
        <v>0</v>
      </c>
      <c r="AA415" s="135">
        <v>0</v>
      </c>
      <c r="AB415" s="95" t="s">
        <v>84</v>
      </c>
      <c r="AC415" s="111" t="s">
        <v>11</v>
      </c>
      <c r="AD415" s="1407" t="s">
        <v>321</v>
      </c>
      <c r="AE415" s="1277" t="s">
        <v>91</v>
      </c>
      <c r="AF415" s="515" t="s">
        <v>101</v>
      </c>
      <c r="AG415" s="514" t="s">
        <v>204</v>
      </c>
      <c r="AH415" s="514"/>
    </row>
    <row r="416" spans="1:34" ht="25.5" outlineLevel="1" x14ac:dyDescent="0.25">
      <c r="A416" s="876" t="s">
        <v>1565</v>
      </c>
      <c r="B416" s="998" t="s">
        <v>87</v>
      </c>
      <c r="C416" s="1314" t="s">
        <v>1566</v>
      </c>
      <c r="D416" s="95" t="s">
        <v>1722</v>
      </c>
      <c r="E416" s="514" t="s">
        <v>39</v>
      </c>
      <c r="F416" s="514" t="s">
        <v>39</v>
      </c>
      <c r="G416" s="110">
        <v>150</v>
      </c>
      <c r="H416" s="181">
        <v>0</v>
      </c>
      <c r="I416" s="1637">
        <v>0</v>
      </c>
      <c r="J416" s="1638">
        <v>0</v>
      </c>
      <c r="K416" s="1639">
        <v>0</v>
      </c>
      <c r="L416" s="408">
        <v>0</v>
      </c>
      <c r="M416" s="100">
        <v>0</v>
      </c>
      <c r="N416" s="12">
        <v>150</v>
      </c>
      <c r="O416" s="844">
        <v>150</v>
      </c>
      <c r="P416" s="856">
        <v>0</v>
      </c>
      <c r="Q416" s="848">
        <f t="shared" si="14"/>
        <v>150</v>
      </c>
      <c r="R416" s="11">
        <v>0</v>
      </c>
      <c r="S416" s="113">
        <v>0</v>
      </c>
      <c r="T416" s="408">
        <v>0</v>
      </c>
      <c r="U416" s="100">
        <v>0</v>
      </c>
      <c r="V416" s="113">
        <v>0</v>
      </c>
      <c r="W416" s="411">
        <v>0</v>
      </c>
      <c r="X416" s="752">
        <v>0</v>
      </c>
      <c r="Y416" s="752">
        <v>0</v>
      </c>
      <c r="Z416" s="752">
        <v>0</v>
      </c>
      <c r="AA416" s="135">
        <v>0</v>
      </c>
      <c r="AB416" s="95" t="s">
        <v>84</v>
      </c>
      <c r="AC416" s="111" t="s">
        <v>13</v>
      </c>
      <c r="AD416" s="1407" t="s">
        <v>190</v>
      </c>
      <c r="AE416" s="1277" t="s">
        <v>92</v>
      </c>
      <c r="AF416" s="515" t="s">
        <v>101</v>
      </c>
      <c r="AG416" s="514" t="s">
        <v>204</v>
      </c>
      <c r="AH416" s="514"/>
    </row>
    <row r="417" spans="1:34" ht="31.5" outlineLevel="1" x14ac:dyDescent="0.25">
      <c r="A417" s="876" t="s">
        <v>1567</v>
      </c>
      <c r="B417" s="998" t="s">
        <v>87</v>
      </c>
      <c r="C417" s="1314" t="s">
        <v>1568</v>
      </c>
      <c r="D417" s="95" t="s">
        <v>1722</v>
      </c>
      <c r="E417" s="514" t="s">
        <v>39</v>
      </c>
      <c r="F417" s="514" t="s">
        <v>39</v>
      </c>
      <c r="G417" s="110">
        <v>2286.9</v>
      </c>
      <c r="H417" s="181">
        <v>0</v>
      </c>
      <c r="I417" s="1637">
        <v>0</v>
      </c>
      <c r="J417" s="1638">
        <v>0</v>
      </c>
      <c r="K417" s="1639">
        <v>0</v>
      </c>
      <c r="L417" s="408">
        <v>0</v>
      </c>
      <c r="M417" s="100">
        <v>0</v>
      </c>
      <c r="N417" s="12">
        <v>100</v>
      </c>
      <c r="O417" s="844">
        <v>100</v>
      </c>
      <c r="P417" s="856">
        <v>0</v>
      </c>
      <c r="Q417" s="848">
        <f t="shared" si="14"/>
        <v>100</v>
      </c>
      <c r="R417" s="11">
        <v>2186.9</v>
      </c>
      <c r="S417" s="113">
        <v>0</v>
      </c>
      <c r="T417" s="408">
        <v>0</v>
      </c>
      <c r="U417" s="100">
        <v>0</v>
      </c>
      <c r="V417" s="113">
        <v>0</v>
      </c>
      <c r="W417" s="411">
        <v>0</v>
      </c>
      <c r="X417" s="752">
        <v>0</v>
      </c>
      <c r="Y417" s="752">
        <v>0</v>
      </c>
      <c r="Z417" s="752">
        <v>0</v>
      </c>
      <c r="AA417" s="135">
        <v>0</v>
      </c>
      <c r="AB417" s="95" t="s">
        <v>84</v>
      </c>
      <c r="AC417" s="111" t="s">
        <v>11</v>
      </c>
      <c r="AD417" s="1407" t="s">
        <v>321</v>
      </c>
      <c r="AE417" s="1277" t="s">
        <v>91</v>
      </c>
      <c r="AF417" s="515" t="s">
        <v>101</v>
      </c>
      <c r="AG417" s="514" t="s">
        <v>204</v>
      </c>
      <c r="AH417" s="514"/>
    </row>
    <row r="418" spans="1:34" ht="31.5" outlineLevel="1" x14ac:dyDescent="0.25">
      <c r="A418" s="876" t="s">
        <v>1569</v>
      </c>
      <c r="B418" s="998" t="s">
        <v>87</v>
      </c>
      <c r="C418" s="1314" t="s">
        <v>1570</v>
      </c>
      <c r="D418" s="95" t="s">
        <v>1722</v>
      </c>
      <c r="E418" s="514" t="s">
        <v>38</v>
      </c>
      <c r="F418" s="514" t="s">
        <v>38</v>
      </c>
      <c r="G418" s="110">
        <v>32745.831999999999</v>
      </c>
      <c r="H418" s="181">
        <v>0</v>
      </c>
      <c r="I418" s="1637">
        <v>0</v>
      </c>
      <c r="J418" s="1638">
        <v>0</v>
      </c>
      <c r="K418" s="1639">
        <v>0</v>
      </c>
      <c r="L418" s="408">
        <v>0</v>
      </c>
      <c r="M418" s="100">
        <v>0</v>
      </c>
      <c r="N418" s="12">
        <v>0</v>
      </c>
      <c r="O418" s="844">
        <v>0</v>
      </c>
      <c r="P418" s="856">
        <v>0</v>
      </c>
      <c r="Q418" s="848">
        <f t="shared" si="14"/>
        <v>0</v>
      </c>
      <c r="R418" s="11">
        <v>32745.831999999999</v>
      </c>
      <c r="S418" s="113">
        <v>0</v>
      </c>
      <c r="T418" s="408">
        <v>0</v>
      </c>
      <c r="U418" s="100">
        <v>0</v>
      </c>
      <c r="V418" s="113">
        <v>0</v>
      </c>
      <c r="W418" s="411">
        <v>0</v>
      </c>
      <c r="X418" s="752">
        <v>0</v>
      </c>
      <c r="Y418" s="752">
        <v>0</v>
      </c>
      <c r="Z418" s="752">
        <v>0</v>
      </c>
      <c r="AA418" s="135">
        <v>0</v>
      </c>
      <c r="AB418" s="95" t="s">
        <v>84</v>
      </c>
      <c r="AC418" s="111" t="s">
        <v>11</v>
      </c>
      <c r="AD418" s="1407" t="s">
        <v>321</v>
      </c>
      <c r="AE418" s="1277" t="s">
        <v>91</v>
      </c>
      <c r="AF418" s="515" t="s">
        <v>101</v>
      </c>
      <c r="AG418" s="514" t="s">
        <v>212</v>
      </c>
      <c r="AH418" s="514"/>
    </row>
    <row r="419" spans="1:34" ht="25.5" outlineLevel="1" x14ac:dyDescent="0.25">
      <c r="A419" s="2555" t="s">
        <v>1571</v>
      </c>
      <c r="B419" s="2556" t="s">
        <v>87</v>
      </c>
      <c r="C419" s="2557" t="s">
        <v>1572</v>
      </c>
      <c r="D419" s="157" t="s">
        <v>1722</v>
      </c>
      <c r="E419" s="1738" t="s">
        <v>7</v>
      </c>
      <c r="F419" s="1738" t="s">
        <v>38</v>
      </c>
      <c r="G419" s="2558">
        <v>469.04</v>
      </c>
      <c r="H419" s="2559">
        <v>0</v>
      </c>
      <c r="I419" s="2560">
        <v>0</v>
      </c>
      <c r="J419" s="2561">
        <v>0</v>
      </c>
      <c r="K419" s="2562">
        <v>0</v>
      </c>
      <c r="L419" s="2563">
        <v>0</v>
      </c>
      <c r="M419" s="2564">
        <v>0</v>
      </c>
      <c r="N419" s="2565">
        <f>440+29.04</f>
        <v>469.04</v>
      </c>
      <c r="O419" s="2566">
        <v>440</v>
      </c>
      <c r="P419" s="2567">
        <v>29.04</v>
      </c>
      <c r="Q419" s="2568">
        <f t="shared" si="14"/>
        <v>469.04</v>
      </c>
      <c r="R419" s="2549">
        <v>0</v>
      </c>
      <c r="S419" s="2569">
        <v>0</v>
      </c>
      <c r="T419" s="2563">
        <v>0</v>
      </c>
      <c r="U419" s="2564">
        <v>0</v>
      </c>
      <c r="V419" s="2569">
        <v>0</v>
      </c>
      <c r="W419" s="2570">
        <v>0</v>
      </c>
      <c r="X419" s="2492">
        <v>0</v>
      </c>
      <c r="Y419" s="2492">
        <v>0</v>
      </c>
      <c r="Z419" s="2492">
        <v>0</v>
      </c>
      <c r="AA419" s="2493">
        <v>0</v>
      </c>
      <c r="AB419" s="157" t="s">
        <v>2019</v>
      </c>
      <c r="AC419" s="1117" t="s">
        <v>32</v>
      </c>
      <c r="AD419" s="2571" t="s">
        <v>321</v>
      </c>
      <c r="AE419" s="2572" t="s">
        <v>91</v>
      </c>
      <c r="AF419" s="370" t="s">
        <v>101</v>
      </c>
      <c r="AG419" s="1738" t="s">
        <v>212</v>
      </c>
      <c r="AH419" s="1738"/>
    </row>
    <row r="420" spans="1:34" ht="25.5" outlineLevel="1" x14ac:dyDescent="0.25">
      <c r="A420" s="876" t="s">
        <v>1573</v>
      </c>
      <c r="B420" s="998" t="s">
        <v>87</v>
      </c>
      <c r="C420" s="1314" t="s">
        <v>1574</v>
      </c>
      <c r="D420" s="95" t="s">
        <v>1722</v>
      </c>
      <c r="E420" s="514" t="s">
        <v>303</v>
      </c>
      <c r="F420" s="514" t="s">
        <v>303</v>
      </c>
      <c r="G420" s="110">
        <v>579.35</v>
      </c>
      <c r="H420" s="181">
        <v>0</v>
      </c>
      <c r="I420" s="1637">
        <v>0</v>
      </c>
      <c r="J420" s="1638">
        <v>0</v>
      </c>
      <c r="K420" s="1639">
        <v>0</v>
      </c>
      <c r="L420" s="408">
        <v>0</v>
      </c>
      <c r="M420" s="100">
        <v>0</v>
      </c>
      <c r="N420" s="12">
        <v>579.35</v>
      </c>
      <c r="O420" s="844">
        <v>579.35</v>
      </c>
      <c r="P420" s="856">
        <v>0</v>
      </c>
      <c r="Q420" s="848">
        <f t="shared" si="14"/>
        <v>579.35</v>
      </c>
      <c r="R420" s="11">
        <v>0</v>
      </c>
      <c r="S420" s="113">
        <v>0</v>
      </c>
      <c r="T420" s="408">
        <v>0</v>
      </c>
      <c r="U420" s="100">
        <v>0</v>
      </c>
      <c r="V420" s="113">
        <v>0</v>
      </c>
      <c r="W420" s="411">
        <v>0</v>
      </c>
      <c r="X420" s="752">
        <v>0</v>
      </c>
      <c r="Y420" s="752">
        <v>0</v>
      </c>
      <c r="Z420" s="752">
        <v>0</v>
      </c>
      <c r="AA420" s="135">
        <v>0</v>
      </c>
      <c r="AB420" s="95" t="s">
        <v>84</v>
      </c>
      <c r="AC420" s="111" t="s">
        <v>13</v>
      </c>
      <c r="AD420" s="1407" t="s">
        <v>321</v>
      </c>
      <c r="AE420" s="1277" t="s">
        <v>92</v>
      </c>
      <c r="AF420" s="515" t="s">
        <v>101</v>
      </c>
      <c r="AG420" s="514" t="s">
        <v>210</v>
      </c>
      <c r="AH420" s="514"/>
    </row>
    <row r="421" spans="1:34" ht="47.25" outlineLevel="1" x14ac:dyDescent="0.25">
      <c r="A421" s="876" t="s">
        <v>1575</v>
      </c>
      <c r="B421" s="998" t="s">
        <v>87</v>
      </c>
      <c r="C421" s="1314" t="s">
        <v>1576</v>
      </c>
      <c r="D421" s="95" t="s">
        <v>1722</v>
      </c>
      <c r="E421" s="514" t="s">
        <v>42</v>
      </c>
      <c r="F421" s="514" t="s">
        <v>42</v>
      </c>
      <c r="G421" s="110">
        <v>896</v>
      </c>
      <c r="H421" s="181">
        <v>0</v>
      </c>
      <c r="I421" s="1637">
        <v>0</v>
      </c>
      <c r="J421" s="1638">
        <v>0</v>
      </c>
      <c r="K421" s="1639">
        <v>0</v>
      </c>
      <c r="L421" s="408">
        <v>0</v>
      </c>
      <c r="M421" s="100">
        <v>0</v>
      </c>
      <c r="N421" s="12">
        <v>896</v>
      </c>
      <c r="O421" s="844">
        <v>896</v>
      </c>
      <c r="P421" s="856">
        <v>0</v>
      </c>
      <c r="Q421" s="848">
        <f t="shared" si="14"/>
        <v>896</v>
      </c>
      <c r="R421" s="11">
        <v>0</v>
      </c>
      <c r="S421" s="113">
        <v>0</v>
      </c>
      <c r="T421" s="408">
        <v>0</v>
      </c>
      <c r="U421" s="100">
        <v>0</v>
      </c>
      <c r="V421" s="113">
        <v>0</v>
      </c>
      <c r="W421" s="411">
        <v>0</v>
      </c>
      <c r="X421" s="752">
        <v>0</v>
      </c>
      <c r="Y421" s="752">
        <v>0</v>
      </c>
      <c r="Z421" s="752">
        <v>0</v>
      </c>
      <c r="AA421" s="135">
        <v>0</v>
      </c>
      <c r="AB421" s="95" t="s">
        <v>84</v>
      </c>
      <c r="AC421" s="111" t="s">
        <v>11</v>
      </c>
      <c r="AD421" s="1407" t="s">
        <v>321</v>
      </c>
      <c r="AE421" s="1277" t="s">
        <v>91</v>
      </c>
      <c r="AF421" s="515" t="s">
        <v>101</v>
      </c>
      <c r="AG421" s="514" t="s">
        <v>204</v>
      </c>
      <c r="AH421" s="514"/>
    </row>
    <row r="422" spans="1:34" ht="31.5" outlineLevel="1" x14ac:dyDescent="0.25">
      <c r="A422" s="876" t="s">
        <v>1577</v>
      </c>
      <c r="B422" s="998" t="s">
        <v>87</v>
      </c>
      <c r="C422" s="1314" t="s">
        <v>1578</v>
      </c>
      <c r="D422" s="95" t="s">
        <v>1722</v>
      </c>
      <c r="E422" s="514" t="s">
        <v>42</v>
      </c>
      <c r="F422" s="514" t="s">
        <v>42</v>
      </c>
      <c r="G422" s="110">
        <v>569</v>
      </c>
      <c r="H422" s="181">
        <v>0</v>
      </c>
      <c r="I422" s="1637">
        <v>0</v>
      </c>
      <c r="J422" s="1638">
        <v>0</v>
      </c>
      <c r="K422" s="1639">
        <v>0</v>
      </c>
      <c r="L422" s="408">
        <v>0</v>
      </c>
      <c r="M422" s="100">
        <v>0</v>
      </c>
      <c r="N422" s="12">
        <v>569</v>
      </c>
      <c r="O422" s="844">
        <v>569</v>
      </c>
      <c r="P422" s="856">
        <v>0</v>
      </c>
      <c r="Q422" s="848">
        <f t="shared" si="14"/>
        <v>569</v>
      </c>
      <c r="R422" s="11">
        <v>0</v>
      </c>
      <c r="S422" s="113">
        <v>0</v>
      </c>
      <c r="T422" s="408">
        <v>0</v>
      </c>
      <c r="U422" s="100">
        <v>0</v>
      </c>
      <c r="V422" s="113">
        <v>0</v>
      </c>
      <c r="W422" s="411">
        <v>0</v>
      </c>
      <c r="X422" s="752">
        <v>0</v>
      </c>
      <c r="Y422" s="752">
        <v>0</v>
      </c>
      <c r="Z422" s="752">
        <v>0</v>
      </c>
      <c r="AA422" s="135">
        <v>0</v>
      </c>
      <c r="AB422" s="95" t="s">
        <v>84</v>
      </c>
      <c r="AC422" s="111" t="s">
        <v>11</v>
      </c>
      <c r="AD422" s="1407" t="s">
        <v>321</v>
      </c>
      <c r="AE422" s="1277" t="s">
        <v>91</v>
      </c>
      <c r="AF422" s="515" t="s">
        <v>101</v>
      </c>
      <c r="AG422" s="514" t="s">
        <v>204</v>
      </c>
      <c r="AH422" s="514"/>
    </row>
    <row r="423" spans="1:34" ht="25.5" outlineLevel="1" x14ac:dyDescent="0.25">
      <c r="A423" s="876" t="s">
        <v>1579</v>
      </c>
      <c r="B423" s="998" t="s">
        <v>87</v>
      </c>
      <c r="C423" s="1314" t="s">
        <v>1580</v>
      </c>
      <c r="D423" s="95" t="s">
        <v>1722</v>
      </c>
      <c r="E423" s="514" t="s">
        <v>42</v>
      </c>
      <c r="F423" s="514" t="s">
        <v>42</v>
      </c>
      <c r="G423" s="110">
        <v>115</v>
      </c>
      <c r="H423" s="181">
        <v>0</v>
      </c>
      <c r="I423" s="1637">
        <v>0</v>
      </c>
      <c r="J423" s="1638">
        <v>0</v>
      </c>
      <c r="K423" s="1639">
        <v>0</v>
      </c>
      <c r="L423" s="408">
        <v>0</v>
      </c>
      <c r="M423" s="100">
        <v>0</v>
      </c>
      <c r="N423" s="12">
        <v>115</v>
      </c>
      <c r="O423" s="844">
        <v>115</v>
      </c>
      <c r="P423" s="856">
        <v>0</v>
      </c>
      <c r="Q423" s="848">
        <f t="shared" si="14"/>
        <v>115</v>
      </c>
      <c r="R423" s="11">
        <v>0</v>
      </c>
      <c r="S423" s="113">
        <v>0</v>
      </c>
      <c r="T423" s="408">
        <v>0</v>
      </c>
      <c r="U423" s="100">
        <v>0</v>
      </c>
      <c r="V423" s="113">
        <v>0</v>
      </c>
      <c r="W423" s="411">
        <v>0</v>
      </c>
      <c r="X423" s="752">
        <v>0</v>
      </c>
      <c r="Y423" s="752">
        <v>0</v>
      </c>
      <c r="Z423" s="752">
        <v>0</v>
      </c>
      <c r="AA423" s="135">
        <v>0</v>
      </c>
      <c r="AB423" s="95" t="s">
        <v>84</v>
      </c>
      <c r="AC423" s="111" t="s">
        <v>9</v>
      </c>
      <c r="AD423" s="1407" t="s">
        <v>321</v>
      </c>
      <c r="AE423" s="1277" t="s">
        <v>91</v>
      </c>
      <c r="AF423" s="515" t="s">
        <v>101</v>
      </c>
      <c r="AG423" s="514" t="s">
        <v>204</v>
      </c>
      <c r="AH423" s="514"/>
    </row>
    <row r="424" spans="1:34" ht="47.25" outlineLevel="1" x14ac:dyDescent="0.25">
      <c r="A424" s="876" t="s">
        <v>1581</v>
      </c>
      <c r="B424" s="998" t="s">
        <v>87</v>
      </c>
      <c r="C424" s="1314" t="s">
        <v>1582</v>
      </c>
      <c r="D424" s="95" t="s">
        <v>1722</v>
      </c>
      <c r="E424" s="514" t="s">
        <v>379</v>
      </c>
      <c r="F424" s="514" t="s">
        <v>379</v>
      </c>
      <c r="G424" s="110">
        <v>270</v>
      </c>
      <c r="H424" s="181">
        <v>0</v>
      </c>
      <c r="I424" s="1637">
        <v>0</v>
      </c>
      <c r="J424" s="1638">
        <v>0</v>
      </c>
      <c r="K424" s="1639">
        <v>0</v>
      </c>
      <c r="L424" s="408">
        <v>0</v>
      </c>
      <c r="M424" s="100">
        <v>0</v>
      </c>
      <c r="N424" s="12">
        <v>270</v>
      </c>
      <c r="O424" s="844">
        <v>270</v>
      </c>
      <c r="P424" s="856">
        <v>0</v>
      </c>
      <c r="Q424" s="848">
        <f t="shared" si="14"/>
        <v>270</v>
      </c>
      <c r="R424" s="11">
        <v>0</v>
      </c>
      <c r="S424" s="113">
        <v>0</v>
      </c>
      <c r="T424" s="408">
        <v>0</v>
      </c>
      <c r="U424" s="100">
        <v>0</v>
      </c>
      <c r="V424" s="113">
        <v>0</v>
      </c>
      <c r="W424" s="411">
        <v>0</v>
      </c>
      <c r="X424" s="752">
        <v>0</v>
      </c>
      <c r="Y424" s="752">
        <v>0</v>
      </c>
      <c r="Z424" s="752">
        <v>0</v>
      </c>
      <c r="AA424" s="135">
        <v>0</v>
      </c>
      <c r="AB424" s="95" t="s">
        <v>84</v>
      </c>
      <c r="AC424" s="111" t="s">
        <v>11</v>
      </c>
      <c r="AD424" s="1407" t="s">
        <v>321</v>
      </c>
      <c r="AE424" s="1277" t="s">
        <v>91</v>
      </c>
      <c r="AF424" s="515" t="s">
        <v>101</v>
      </c>
      <c r="AG424" s="514" t="s">
        <v>221</v>
      </c>
      <c r="AH424" s="514"/>
    </row>
    <row r="425" spans="1:34" ht="31.5" outlineLevel="1" x14ac:dyDescent="0.25">
      <c r="A425" s="876" t="s">
        <v>1583</v>
      </c>
      <c r="B425" s="998" t="s">
        <v>87</v>
      </c>
      <c r="C425" s="1314" t="s">
        <v>1584</v>
      </c>
      <c r="D425" s="95" t="s">
        <v>1722</v>
      </c>
      <c r="E425" s="514" t="s">
        <v>339</v>
      </c>
      <c r="F425" s="514" t="s">
        <v>339</v>
      </c>
      <c r="G425" s="110">
        <v>143.21</v>
      </c>
      <c r="H425" s="181">
        <v>0</v>
      </c>
      <c r="I425" s="1637">
        <v>0</v>
      </c>
      <c r="J425" s="1638">
        <v>0</v>
      </c>
      <c r="K425" s="1639">
        <v>0</v>
      </c>
      <c r="L425" s="408">
        <v>0</v>
      </c>
      <c r="M425" s="100">
        <v>0</v>
      </c>
      <c r="N425" s="12">
        <v>143.21</v>
      </c>
      <c r="O425" s="844">
        <v>143.21</v>
      </c>
      <c r="P425" s="856">
        <v>0</v>
      </c>
      <c r="Q425" s="848">
        <f t="shared" si="14"/>
        <v>143.21</v>
      </c>
      <c r="R425" s="11">
        <v>0</v>
      </c>
      <c r="S425" s="113">
        <v>0</v>
      </c>
      <c r="T425" s="408">
        <v>0</v>
      </c>
      <c r="U425" s="100">
        <v>0</v>
      </c>
      <c r="V425" s="113">
        <v>0</v>
      </c>
      <c r="W425" s="411">
        <v>0</v>
      </c>
      <c r="X425" s="752">
        <v>0</v>
      </c>
      <c r="Y425" s="752">
        <v>0</v>
      </c>
      <c r="Z425" s="752">
        <v>0</v>
      </c>
      <c r="AA425" s="135">
        <v>0</v>
      </c>
      <c r="AB425" s="95" t="s">
        <v>84</v>
      </c>
      <c r="AC425" s="111" t="s">
        <v>11</v>
      </c>
      <c r="AD425" s="1407" t="s">
        <v>321</v>
      </c>
      <c r="AE425" s="1277" t="s">
        <v>91</v>
      </c>
      <c r="AF425" s="515" t="s">
        <v>101</v>
      </c>
      <c r="AG425" s="514" t="s">
        <v>215</v>
      </c>
      <c r="AH425" s="514"/>
    </row>
    <row r="426" spans="1:34" ht="31.5" outlineLevel="1" x14ac:dyDescent="0.25">
      <c r="A426" s="876" t="s">
        <v>1585</v>
      </c>
      <c r="B426" s="998" t="s">
        <v>87</v>
      </c>
      <c r="C426" s="1314" t="s">
        <v>1586</v>
      </c>
      <c r="D426" s="95" t="s">
        <v>1722</v>
      </c>
      <c r="E426" s="514" t="s">
        <v>339</v>
      </c>
      <c r="F426" s="514" t="s">
        <v>339</v>
      </c>
      <c r="G426" s="110">
        <v>166.619</v>
      </c>
      <c r="H426" s="181">
        <v>0</v>
      </c>
      <c r="I426" s="1637">
        <v>0</v>
      </c>
      <c r="J426" s="1638">
        <v>0</v>
      </c>
      <c r="K426" s="1639">
        <v>0</v>
      </c>
      <c r="L426" s="408">
        <v>0</v>
      </c>
      <c r="M426" s="100">
        <v>0</v>
      </c>
      <c r="N426" s="12">
        <v>166.619</v>
      </c>
      <c r="O426" s="844">
        <v>166.619</v>
      </c>
      <c r="P426" s="856">
        <v>0</v>
      </c>
      <c r="Q426" s="848">
        <f t="shared" si="14"/>
        <v>166.619</v>
      </c>
      <c r="R426" s="11">
        <v>0</v>
      </c>
      <c r="S426" s="113">
        <v>0</v>
      </c>
      <c r="T426" s="408">
        <v>0</v>
      </c>
      <c r="U426" s="100">
        <v>0</v>
      </c>
      <c r="V426" s="113">
        <v>0</v>
      </c>
      <c r="W426" s="411">
        <v>0</v>
      </c>
      <c r="X426" s="752">
        <v>0</v>
      </c>
      <c r="Y426" s="752">
        <v>0</v>
      </c>
      <c r="Z426" s="752">
        <v>0</v>
      </c>
      <c r="AA426" s="135">
        <v>0</v>
      </c>
      <c r="AB426" s="95" t="s">
        <v>84</v>
      </c>
      <c r="AC426" s="111" t="s">
        <v>13</v>
      </c>
      <c r="AD426" s="1407" t="s">
        <v>190</v>
      </c>
      <c r="AE426" s="1277" t="s">
        <v>92</v>
      </c>
      <c r="AF426" s="515" t="s">
        <v>101</v>
      </c>
      <c r="AG426" s="514" t="s">
        <v>215</v>
      </c>
      <c r="AH426" s="514"/>
    </row>
    <row r="427" spans="1:34" ht="32.25" outlineLevel="1" thickBot="1" x14ac:dyDescent="0.3">
      <c r="A427" s="879" t="s">
        <v>1587</v>
      </c>
      <c r="B427" s="1007" t="s">
        <v>87</v>
      </c>
      <c r="C427" s="1318" t="s">
        <v>1588</v>
      </c>
      <c r="D427" s="98" t="s">
        <v>1722</v>
      </c>
      <c r="E427" s="502" t="s">
        <v>339</v>
      </c>
      <c r="F427" s="502" t="s">
        <v>339</v>
      </c>
      <c r="G427" s="127">
        <v>49888.3</v>
      </c>
      <c r="H427" s="182">
        <v>0</v>
      </c>
      <c r="I427" s="1633">
        <v>0</v>
      </c>
      <c r="J427" s="1634">
        <v>0</v>
      </c>
      <c r="K427" s="1635">
        <v>0</v>
      </c>
      <c r="L427" s="409">
        <v>0</v>
      </c>
      <c r="M427" s="237">
        <v>0</v>
      </c>
      <c r="N427" s="1312">
        <v>0</v>
      </c>
      <c r="O427" s="845">
        <v>0</v>
      </c>
      <c r="P427" s="857">
        <v>0</v>
      </c>
      <c r="Q427" s="1527">
        <f t="shared" si="14"/>
        <v>0</v>
      </c>
      <c r="R427" s="128">
        <v>4174.5</v>
      </c>
      <c r="S427" s="232">
        <v>45713.8</v>
      </c>
      <c r="T427" s="409">
        <v>0</v>
      </c>
      <c r="U427" s="237">
        <v>0</v>
      </c>
      <c r="V427" s="232">
        <v>0</v>
      </c>
      <c r="W427" s="862">
        <v>0</v>
      </c>
      <c r="X427" s="1288">
        <v>0</v>
      </c>
      <c r="Y427" s="1288">
        <v>0</v>
      </c>
      <c r="Z427" s="1288">
        <v>0</v>
      </c>
      <c r="AA427" s="137">
        <v>0</v>
      </c>
      <c r="AB427" s="98" t="s">
        <v>84</v>
      </c>
      <c r="AC427" s="115" t="s">
        <v>11</v>
      </c>
      <c r="AD427" s="1411" t="s">
        <v>627</v>
      </c>
      <c r="AE427" s="1278" t="s">
        <v>91</v>
      </c>
      <c r="AF427" s="58" t="s">
        <v>102</v>
      </c>
      <c r="AG427" s="502" t="s">
        <v>215</v>
      </c>
      <c r="AH427" s="502"/>
    </row>
    <row r="428" spans="1:34" ht="25.5" outlineLevel="1" x14ac:dyDescent="0.25">
      <c r="A428" s="2594" t="s">
        <v>2020</v>
      </c>
      <c r="B428" s="2595" t="s">
        <v>87</v>
      </c>
      <c r="C428" s="2596" t="s">
        <v>2021</v>
      </c>
      <c r="D428" s="212" t="s">
        <v>84</v>
      </c>
      <c r="E428" s="2597" t="s">
        <v>36</v>
      </c>
      <c r="F428" s="2597" t="s">
        <v>36</v>
      </c>
      <c r="G428" s="642">
        <v>14160</v>
      </c>
      <c r="H428" s="266">
        <v>0</v>
      </c>
      <c r="I428" s="2598">
        <v>0</v>
      </c>
      <c r="J428" s="2599">
        <v>0</v>
      </c>
      <c r="K428" s="2600">
        <v>0</v>
      </c>
      <c r="L428" s="2601">
        <v>0</v>
      </c>
      <c r="M428" s="603">
        <v>0</v>
      </c>
      <c r="N428" s="2602">
        <v>0</v>
      </c>
      <c r="O428" s="2603">
        <v>0</v>
      </c>
      <c r="P428" s="2604">
        <v>0</v>
      </c>
      <c r="Q428" s="2605">
        <f t="shared" si="14"/>
        <v>0</v>
      </c>
      <c r="R428" s="346">
        <v>14160</v>
      </c>
      <c r="S428" s="345">
        <v>0</v>
      </c>
      <c r="T428" s="2601">
        <v>0</v>
      </c>
      <c r="U428" s="603">
        <v>0</v>
      </c>
      <c r="V428" s="345">
        <v>0</v>
      </c>
      <c r="W428" s="2606">
        <v>0</v>
      </c>
      <c r="X428" s="2607">
        <v>0</v>
      </c>
      <c r="Y428" s="2607">
        <v>0</v>
      </c>
      <c r="Z428" s="2607">
        <v>0</v>
      </c>
      <c r="AA428" s="2608">
        <v>0</v>
      </c>
      <c r="AB428" s="212" t="s">
        <v>2022</v>
      </c>
      <c r="AC428" s="625" t="s">
        <v>11</v>
      </c>
      <c r="AD428" s="2609" t="s">
        <v>524</v>
      </c>
      <c r="AE428" s="2610" t="s">
        <v>91</v>
      </c>
      <c r="AF428" s="344" t="s">
        <v>101</v>
      </c>
      <c r="AG428" s="2597" t="s">
        <v>209</v>
      </c>
      <c r="AH428" s="2597"/>
    </row>
    <row r="429" spans="1:34" outlineLevel="1" x14ac:dyDescent="0.25">
      <c r="A429" s="2573" t="s">
        <v>2023</v>
      </c>
      <c r="B429" s="2548" t="s">
        <v>87</v>
      </c>
      <c r="C429" s="2574" t="s">
        <v>2024</v>
      </c>
      <c r="D429" s="707" t="s">
        <v>84</v>
      </c>
      <c r="E429" s="2575" t="s">
        <v>36</v>
      </c>
      <c r="F429" s="2575" t="s">
        <v>36</v>
      </c>
      <c r="G429" s="2576">
        <v>470</v>
      </c>
      <c r="H429" s="2577">
        <v>0</v>
      </c>
      <c r="I429" s="2578">
        <v>0</v>
      </c>
      <c r="J429" s="2579">
        <v>0</v>
      </c>
      <c r="K429" s="2580">
        <v>0</v>
      </c>
      <c r="L429" s="2581">
        <v>0</v>
      </c>
      <c r="M429" s="2582">
        <v>0</v>
      </c>
      <c r="N429" s="2583">
        <v>470</v>
      </c>
      <c r="O429" s="2584">
        <v>0</v>
      </c>
      <c r="P429" s="2585">
        <v>470</v>
      </c>
      <c r="Q429" s="2586">
        <f t="shared" si="14"/>
        <v>470</v>
      </c>
      <c r="R429" s="2587">
        <v>0</v>
      </c>
      <c r="S429" s="2588">
        <v>0</v>
      </c>
      <c r="T429" s="2581">
        <v>0</v>
      </c>
      <c r="U429" s="2582">
        <v>0</v>
      </c>
      <c r="V429" s="2588">
        <v>0</v>
      </c>
      <c r="W429" s="2589">
        <v>0</v>
      </c>
      <c r="X429" s="2590">
        <v>0</v>
      </c>
      <c r="Y429" s="2590">
        <v>0</v>
      </c>
      <c r="Z429" s="2590">
        <v>0</v>
      </c>
      <c r="AA429" s="2591">
        <v>0</v>
      </c>
      <c r="AB429" s="707" t="s">
        <v>2025</v>
      </c>
      <c r="AC429" s="551" t="s">
        <v>32</v>
      </c>
      <c r="AD429" s="2592" t="s">
        <v>190</v>
      </c>
      <c r="AE429" s="2593" t="s">
        <v>91</v>
      </c>
      <c r="AF429" s="764" t="s">
        <v>101</v>
      </c>
      <c r="AG429" s="2575" t="s">
        <v>209</v>
      </c>
      <c r="AH429" s="2575"/>
    </row>
    <row r="430" spans="1:34" ht="31.5" outlineLevel="1" x14ac:dyDescent="0.25">
      <c r="A430" s="2573" t="s">
        <v>2026</v>
      </c>
      <c r="B430" s="2548" t="s">
        <v>87</v>
      </c>
      <c r="C430" s="2574" t="s">
        <v>2027</v>
      </c>
      <c r="D430" s="707" t="s">
        <v>84</v>
      </c>
      <c r="E430" s="2575" t="s">
        <v>120</v>
      </c>
      <c r="F430" s="2575" t="s">
        <v>120</v>
      </c>
      <c r="G430" s="2576">
        <v>890</v>
      </c>
      <c r="H430" s="2577">
        <v>0</v>
      </c>
      <c r="I430" s="2578">
        <v>0</v>
      </c>
      <c r="J430" s="2579">
        <v>0</v>
      </c>
      <c r="K430" s="2580">
        <v>0</v>
      </c>
      <c r="L430" s="2581">
        <v>0</v>
      </c>
      <c r="M430" s="2582">
        <v>0</v>
      </c>
      <c r="N430" s="2583">
        <v>0</v>
      </c>
      <c r="O430" s="2584">
        <v>0</v>
      </c>
      <c r="P430" s="2585">
        <v>0</v>
      </c>
      <c r="Q430" s="2586">
        <f t="shared" si="14"/>
        <v>0</v>
      </c>
      <c r="R430" s="2587">
        <v>890</v>
      </c>
      <c r="S430" s="2588">
        <v>0</v>
      </c>
      <c r="T430" s="2581">
        <v>0</v>
      </c>
      <c r="U430" s="2582">
        <v>0</v>
      </c>
      <c r="V430" s="2588">
        <v>0</v>
      </c>
      <c r="W430" s="2589">
        <v>0</v>
      </c>
      <c r="X430" s="2590">
        <v>0</v>
      </c>
      <c r="Y430" s="2590">
        <v>0</v>
      </c>
      <c r="Z430" s="2590">
        <v>0</v>
      </c>
      <c r="AA430" s="2591">
        <v>0</v>
      </c>
      <c r="AB430" s="707" t="s">
        <v>2028</v>
      </c>
      <c r="AC430" s="551" t="s">
        <v>11</v>
      </c>
      <c r="AD430" s="2592" t="s">
        <v>191</v>
      </c>
      <c r="AE430" s="2593" t="s">
        <v>91</v>
      </c>
      <c r="AF430" s="764" t="s">
        <v>101</v>
      </c>
      <c r="AG430" s="2575" t="s">
        <v>217</v>
      </c>
      <c r="AH430" s="2575"/>
    </row>
    <row r="431" spans="1:34" ht="47.25" outlineLevel="1" x14ac:dyDescent="0.25">
      <c r="A431" s="2573" t="s">
        <v>2029</v>
      </c>
      <c r="B431" s="2548" t="s">
        <v>87</v>
      </c>
      <c r="C431" s="2574" t="s">
        <v>2030</v>
      </c>
      <c r="D431" s="707" t="s">
        <v>84</v>
      </c>
      <c r="E431" s="2575" t="s">
        <v>55</v>
      </c>
      <c r="F431" s="2575" t="s">
        <v>55</v>
      </c>
      <c r="G431" s="2576">
        <v>429</v>
      </c>
      <c r="H431" s="2577">
        <v>0</v>
      </c>
      <c r="I431" s="2578">
        <v>0</v>
      </c>
      <c r="J431" s="2579">
        <v>0</v>
      </c>
      <c r="K431" s="2580">
        <v>0</v>
      </c>
      <c r="L431" s="2581">
        <v>0</v>
      </c>
      <c r="M431" s="2582">
        <v>0</v>
      </c>
      <c r="N431" s="2583">
        <v>429</v>
      </c>
      <c r="O431" s="2584">
        <v>0</v>
      </c>
      <c r="P431" s="2585">
        <v>429</v>
      </c>
      <c r="Q431" s="2586">
        <f t="shared" si="14"/>
        <v>429</v>
      </c>
      <c r="R431" s="2587">
        <v>0</v>
      </c>
      <c r="S431" s="2588">
        <v>0</v>
      </c>
      <c r="T431" s="2581">
        <v>0</v>
      </c>
      <c r="U431" s="2582">
        <v>0</v>
      </c>
      <c r="V431" s="2588">
        <v>0</v>
      </c>
      <c r="W431" s="2589">
        <v>0</v>
      </c>
      <c r="X431" s="2590">
        <v>0</v>
      </c>
      <c r="Y431" s="2590">
        <v>0</v>
      </c>
      <c r="Z431" s="2590">
        <v>0</v>
      </c>
      <c r="AA431" s="2591">
        <v>0</v>
      </c>
      <c r="AB431" s="707" t="s">
        <v>2031</v>
      </c>
      <c r="AC431" s="551" t="s">
        <v>11</v>
      </c>
      <c r="AD431" s="2592" t="s">
        <v>191</v>
      </c>
      <c r="AE431" s="2593" t="s">
        <v>91</v>
      </c>
      <c r="AF431" s="764" t="s">
        <v>101</v>
      </c>
      <c r="AG431" s="2575" t="s">
        <v>531</v>
      </c>
      <c r="AH431" s="2575"/>
    </row>
    <row r="432" spans="1:34" ht="31.5" outlineLevel="1" x14ac:dyDescent="0.25">
      <c r="A432" s="2573" t="s">
        <v>2046</v>
      </c>
      <c r="B432" s="2548" t="s">
        <v>87</v>
      </c>
      <c r="C432" s="2631" t="s">
        <v>2047</v>
      </c>
      <c r="D432" s="707" t="s">
        <v>84</v>
      </c>
      <c r="E432" s="2575" t="s">
        <v>379</v>
      </c>
      <c r="F432" s="2575" t="s">
        <v>379</v>
      </c>
      <c r="G432" s="2576">
        <v>212.8389</v>
      </c>
      <c r="H432" s="2577">
        <v>0</v>
      </c>
      <c r="I432" s="2578">
        <v>0</v>
      </c>
      <c r="J432" s="2579">
        <v>0</v>
      </c>
      <c r="K432" s="2580">
        <v>0</v>
      </c>
      <c r="L432" s="2581">
        <v>0</v>
      </c>
      <c r="M432" s="2582">
        <v>0</v>
      </c>
      <c r="N432" s="2583">
        <v>212.8389</v>
      </c>
      <c r="O432" s="2584">
        <v>0</v>
      </c>
      <c r="P432" s="2585">
        <v>212.8389</v>
      </c>
      <c r="Q432" s="2585">
        <f t="shared" si="14"/>
        <v>212.8389</v>
      </c>
      <c r="R432" s="2587">
        <v>0</v>
      </c>
      <c r="S432" s="2588">
        <v>0</v>
      </c>
      <c r="T432" s="2581">
        <v>0</v>
      </c>
      <c r="U432" s="2582">
        <v>0</v>
      </c>
      <c r="V432" s="2588">
        <v>0</v>
      </c>
      <c r="W432" s="2589">
        <v>0</v>
      </c>
      <c r="X432" s="2590">
        <v>0</v>
      </c>
      <c r="Y432" s="2590">
        <v>0</v>
      </c>
      <c r="Z432" s="2590">
        <v>0</v>
      </c>
      <c r="AA432" s="2591">
        <v>0</v>
      </c>
      <c r="AB432" s="707" t="s">
        <v>2048</v>
      </c>
      <c r="AC432" s="551" t="s">
        <v>11</v>
      </c>
      <c r="AD432" s="2592" t="s">
        <v>191</v>
      </c>
      <c r="AE432" s="2593" t="s">
        <v>91</v>
      </c>
      <c r="AF432" s="764" t="s">
        <v>101</v>
      </c>
      <c r="AG432" s="2575" t="s">
        <v>221</v>
      </c>
      <c r="AH432" s="2575"/>
    </row>
    <row r="433" spans="1:34" ht="25.5" outlineLevel="1" x14ac:dyDescent="0.25">
      <c r="A433" s="2573" t="s">
        <v>2049</v>
      </c>
      <c r="B433" s="2548" t="s">
        <v>87</v>
      </c>
      <c r="C433" s="2574" t="s">
        <v>2050</v>
      </c>
      <c r="D433" s="707" t="s">
        <v>84</v>
      </c>
      <c r="E433" s="2575" t="s">
        <v>40</v>
      </c>
      <c r="F433" s="2575" t="s">
        <v>40</v>
      </c>
      <c r="G433" s="2576">
        <v>280</v>
      </c>
      <c r="H433" s="2577">
        <v>0</v>
      </c>
      <c r="I433" s="2578">
        <v>0</v>
      </c>
      <c r="J433" s="2579">
        <v>0</v>
      </c>
      <c r="K433" s="2580">
        <v>0</v>
      </c>
      <c r="L433" s="2581">
        <v>0</v>
      </c>
      <c r="M433" s="2582">
        <v>0</v>
      </c>
      <c r="N433" s="2583">
        <v>280</v>
      </c>
      <c r="O433" s="2584">
        <v>0</v>
      </c>
      <c r="P433" s="2585">
        <v>280</v>
      </c>
      <c r="Q433" s="2585">
        <f t="shared" si="14"/>
        <v>280</v>
      </c>
      <c r="R433" s="2587">
        <v>0</v>
      </c>
      <c r="S433" s="2588">
        <v>0</v>
      </c>
      <c r="T433" s="2581">
        <v>0</v>
      </c>
      <c r="U433" s="2582">
        <v>0</v>
      </c>
      <c r="V433" s="2588">
        <v>0</v>
      </c>
      <c r="W433" s="2589">
        <v>0</v>
      </c>
      <c r="X433" s="2590">
        <v>0</v>
      </c>
      <c r="Y433" s="2590">
        <v>0</v>
      </c>
      <c r="Z433" s="2590">
        <v>0</v>
      </c>
      <c r="AA433" s="2591">
        <v>0</v>
      </c>
      <c r="AB433" s="707" t="s">
        <v>2051</v>
      </c>
      <c r="AC433" s="551" t="s">
        <v>11</v>
      </c>
      <c r="AD433" s="2592" t="s">
        <v>191</v>
      </c>
      <c r="AE433" s="2593" t="s">
        <v>91</v>
      </c>
      <c r="AF433" s="764" t="s">
        <v>101</v>
      </c>
      <c r="AG433" s="2575" t="s">
        <v>218</v>
      </c>
      <c r="AH433" s="2575"/>
    </row>
    <row r="434" spans="1:34" ht="16.5" outlineLevel="1" thickBot="1" x14ac:dyDescent="0.3">
      <c r="A434" s="832" t="s">
        <v>96</v>
      </c>
      <c r="B434" s="56" t="s">
        <v>96</v>
      </c>
      <c r="C434" s="1319" t="s">
        <v>96</v>
      </c>
      <c r="D434" s="98" t="s">
        <v>96</v>
      </c>
      <c r="E434" s="502" t="s">
        <v>96</v>
      </c>
      <c r="F434" s="502" t="s">
        <v>96</v>
      </c>
      <c r="G434" s="1344" t="s">
        <v>96</v>
      </c>
      <c r="H434" s="1650" t="s">
        <v>96</v>
      </c>
      <c r="I434" s="1651" t="s">
        <v>96</v>
      </c>
      <c r="J434" s="1652" t="s">
        <v>96</v>
      </c>
      <c r="K434" s="1653" t="s">
        <v>96</v>
      </c>
      <c r="L434" s="403" t="s">
        <v>96</v>
      </c>
      <c r="M434" s="333" t="s">
        <v>96</v>
      </c>
      <c r="N434" s="508" t="s">
        <v>96</v>
      </c>
      <c r="O434" s="335" t="s">
        <v>96</v>
      </c>
      <c r="P434" s="1544" t="s">
        <v>96</v>
      </c>
      <c r="Q434" s="185" t="s">
        <v>96</v>
      </c>
      <c r="R434" s="335" t="s">
        <v>96</v>
      </c>
      <c r="S434" s="508" t="s">
        <v>96</v>
      </c>
      <c r="T434" s="403" t="s">
        <v>96</v>
      </c>
      <c r="U434" s="333" t="s">
        <v>96</v>
      </c>
      <c r="V434" s="338" t="s">
        <v>96</v>
      </c>
      <c r="W434" s="403" t="s">
        <v>96</v>
      </c>
      <c r="X434" s="1549" t="s">
        <v>96</v>
      </c>
      <c r="Y434" s="1549" t="s">
        <v>96</v>
      </c>
      <c r="Z434" s="1549" t="s">
        <v>96</v>
      </c>
      <c r="AA434" s="508" t="s">
        <v>96</v>
      </c>
      <c r="AB434" s="335" t="s">
        <v>96</v>
      </c>
      <c r="AC434" s="224" t="s">
        <v>96</v>
      </c>
      <c r="AD434" s="1274" t="s">
        <v>96</v>
      </c>
      <c r="AE434" s="89" t="s">
        <v>96</v>
      </c>
      <c r="AF434" s="58" t="s">
        <v>96</v>
      </c>
      <c r="AG434" s="502" t="s">
        <v>96</v>
      </c>
      <c r="AH434" s="502" t="s">
        <v>96</v>
      </c>
    </row>
    <row r="435" spans="1:34" s="1495" customFormat="1" ht="18.75" thickBot="1" x14ac:dyDescent="0.3">
      <c r="A435" s="1078" t="s">
        <v>107</v>
      </c>
      <c r="B435" s="1079"/>
      <c r="C435" s="1093"/>
      <c r="D435" s="38" t="s">
        <v>84</v>
      </c>
      <c r="E435" s="1493" t="s">
        <v>84</v>
      </c>
      <c r="F435" s="1493" t="s">
        <v>84</v>
      </c>
      <c r="G435" s="504">
        <f>SUM(G276:G434)</f>
        <v>2167349.6622699993</v>
      </c>
      <c r="H435" s="504">
        <f t="shared" ref="H435:AA435" si="15">SUM(H276:H434)</f>
        <v>113508.38054999999</v>
      </c>
      <c r="I435" s="504">
        <f t="shared" si="15"/>
        <v>6805.0847699999995</v>
      </c>
      <c r="J435" s="504">
        <f t="shared" si="15"/>
        <v>49130.348300000027</v>
      </c>
      <c r="K435" s="504">
        <v>5642.6670400000012</v>
      </c>
      <c r="L435" s="504">
        <f t="shared" si="15"/>
        <v>6805.0847699999995</v>
      </c>
      <c r="M435" s="504">
        <f t="shared" si="15"/>
        <v>49130.348300000027</v>
      </c>
      <c r="N435" s="504">
        <f t="shared" si="15"/>
        <v>133431.92949999997</v>
      </c>
      <c r="O435" s="504">
        <f t="shared" si="15"/>
        <v>267347.59297999996</v>
      </c>
      <c r="P435" s="504">
        <f t="shared" si="15"/>
        <v>-77980.230410000004</v>
      </c>
      <c r="Q435" s="504">
        <f t="shared" si="15"/>
        <v>189367.36257000003</v>
      </c>
      <c r="R435" s="504">
        <f t="shared" si="15"/>
        <v>789955.73542999988</v>
      </c>
      <c r="S435" s="504">
        <f t="shared" si="15"/>
        <v>1074518.1837200001</v>
      </c>
      <c r="T435" s="504">
        <f t="shared" si="15"/>
        <v>0</v>
      </c>
      <c r="U435" s="504">
        <f t="shared" si="15"/>
        <v>0</v>
      </c>
      <c r="V435" s="504">
        <f t="shared" si="15"/>
        <v>0</v>
      </c>
      <c r="W435" s="504">
        <f t="shared" si="15"/>
        <v>0</v>
      </c>
      <c r="X435" s="504">
        <f t="shared" si="15"/>
        <v>0</v>
      </c>
      <c r="Y435" s="504">
        <v>0</v>
      </c>
      <c r="Z435" s="504">
        <f t="shared" si="15"/>
        <v>0</v>
      </c>
      <c r="AA435" s="504">
        <f t="shared" si="15"/>
        <v>0</v>
      </c>
      <c r="AB435" s="38" t="s">
        <v>1664</v>
      </c>
      <c r="AC435" s="42" t="s">
        <v>84</v>
      </c>
      <c r="AD435" s="1100" t="s">
        <v>84</v>
      </c>
      <c r="AE435" s="1100" t="s">
        <v>84</v>
      </c>
      <c r="AF435" s="42" t="s">
        <v>84</v>
      </c>
      <c r="AG435" s="1493" t="s">
        <v>84</v>
      </c>
      <c r="AH435" s="1493" t="s">
        <v>84</v>
      </c>
    </row>
    <row r="436" spans="1:34" ht="96.75" customHeight="1" outlineLevel="1" x14ac:dyDescent="0.25">
      <c r="A436" s="802" t="s">
        <v>268</v>
      </c>
      <c r="B436" s="798" t="s">
        <v>447</v>
      </c>
      <c r="C436" s="1305" t="s">
        <v>1356</v>
      </c>
      <c r="D436" s="95" t="s">
        <v>1625</v>
      </c>
      <c r="E436" s="514" t="s">
        <v>50</v>
      </c>
      <c r="F436" s="514" t="s">
        <v>50</v>
      </c>
      <c r="G436" s="96">
        <v>360000</v>
      </c>
      <c r="H436" s="209">
        <v>146960.17387</v>
      </c>
      <c r="I436" s="1618">
        <v>31450.697080000002</v>
      </c>
      <c r="J436" s="1611">
        <v>97616.390669999993</v>
      </c>
      <c r="K436" s="1619">
        <v>18035.653979999999</v>
      </c>
      <c r="L436" s="1590">
        <f>90000-58549.30292</f>
        <v>31450.697079999998</v>
      </c>
      <c r="M436" s="516">
        <f>64303.88613+58549.30292-25236.79838</f>
        <v>97616.390669999993</v>
      </c>
      <c r="N436" s="1320">
        <f>40000+18735.94+25236.79838</f>
        <v>83972.738379999995</v>
      </c>
      <c r="O436" s="837">
        <v>213039.82613000006</v>
      </c>
      <c r="P436" s="860">
        <v>0</v>
      </c>
      <c r="Q436" s="613">
        <f t="shared" ref="Q436:Q471" si="16">O436+P436</f>
        <v>213039.82613000006</v>
      </c>
      <c r="R436" s="1487">
        <v>0</v>
      </c>
      <c r="S436" s="443">
        <v>0</v>
      </c>
      <c r="T436" s="518">
        <v>0</v>
      </c>
      <c r="U436" s="516">
        <v>0</v>
      </c>
      <c r="V436" s="1294">
        <v>0</v>
      </c>
      <c r="W436" s="1285">
        <f>270000+23460+0.00045+40000</f>
        <v>333460.00044999999</v>
      </c>
      <c r="X436" s="1673">
        <v>139156.11432000002</v>
      </c>
      <c r="Y436" s="1673">
        <v>147102.74172999998</v>
      </c>
      <c r="Z436" s="801">
        <f>154303.88613+40000</f>
        <v>194303.88613</v>
      </c>
      <c r="AA436" s="746">
        <v>0</v>
      </c>
      <c r="AB436" s="230" t="s">
        <v>1325</v>
      </c>
      <c r="AC436" s="501" t="s">
        <v>13</v>
      </c>
      <c r="AD436" s="116" t="s">
        <v>190</v>
      </c>
      <c r="AE436" s="45" t="s">
        <v>92</v>
      </c>
      <c r="AF436" s="45" t="s">
        <v>101</v>
      </c>
      <c r="AG436" s="514" t="s">
        <v>217</v>
      </c>
      <c r="AH436" s="514" t="s">
        <v>980</v>
      </c>
    </row>
    <row r="437" spans="1:34" ht="32.25" outlineLevel="1" thickBot="1" x14ac:dyDescent="0.3">
      <c r="A437" s="832" t="s">
        <v>269</v>
      </c>
      <c r="B437" s="56" t="s">
        <v>448</v>
      </c>
      <c r="C437" s="1306" t="s">
        <v>52</v>
      </c>
      <c r="D437" s="98" t="s">
        <v>1626</v>
      </c>
      <c r="E437" s="502" t="s">
        <v>51</v>
      </c>
      <c r="F437" s="502" t="s">
        <v>51</v>
      </c>
      <c r="G437" s="15">
        <v>86727</v>
      </c>
      <c r="H437" s="180">
        <v>0</v>
      </c>
      <c r="I437" s="1609">
        <v>0</v>
      </c>
      <c r="J437" s="686">
        <v>0</v>
      </c>
      <c r="K437" s="1610">
        <v>0</v>
      </c>
      <c r="L437" s="330">
        <v>0</v>
      </c>
      <c r="M437" s="101">
        <v>0</v>
      </c>
      <c r="N437" s="1321">
        <v>71647.25</v>
      </c>
      <c r="O437" s="842">
        <v>71647.25</v>
      </c>
      <c r="P437" s="1080">
        <v>0</v>
      </c>
      <c r="Q437" s="531">
        <f t="shared" si="16"/>
        <v>71647.25</v>
      </c>
      <c r="R437" s="17">
        <v>0</v>
      </c>
      <c r="S437" s="18">
        <v>0</v>
      </c>
      <c r="T437" s="330">
        <v>0</v>
      </c>
      <c r="U437" s="101">
        <v>0</v>
      </c>
      <c r="V437" s="39">
        <v>15079.75</v>
      </c>
      <c r="W437" s="870">
        <v>0</v>
      </c>
      <c r="X437" s="697">
        <v>0</v>
      </c>
      <c r="Y437" s="697">
        <v>0</v>
      </c>
      <c r="Z437" s="697">
        <v>0</v>
      </c>
      <c r="AA437" s="217">
        <v>0</v>
      </c>
      <c r="AB437" s="98" t="s">
        <v>383</v>
      </c>
      <c r="AC437" s="98" t="s">
        <v>186</v>
      </c>
      <c r="AD437" s="453" t="s">
        <v>83</v>
      </c>
      <c r="AE437" s="58" t="s">
        <v>92</v>
      </c>
      <c r="AF437" s="58" t="s">
        <v>102</v>
      </c>
      <c r="AG437" s="98" t="s">
        <v>212</v>
      </c>
      <c r="AH437" s="98" t="s">
        <v>980</v>
      </c>
    </row>
    <row r="438" spans="1:34" ht="38.25" outlineLevel="1" x14ac:dyDescent="0.25">
      <c r="A438" s="1707" t="s">
        <v>166</v>
      </c>
      <c r="B438" s="1708" t="s">
        <v>449</v>
      </c>
      <c r="C438" s="1709" t="s">
        <v>167</v>
      </c>
      <c r="D438" s="1050" t="s">
        <v>187</v>
      </c>
      <c r="E438" s="1710" t="s">
        <v>53</v>
      </c>
      <c r="F438" s="1710" t="s">
        <v>53</v>
      </c>
      <c r="G438" s="1711">
        <v>652000</v>
      </c>
      <c r="H438" s="1712">
        <v>374822.38078000001</v>
      </c>
      <c r="I438" s="1713">
        <v>73275.721430000005</v>
      </c>
      <c r="J438" s="1714">
        <v>116791.69177999999</v>
      </c>
      <c r="K438" s="1715">
        <v>19029.50375</v>
      </c>
      <c r="L438" s="1713">
        <f>66000+7275.72143</f>
        <v>73275.721430000005</v>
      </c>
      <c r="M438" s="1105">
        <f>124000-7275.72143+67.41321</f>
        <v>116791.69177999999</v>
      </c>
      <c r="N438" s="2611">
        <f>22177.61922-67.41321</f>
        <v>22110.206010000002</v>
      </c>
      <c r="O438" s="1716">
        <v>212177.61921999999</v>
      </c>
      <c r="P438" s="1717">
        <v>0</v>
      </c>
      <c r="Q438" s="1718">
        <f t="shared" si="16"/>
        <v>212177.61921999999</v>
      </c>
      <c r="R438" s="1049">
        <v>0</v>
      </c>
      <c r="S438" s="796">
        <v>0</v>
      </c>
      <c r="T438" s="1719">
        <v>0</v>
      </c>
      <c r="U438" s="1105">
        <v>0</v>
      </c>
      <c r="V438" s="1104">
        <v>65000</v>
      </c>
      <c r="W438" s="1720">
        <v>587000</v>
      </c>
      <c r="X438" s="1721">
        <v>374822.38078000001</v>
      </c>
      <c r="Y438" s="1721">
        <v>209096.91696</v>
      </c>
      <c r="Z438" s="1105">
        <v>212177.61921999999</v>
      </c>
      <c r="AA438" s="1125">
        <v>0</v>
      </c>
      <c r="AB438" s="639" t="s">
        <v>2032</v>
      </c>
      <c r="AC438" s="639" t="s">
        <v>13</v>
      </c>
      <c r="AD438" s="1722" t="s">
        <v>191</v>
      </c>
      <c r="AE438" s="375" t="s">
        <v>92</v>
      </c>
      <c r="AF438" s="375" t="s">
        <v>101</v>
      </c>
      <c r="AG438" s="1710" t="s">
        <v>208</v>
      </c>
      <c r="AH438" s="1710" t="s">
        <v>980</v>
      </c>
    </row>
    <row r="439" spans="1:34" ht="95.25" customHeight="1" outlineLevel="1" x14ac:dyDescent="0.25">
      <c r="A439" s="1683" t="s">
        <v>168</v>
      </c>
      <c r="B439" s="1724" t="s">
        <v>450</v>
      </c>
      <c r="C439" s="1725" t="s">
        <v>169</v>
      </c>
      <c r="D439" s="220" t="s">
        <v>187</v>
      </c>
      <c r="E439" s="1686" t="s">
        <v>51</v>
      </c>
      <c r="F439" s="1686" t="s">
        <v>51</v>
      </c>
      <c r="G439" s="251">
        <v>350335</v>
      </c>
      <c r="H439" s="322">
        <v>249275.84881</v>
      </c>
      <c r="I439" s="1687">
        <v>27122.96473</v>
      </c>
      <c r="J439" s="1688">
        <v>17248.973290000002</v>
      </c>
      <c r="K439" s="1689">
        <v>851.50099999999998</v>
      </c>
      <c r="L439" s="353">
        <v>27122.96473</v>
      </c>
      <c r="M439" s="354">
        <v>17248.973290000002</v>
      </c>
      <c r="N439" s="354">
        <v>5000</v>
      </c>
      <c r="O439" s="1726">
        <v>71059.151190000033</v>
      </c>
      <c r="P439" s="1727">
        <v>-21687.213169999999</v>
      </c>
      <c r="Q439" s="1691">
        <f t="shared" si="16"/>
        <v>49371.938020000031</v>
      </c>
      <c r="R439" s="249">
        <v>51687.213170000003</v>
      </c>
      <c r="S439" s="257">
        <v>0</v>
      </c>
      <c r="T439" s="353">
        <v>0</v>
      </c>
      <c r="U439" s="354">
        <v>0</v>
      </c>
      <c r="V439" s="249">
        <v>0</v>
      </c>
      <c r="W439" s="1693">
        <v>350335</v>
      </c>
      <c r="X439" s="1695">
        <v>249275.84881</v>
      </c>
      <c r="Y439" s="1695">
        <v>45223.439019999998</v>
      </c>
      <c r="Z439" s="1728">
        <v>49371.938020000001</v>
      </c>
      <c r="AA439" s="355">
        <v>51687.213170000003</v>
      </c>
      <c r="AB439" s="493" t="s">
        <v>2039</v>
      </c>
      <c r="AC439" s="220" t="s">
        <v>13</v>
      </c>
      <c r="AD439" s="390" t="s">
        <v>561</v>
      </c>
      <c r="AE439" s="252" t="s">
        <v>92</v>
      </c>
      <c r="AF439" s="252" t="s">
        <v>101</v>
      </c>
      <c r="AG439" s="220" t="s">
        <v>212</v>
      </c>
      <c r="AH439" s="220" t="s">
        <v>980</v>
      </c>
    </row>
    <row r="440" spans="1:34" ht="64.5" customHeight="1" outlineLevel="1" x14ac:dyDescent="0.25">
      <c r="A440" s="802" t="s">
        <v>170</v>
      </c>
      <c r="B440" s="1109" t="s">
        <v>1139</v>
      </c>
      <c r="C440" s="1323" t="s">
        <v>171</v>
      </c>
      <c r="D440" s="35" t="s">
        <v>187</v>
      </c>
      <c r="E440" s="514" t="s">
        <v>51</v>
      </c>
      <c r="F440" s="514" t="s">
        <v>51</v>
      </c>
      <c r="G440" s="96">
        <v>128408</v>
      </c>
      <c r="H440" s="380">
        <v>9582.0367700000006</v>
      </c>
      <c r="I440" s="1604">
        <v>6370.6659399999999</v>
      </c>
      <c r="J440" s="1605">
        <v>58110.102540000007</v>
      </c>
      <c r="K440" s="1606">
        <v>15992.589169999999</v>
      </c>
      <c r="L440" s="518">
        <v>6370.6659399999999</v>
      </c>
      <c r="M440" s="516">
        <v>58110.10254</v>
      </c>
      <c r="N440" s="516">
        <v>54345.194750000002</v>
      </c>
      <c r="O440" s="838">
        <v>118825.96322999999</v>
      </c>
      <c r="P440" s="849">
        <v>0</v>
      </c>
      <c r="Q440" s="612">
        <f t="shared" si="16"/>
        <v>118825.96322999999</v>
      </c>
      <c r="R440" s="283">
        <v>0</v>
      </c>
      <c r="S440" s="97">
        <v>0</v>
      </c>
      <c r="T440" s="518">
        <v>0</v>
      </c>
      <c r="U440" s="516">
        <v>0</v>
      </c>
      <c r="V440" s="283">
        <v>0</v>
      </c>
      <c r="W440" s="803">
        <v>128408</v>
      </c>
      <c r="X440" s="865">
        <v>9582.0367700000006</v>
      </c>
      <c r="Y440" s="865">
        <v>80473.357649999991</v>
      </c>
      <c r="Z440" s="470">
        <v>118825.96322999999</v>
      </c>
      <c r="AA440" s="877">
        <v>0</v>
      </c>
      <c r="AB440" s="93" t="s">
        <v>84</v>
      </c>
      <c r="AC440" s="95" t="s">
        <v>13</v>
      </c>
      <c r="AD440" s="146" t="s">
        <v>190</v>
      </c>
      <c r="AE440" s="515" t="s">
        <v>92</v>
      </c>
      <c r="AF440" s="515" t="s">
        <v>101</v>
      </c>
      <c r="AG440" s="95" t="s">
        <v>212</v>
      </c>
      <c r="AH440" s="95" t="s">
        <v>980</v>
      </c>
    </row>
    <row r="441" spans="1:34" ht="83.25" customHeight="1" outlineLevel="1" x14ac:dyDescent="0.25">
      <c r="A441" s="802" t="s">
        <v>173</v>
      </c>
      <c r="B441" s="1109" t="s">
        <v>542</v>
      </c>
      <c r="C441" s="1323" t="s">
        <v>174</v>
      </c>
      <c r="D441" s="95" t="s">
        <v>187</v>
      </c>
      <c r="E441" s="514" t="s">
        <v>172</v>
      </c>
      <c r="F441" s="514" t="s">
        <v>172</v>
      </c>
      <c r="G441" s="96">
        <v>121912.65231</v>
      </c>
      <c r="H441" s="380">
        <v>0</v>
      </c>
      <c r="I441" s="1604">
        <v>0</v>
      </c>
      <c r="J441" s="1605">
        <v>0</v>
      </c>
      <c r="K441" s="1606">
        <v>0</v>
      </c>
      <c r="L441" s="518">
        <v>0</v>
      </c>
      <c r="M441" s="516">
        <v>0</v>
      </c>
      <c r="N441" s="1320">
        <v>0</v>
      </c>
      <c r="O441" s="841">
        <v>0</v>
      </c>
      <c r="P441" s="849">
        <v>0</v>
      </c>
      <c r="Q441" s="612">
        <f t="shared" si="16"/>
        <v>0</v>
      </c>
      <c r="R441" s="283">
        <v>55000</v>
      </c>
      <c r="S441" s="97">
        <v>0</v>
      </c>
      <c r="T441" s="518">
        <v>0</v>
      </c>
      <c r="U441" s="516">
        <v>60000</v>
      </c>
      <c r="V441" s="283">
        <v>6912.6523100000004</v>
      </c>
      <c r="W441" s="803">
        <v>55000</v>
      </c>
      <c r="X441" s="865">
        <v>0</v>
      </c>
      <c r="Y441" s="865">
        <v>0</v>
      </c>
      <c r="Z441" s="66">
        <v>0</v>
      </c>
      <c r="AA441" s="1320">
        <v>55000</v>
      </c>
      <c r="AB441" s="93" t="s">
        <v>84</v>
      </c>
      <c r="AC441" s="95" t="s">
        <v>11</v>
      </c>
      <c r="AD441" s="146" t="s">
        <v>190</v>
      </c>
      <c r="AE441" s="515" t="s">
        <v>91</v>
      </c>
      <c r="AF441" s="515" t="s">
        <v>101</v>
      </c>
      <c r="AG441" s="514" t="s">
        <v>208</v>
      </c>
      <c r="AH441" s="514" t="s">
        <v>980</v>
      </c>
    </row>
    <row r="442" spans="1:34" ht="26.25" outlineLevel="1" thickBot="1" x14ac:dyDescent="0.3">
      <c r="A442" s="832" t="s">
        <v>175</v>
      </c>
      <c r="B442" s="1110" t="s">
        <v>451</v>
      </c>
      <c r="C442" s="1319" t="s">
        <v>196</v>
      </c>
      <c r="D442" s="98" t="s">
        <v>187</v>
      </c>
      <c r="E442" s="502" t="s">
        <v>176</v>
      </c>
      <c r="F442" s="502" t="s">
        <v>176</v>
      </c>
      <c r="G442" s="15">
        <v>465333</v>
      </c>
      <c r="H442" s="180">
        <v>186989.35772999999</v>
      </c>
      <c r="I442" s="1609">
        <v>42750.612410000002</v>
      </c>
      <c r="J442" s="686">
        <v>33879.254849999998</v>
      </c>
      <c r="K442" s="1321">
        <v>47043.677339999995</v>
      </c>
      <c r="L442" s="1609">
        <f>43000-249.38759</f>
        <v>42750.612410000002</v>
      </c>
      <c r="M442" s="880">
        <f>33879.25+0.00485</f>
        <v>33879.254849999998</v>
      </c>
      <c r="N442" s="1321">
        <f>106710.77986-0.00485</f>
        <v>106710.77501</v>
      </c>
      <c r="O442" s="842">
        <v>183340.64227000007</v>
      </c>
      <c r="P442" s="1080">
        <v>0</v>
      </c>
      <c r="Q442" s="531">
        <f t="shared" si="16"/>
        <v>183340.64227000007</v>
      </c>
      <c r="R442" s="1292">
        <v>0</v>
      </c>
      <c r="S442" s="391">
        <v>0</v>
      </c>
      <c r="T442" s="330">
        <v>0</v>
      </c>
      <c r="U442" s="101">
        <v>95003</v>
      </c>
      <c r="V442" s="16">
        <v>0</v>
      </c>
      <c r="W442" s="870">
        <v>370330</v>
      </c>
      <c r="X442" s="1655">
        <v>186989.35772999999</v>
      </c>
      <c r="Y442" s="1655">
        <v>123673.54459999999</v>
      </c>
      <c r="Z442" s="880">
        <v>183340.64227000001</v>
      </c>
      <c r="AA442" s="881">
        <v>0</v>
      </c>
      <c r="AB442" s="98" t="s">
        <v>84</v>
      </c>
      <c r="AC442" s="98" t="s">
        <v>13</v>
      </c>
      <c r="AD442" s="58" t="s">
        <v>190</v>
      </c>
      <c r="AE442" s="58" t="s">
        <v>92</v>
      </c>
      <c r="AF442" s="58" t="s">
        <v>101</v>
      </c>
      <c r="AG442" s="98" t="s">
        <v>218</v>
      </c>
      <c r="AH442" s="98" t="s">
        <v>980</v>
      </c>
    </row>
    <row r="443" spans="1:34" ht="51.75" outlineLevel="1" thickBot="1" x14ac:dyDescent="0.3">
      <c r="A443" s="833" t="s">
        <v>637</v>
      </c>
      <c r="B443" s="1111" t="s">
        <v>461</v>
      </c>
      <c r="C443" s="1324" t="s">
        <v>319</v>
      </c>
      <c r="D443" s="20" t="s">
        <v>1627</v>
      </c>
      <c r="E443" s="158" t="s">
        <v>7</v>
      </c>
      <c r="F443" s="158" t="s">
        <v>2033</v>
      </c>
      <c r="G443" s="59">
        <v>8035.6</v>
      </c>
      <c r="H443" s="221">
        <v>0</v>
      </c>
      <c r="I443" s="1587">
        <v>0</v>
      </c>
      <c r="J443" s="1588">
        <v>0</v>
      </c>
      <c r="K443" s="1589">
        <v>0</v>
      </c>
      <c r="L443" s="331">
        <v>0</v>
      </c>
      <c r="M443" s="174">
        <v>0</v>
      </c>
      <c r="N443" s="306">
        <v>8035.6</v>
      </c>
      <c r="O443" s="840">
        <v>8035.6</v>
      </c>
      <c r="P443" s="1149">
        <v>0</v>
      </c>
      <c r="Q443" s="533">
        <f t="shared" si="16"/>
        <v>8035.6</v>
      </c>
      <c r="R443" s="305">
        <v>0</v>
      </c>
      <c r="S443" s="307">
        <v>0</v>
      </c>
      <c r="T443" s="331">
        <v>0</v>
      </c>
      <c r="U443" s="143">
        <v>0</v>
      </c>
      <c r="V443" s="1656">
        <v>0</v>
      </c>
      <c r="W443" s="867">
        <v>0</v>
      </c>
      <c r="X443" s="874">
        <v>0</v>
      </c>
      <c r="Y443" s="874">
        <v>0</v>
      </c>
      <c r="Z443" s="874">
        <v>0</v>
      </c>
      <c r="AA443" s="819">
        <v>0</v>
      </c>
      <c r="AB443" s="43" t="s">
        <v>84</v>
      </c>
      <c r="AC443" s="20" t="s">
        <v>13</v>
      </c>
      <c r="AD443" s="387" t="s">
        <v>1683</v>
      </c>
      <c r="AE443" s="478" t="s">
        <v>92</v>
      </c>
      <c r="AF443" s="387" t="s">
        <v>102</v>
      </c>
      <c r="AG443" s="158" t="s">
        <v>224</v>
      </c>
      <c r="AH443" s="158" t="s">
        <v>981</v>
      </c>
    </row>
    <row r="444" spans="1:34" ht="25.5" outlineLevel="1" x14ac:dyDescent="0.25">
      <c r="A444" s="802" t="s">
        <v>638</v>
      </c>
      <c r="B444" s="798" t="s">
        <v>766</v>
      </c>
      <c r="C444" s="1325" t="s">
        <v>639</v>
      </c>
      <c r="D444" s="479" t="s">
        <v>1617</v>
      </c>
      <c r="E444" s="1599" t="s">
        <v>176</v>
      </c>
      <c r="F444" s="514" t="s">
        <v>176</v>
      </c>
      <c r="G444" s="96">
        <v>13300</v>
      </c>
      <c r="H444" s="96">
        <v>5856</v>
      </c>
      <c r="I444" s="1607">
        <v>0</v>
      </c>
      <c r="J444" s="395">
        <v>0</v>
      </c>
      <c r="K444" s="1657">
        <v>0</v>
      </c>
      <c r="L444" s="518">
        <v>0</v>
      </c>
      <c r="M444" s="516">
        <v>0</v>
      </c>
      <c r="N444" s="512">
        <v>0</v>
      </c>
      <c r="O444" s="841">
        <v>0</v>
      </c>
      <c r="P444" s="860">
        <v>0</v>
      </c>
      <c r="Q444" s="613">
        <f t="shared" si="16"/>
        <v>0</v>
      </c>
      <c r="R444" s="97">
        <v>0</v>
      </c>
      <c r="S444" s="97">
        <v>0</v>
      </c>
      <c r="T444" s="518">
        <v>0</v>
      </c>
      <c r="U444" s="516">
        <v>0</v>
      </c>
      <c r="V444" s="1657">
        <v>7444</v>
      </c>
      <c r="W444" s="803">
        <v>0</v>
      </c>
      <c r="X444" s="470">
        <v>0</v>
      </c>
      <c r="Y444" s="470">
        <v>0</v>
      </c>
      <c r="Z444" s="470">
        <v>0</v>
      </c>
      <c r="AA444" s="513">
        <v>0</v>
      </c>
      <c r="AB444" s="509" t="s">
        <v>84</v>
      </c>
      <c r="AC444" s="95" t="s">
        <v>13</v>
      </c>
      <c r="AD444" s="1730" t="s">
        <v>561</v>
      </c>
      <c r="AE444" s="484" t="s">
        <v>92</v>
      </c>
      <c r="AF444" s="515" t="s">
        <v>101</v>
      </c>
      <c r="AG444" s="514" t="s">
        <v>218</v>
      </c>
      <c r="AH444" s="514" t="s">
        <v>971</v>
      </c>
    </row>
    <row r="445" spans="1:34" ht="25.5" outlineLevel="1" x14ac:dyDescent="0.25">
      <c r="A445" s="802" t="s">
        <v>641</v>
      </c>
      <c r="B445" s="798" t="s">
        <v>87</v>
      </c>
      <c r="C445" s="1314" t="s">
        <v>642</v>
      </c>
      <c r="D445" s="35" t="s">
        <v>1617</v>
      </c>
      <c r="E445" s="1599" t="s">
        <v>50</v>
      </c>
      <c r="F445" s="514" t="s">
        <v>50</v>
      </c>
      <c r="G445" s="96">
        <v>196000</v>
      </c>
      <c r="H445" s="179">
        <v>0</v>
      </c>
      <c r="I445" s="1607">
        <v>0</v>
      </c>
      <c r="J445" s="395">
        <v>0</v>
      </c>
      <c r="K445" s="1657">
        <v>0</v>
      </c>
      <c r="L445" s="518">
        <v>0</v>
      </c>
      <c r="M445" s="516">
        <f>1000-1000</f>
        <v>0</v>
      </c>
      <c r="N445" s="512">
        <f>0+1000</f>
        <v>1000</v>
      </c>
      <c r="O445" s="841">
        <v>1000</v>
      </c>
      <c r="P445" s="1121">
        <v>0</v>
      </c>
      <c r="Q445" s="613">
        <f t="shared" si="16"/>
        <v>1000</v>
      </c>
      <c r="R445" s="97">
        <v>0</v>
      </c>
      <c r="S445" s="283">
        <v>0</v>
      </c>
      <c r="T445" s="518">
        <v>0</v>
      </c>
      <c r="U445" s="516">
        <v>0</v>
      </c>
      <c r="V445" s="213">
        <v>195000</v>
      </c>
      <c r="W445" s="803">
        <v>0</v>
      </c>
      <c r="X445" s="698">
        <v>0</v>
      </c>
      <c r="Y445" s="698">
        <v>0</v>
      </c>
      <c r="Z445" s="698">
        <v>0</v>
      </c>
      <c r="AA445" s="513">
        <v>0</v>
      </c>
      <c r="AB445" s="509" t="s">
        <v>84</v>
      </c>
      <c r="AC445" s="95" t="s">
        <v>11</v>
      </c>
      <c r="AD445" s="146" t="s">
        <v>190</v>
      </c>
      <c r="AE445" s="515" t="s">
        <v>91</v>
      </c>
      <c r="AF445" s="515" t="s">
        <v>101</v>
      </c>
      <c r="AG445" s="514" t="s">
        <v>217</v>
      </c>
      <c r="AH445" s="514" t="s">
        <v>980</v>
      </c>
    </row>
    <row r="446" spans="1:34" ht="26.25" outlineLevel="1" thickBot="1" x14ac:dyDescent="0.3">
      <c r="A446" s="832" t="s">
        <v>643</v>
      </c>
      <c r="B446" s="56" t="s">
        <v>824</v>
      </c>
      <c r="C446" s="1318" t="s">
        <v>767</v>
      </c>
      <c r="D446" s="98" t="s">
        <v>1617</v>
      </c>
      <c r="E446" s="1612" t="s">
        <v>50</v>
      </c>
      <c r="F446" s="502" t="s">
        <v>50</v>
      </c>
      <c r="G446" s="15">
        <v>60000</v>
      </c>
      <c r="H446" s="180">
        <v>15000</v>
      </c>
      <c r="I446" s="1609">
        <v>0</v>
      </c>
      <c r="J446" s="686">
        <v>14773.915060000001</v>
      </c>
      <c r="K446" s="1658">
        <v>3778.6561000000002</v>
      </c>
      <c r="L446" s="330">
        <v>0</v>
      </c>
      <c r="M446" s="101">
        <v>14773.915060000001</v>
      </c>
      <c r="N446" s="16">
        <v>30226.084940000001</v>
      </c>
      <c r="O446" s="842">
        <v>45000</v>
      </c>
      <c r="P446" s="981">
        <v>0</v>
      </c>
      <c r="Q446" s="531">
        <f t="shared" si="16"/>
        <v>45000</v>
      </c>
      <c r="R446" s="18">
        <v>0</v>
      </c>
      <c r="S446" s="39">
        <v>0</v>
      </c>
      <c r="T446" s="330">
        <v>0</v>
      </c>
      <c r="U446" s="101">
        <v>0</v>
      </c>
      <c r="V446" s="687">
        <v>0</v>
      </c>
      <c r="W446" s="870">
        <v>0</v>
      </c>
      <c r="X446" s="697">
        <v>0</v>
      </c>
      <c r="Y446" s="697">
        <v>0</v>
      </c>
      <c r="Z446" s="697">
        <v>0</v>
      </c>
      <c r="AA446" s="217">
        <v>0</v>
      </c>
      <c r="AB446" s="335" t="s">
        <v>84</v>
      </c>
      <c r="AC446" s="98" t="s">
        <v>13</v>
      </c>
      <c r="AD446" s="58" t="s">
        <v>191</v>
      </c>
      <c r="AE446" s="58" t="s">
        <v>92</v>
      </c>
      <c r="AF446" s="58" t="s">
        <v>101</v>
      </c>
      <c r="AG446" s="502" t="s">
        <v>217</v>
      </c>
      <c r="AH446" s="502" t="s">
        <v>971</v>
      </c>
    </row>
    <row r="447" spans="1:34" ht="26.25" outlineLevel="1" thickBot="1" x14ac:dyDescent="0.3">
      <c r="A447" s="579" t="s">
        <v>768</v>
      </c>
      <c r="B447" s="85" t="s">
        <v>825</v>
      </c>
      <c r="C447" s="1094" t="s">
        <v>769</v>
      </c>
      <c r="D447" s="311" t="s">
        <v>1594</v>
      </c>
      <c r="E447" s="611" t="s">
        <v>53</v>
      </c>
      <c r="F447" s="611" t="s">
        <v>53</v>
      </c>
      <c r="G447" s="81">
        <v>242229</v>
      </c>
      <c r="H447" s="222">
        <v>20000</v>
      </c>
      <c r="I447" s="1585">
        <v>0</v>
      </c>
      <c r="J447" s="1470">
        <v>0</v>
      </c>
      <c r="K447" s="1659">
        <v>0</v>
      </c>
      <c r="L447" s="294">
        <v>0</v>
      </c>
      <c r="M447" s="164">
        <v>0</v>
      </c>
      <c r="N447" s="4">
        <v>40000</v>
      </c>
      <c r="O447" s="839">
        <v>40000</v>
      </c>
      <c r="P447" s="1449">
        <v>0</v>
      </c>
      <c r="Q447" s="630">
        <f>O447+P447</f>
        <v>40000</v>
      </c>
      <c r="R447" s="3">
        <v>0</v>
      </c>
      <c r="S447" s="82">
        <v>0</v>
      </c>
      <c r="T447" s="294">
        <v>0</v>
      </c>
      <c r="U447" s="164">
        <v>171166</v>
      </c>
      <c r="V447" s="1362">
        <v>11063</v>
      </c>
      <c r="W447" s="962">
        <v>0</v>
      </c>
      <c r="X447" s="1293">
        <v>0</v>
      </c>
      <c r="Y447" s="1293">
        <v>0</v>
      </c>
      <c r="Z447" s="1293">
        <v>0</v>
      </c>
      <c r="AA447" s="745">
        <v>0</v>
      </c>
      <c r="AB447" s="215" t="s">
        <v>84</v>
      </c>
      <c r="AC447" s="311" t="s">
        <v>13</v>
      </c>
      <c r="AD447" s="454" t="s">
        <v>190</v>
      </c>
      <c r="AE447" s="84" t="s">
        <v>92</v>
      </c>
      <c r="AF447" s="84" t="s">
        <v>101</v>
      </c>
      <c r="AG447" s="611" t="s">
        <v>208</v>
      </c>
      <c r="AH447" s="611" t="s">
        <v>980</v>
      </c>
    </row>
    <row r="448" spans="1:34" ht="31.5" outlineLevel="1" x14ac:dyDescent="0.25">
      <c r="A448" s="831" t="s">
        <v>1074</v>
      </c>
      <c r="B448" s="1108" t="s">
        <v>1279</v>
      </c>
      <c r="C448" s="1462" t="s">
        <v>1140</v>
      </c>
      <c r="D448" s="93" t="s">
        <v>1602</v>
      </c>
      <c r="E448" s="24" t="s">
        <v>51</v>
      </c>
      <c r="F448" s="24" t="s">
        <v>51</v>
      </c>
      <c r="G448" s="47">
        <v>50200</v>
      </c>
      <c r="H448" s="380">
        <v>0</v>
      </c>
      <c r="I448" s="1604">
        <v>0</v>
      </c>
      <c r="J448" s="1605">
        <v>0</v>
      </c>
      <c r="K448" s="1660">
        <v>1953.31924</v>
      </c>
      <c r="L448" s="517">
        <v>0</v>
      </c>
      <c r="M448" s="488">
        <v>0</v>
      </c>
      <c r="N448" s="499">
        <v>20000</v>
      </c>
      <c r="O448" s="838">
        <v>20000</v>
      </c>
      <c r="P448" s="854">
        <v>0</v>
      </c>
      <c r="Q448" s="612">
        <f t="shared" si="16"/>
        <v>20000</v>
      </c>
      <c r="R448" s="2">
        <v>0</v>
      </c>
      <c r="S448" s="285">
        <v>0</v>
      </c>
      <c r="T448" s="517">
        <v>0</v>
      </c>
      <c r="U448" s="488">
        <v>0</v>
      </c>
      <c r="V448" s="397">
        <v>30200</v>
      </c>
      <c r="W448" s="864">
        <v>0</v>
      </c>
      <c r="X448" s="865">
        <v>0</v>
      </c>
      <c r="Y448" s="865">
        <v>0</v>
      </c>
      <c r="Z448" s="865">
        <v>0</v>
      </c>
      <c r="AA448" s="500">
        <v>0</v>
      </c>
      <c r="AB448" s="399" t="s">
        <v>84</v>
      </c>
      <c r="AC448" s="95" t="s">
        <v>13</v>
      </c>
      <c r="AD448" s="146" t="s">
        <v>1023</v>
      </c>
      <c r="AE448" s="515" t="s">
        <v>92</v>
      </c>
      <c r="AF448" s="484" t="s">
        <v>101</v>
      </c>
      <c r="AG448" s="24" t="s">
        <v>212</v>
      </c>
      <c r="AH448" s="24" t="s">
        <v>980</v>
      </c>
    </row>
    <row r="449" spans="1:34" ht="31.5" outlineLevel="1" x14ac:dyDescent="0.25">
      <c r="A449" s="802" t="s">
        <v>1075</v>
      </c>
      <c r="B449" s="1109" t="s">
        <v>1280</v>
      </c>
      <c r="C449" s="1323" t="s">
        <v>1141</v>
      </c>
      <c r="D449" s="93" t="s">
        <v>1602</v>
      </c>
      <c r="E449" s="514" t="s">
        <v>51</v>
      </c>
      <c r="F449" s="514" t="s">
        <v>1142</v>
      </c>
      <c r="G449" s="5">
        <v>10000</v>
      </c>
      <c r="H449" s="179">
        <v>0</v>
      </c>
      <c r="I449" s="1607">
        <v>0</v>
      </c>
      <c r="J449" s="395">
        <v>0</v>
      </c>
      <c r="K449" s="1657">
        <v>0</v>
      </c>
      <c r="L449" s="518">
        <v>0</v>
      </c>
      <c r="M449" s="516">
        <v>0</v>
      </c>
      <c r="N449" s="512">
        <v>10000</v>
      </c>
      <c r="O449" s="841">
        <v>10000</v>
      </c>
      <c r="P449" s="1121">
        <v>0</v>
      </c>
      <c r="Q449" s="613">
        <f t="shared" si="16"/>
        <v>10000</v>
      </c>
      <c r="R449" s="97">
        <v>0</v>
      </c>
      <c r="S449" s="283">
        <v>0</v>
      </c>
      <c r="T449" s="518">
        <v>0</v>
      </c>
      <c r="U449" s="516">
        <v>0</v>
      </c>
      <c r="V449" s="213">
        <v>0</v>
      </c>
      <c r="W449" s="803">
        <v>0</v>
      </c>
      <c r="X449" s="698">
        <v>0</v>
      </c>
      <c r="Y449" s="698">
        <v>0</v>
      </c>
      <c r="Z449" s="698">
        <v>0</v>
      </c>
      <c r="AA449" s="513">
        <v>0</v>
      </c>
      <c r="AB449" s="509" t="s">
        <v>84</v>
      </c>
      <c r="AC449" s="95" t="s">
        <v>13</v>
      </c>
      <c r="AD449" s="146" t="s">
        <v>190</v>
      </c>
      <c r="AE449" s="515" t="s">
        <v>92</v>
      </c>
      <c r="AF449" s="515" t="s">
        <v>101</v>
      </c>
      <c r="AG449" s="514" t="s">
        <v>209</v>
      </c>
      <c r="AH449" s="514" t="s">
        <v>980</v>
      </c>
    </row>
    <row r="450" spans="1:34" ht="25.5" outlineLevel="1" x14ac:dyDescent="0.25">
      <c r="A450" s="802" t="s">
        <v>1076</v>
      </c>
      <c r="B450" s="1109" t="s">
        <v>1281</v>
      </c>
      <c r="C450" s="1323" t="s">
        <v>1079</v>
      </c>
      <c r="D450" s="93" t="s">
        <v>1602</v>
      </c>
      <c r="E450" s="514" t="s">
        <v>351</v>
      </c>
      <c r="F450" s="514" t="s">
        <v>351</v>
      </c>
      <c r="G450" s="5">
        <v>50000</v>
      </c>
      <c r="H450" s="179">
        <v>0</v>
      </c>
      <c r="I450" s="1607">
        <v>0</v>
      </c>
      <c r="J450" s="395">
        <v>0</v>
      </c>
      <c r="K450" s="1657">
        <v>0</v>
      </c>
      <c r="L450" s="518">
        <v>0</v>
      </c>
      <c r="M450" s="516">
        <v>0</v>
      </c>
      <c r="N450" s="516">
        <v>24200</v>
      </c>
      <c r="O450" s="841">
        <v>24200</v>
      </c>
      <c r="P450" s="1121">
        <v>0</v>
      </c>
      <c r="Q450" s="613">
        <f t="shared" si="16"/>
        <v>24200</v>
      </c>
      <c r="R450" s="97">
        <v>0</v>
      </c>
      <c r="S450" s="283">
        <v>0</v>
      </c>
      <c r="T450" s="518">
        <v>0</v>
      </c>
      <c r="U450" s="516">
        <v>0</v>
      </c>
      <c r="V450" s="213">
        <v>25800</v>
      </c>
      <c r="W450" s="803">
        <v>0</v>
      </c>
      <c r="X450" s="698">
        <v>0</v>
      </c>
      <c r="Y450" s="698">
        <v>0</v>
      </c>
      <c r="Z450" s="698">
        <v>0</v>
      </c>
      <c r="AA450" s="513">
        <v>0</v>
      </c>
      <c r="AB450" s="509" t="s">
        <v>84</v>
      </c>
      <c r="AC450" s="95" t="s">
        <v>13</v>
      </c>
      <c r="AD450" s="146" t="s">
        <v>190</v>
      </c>
      <c r="AE450" s="515" t="s">
        <v>92</v>
      </c>
      <c r="AF450" s="515" t="s">
        <v>101</v>
      </c>
      <c r="AG450" s="514" t="s">
        <v>203</v>
      </c>
      <c r="AH450" s="514" t="s">
        <v>980</v>
      </c>
    </row>
    <row r="451" spans="1:34" ht="25.5" outlineLevel="1" x14ac:dyDescent="0.25">
      <c r="A451" s="802" t="s">
        <v>1077</v>
      </c>
      <c r="B451" s="1109" t="s">
        <v>1282</v>
      </c>
      <c r="C451" s="1323" t="s">
        <v>1080</v>
      </c>
      <c r="D451" s="93" t="s">
        <v>1602</v>
      </c>
      <c r="E451" s="514" t="s">
        <v>351</v>
      </c>
      <c r="F451" s="514" t="s">
        <v>351</v>
      </c>
      <c r="G451" s="186">
        <v>7199.5</v>
      </c>
      <c r="H451" s="179">
        <v>0</v>
      </c>
      <c r="I451" s="1607">
        <v>0</v>
      </c>
      <c r="J451" s="395">
        <v>0</v>
      </c>
      <c r="K451" s="1657">
        <v>0</v>
      </c>
      <c r="L451" s="518">
        <v>0</v>
      </c>
      <c r="M451" s="516">
        <v>0</v>
      </c>
      <c r="N451" s="512">
        <v>5400</v>
      </c>
      <c r="O451" s="841">
        <v>5400</v>
      </c>
      <c r="P451" s="1121">
        <v>0</v>
      </c>
      <c r="Q451" s="613">
        <f t="shared" si="16"/>
        <v>5400</v>
      </c>
      <c r="R451" s="97">
        <v>0</v>
      </c>
      <c r="S451" s="283">
        <v>0</v>
      </c>
      <c r="T451" s="518">
        <v>0</v>
      </c>
      <c r="U451" s="516">
        <v>0</v>
      </c>
      <c r="V451" s="395">
        <v>1799.5</v>
      </c>
      <c r="W451" s="803">
        <v>0</v>
      </c>
      <c r="X451" s="698">
        <v>0</v>
      </c>
      <c r="Y451" s="698">
        <v>0</v>
      </c>
      <c r="Z451" s="698">
        <v>0</v>
      </c>
      <c r="AA451" s="513">
        <v>0</v>
      </c>
      <c r="AB451" s="509" t="s">
        <v>84</v>
      </c>
      <c r="AC451" s="95" t="s">
        <v>13</v>
      </c>
      <c r="AD451" s="116" t="s">
        <v>190</v>
      </c>
      <c r="AE451" s="515" t="s">
        <v>92</v>
      </c>
      <c r="AF451" s="515" t="s">
        <v>101</v>
      </c>
      <c r="AG451" s="514" t="s">
        <v>203</v>
      </c>
      <c r="AH451" s="514" t="s">
        <v>971</v>
      </c>
    </row>
    <row r="452" spans="1:34" ht="26.25" outlineLevel="1" thickBot="1" x14ac:dyDescent="0.3">
      <c r="A452" s="832" t="s">
        <v>1078</v>
      </c>
      <c r="B452" s="1110" t="s">
        <v>1283</v>
      </c>
      <c r="C452" s="1319" t="s">
        <v>1081</v>
      </c>
      <c r="D452" s="98" t="s">
        <v>1602</v>
      </c>
      <c r="E452" s="502" t="s">
        <v>176</v>
      </c>
      <c r="F452" s="502" t="s">
        <v>176</v>
      </c>
      <c r="G452" s="55">
        <v>34303.5</v>
      </c>
      <c r="H452" s="180">
        <v>0</v>
      </c>
      <c r="I452" s="1609">
        <v>0</v>
      </c>
      <c r="J452" s="686">
        <v>0</v>
      </c>
      <c r="K452" s="1658">
        <v>30000</v>
      </c>
      <c r="L452" s="330">
        <v>0</v>
      </c>
      <c r="M452" s="101">
        <v>0</v>
      </c>
      <c r="N452" s="16">
        <v>30000</v>
      </c>
      <c r="O452" s="842">
        <v>30000</v>
      </c>
      <c r="P452" s="981">
        <v>0</v>
      </c>
      <c r="Q452" s="531">
        <f t="shared" si="16"/>
        <v>30000</v>
      </c>
      <c r="R452" s="18">
        <v>0</v>
      </c>
      <c r="S452" s="39">
        <v>0</v>
      </c>
      <c r="T452" s="330">
        <v>0</v>
      </c>
      <c r="U452" s="101">
        <v>0</v>
      </c>
      <c r="V452" s="687">
        <v>4303.5</v>
      </c>
      <c r="W452" s="870">
        <v>0</v>
      </c>
      <c r="X452" s="697">
        <v>0</v>
      </c>
      <c r="Y452" s="697">
        <v>0</v>
      </c>
      <c r="Z452" s="697">
        <v>0</v>
      </c>
      <c r="AA452" s="217">
        <v>0</v>
      </c>
      <c r="AB452" s="335" t="s">
        <v>84</v>
      </c>
      <c r="AC452" s="98" t="s">
        <v>186</v>
      </c>
      <c r="AD452" s="453" t="s">
        <v>321</v>
      </c>
      <c r="AE452" s="58" t="s">
        <v>92</v>
      </c>
      <c r="AF452" s="58" t="s">
        <v>101</v>
      </c>
      <c r="AG452" s="502" t="s">
        <v>218</v>
      </c>
      <c r="AH452" s="502" t="s">
        <v>980</v>
      </c>
    </row>
    <row r="453" spans="1:34" ht="31.5" outlineLevel="1" x14ac:dyDescent="0.25">
      <c r="A453" s="1707" t="s">
        <v>1284</v>
      </c>
      <c r="B453" s="1708" t="s">
        <v>1456</v>
      </c>
      <c r="C453" s="1709" t="s">
        <v>1408</v>
      </c>
      <c r="D453" s="680" t="s">
        <v>1592</v>
      </c>
      <c r="E453" s="1710" t="s">
        <v>53</v>
      </c>
      <c r="F453" s="1710" t="s">
        <v>53</v>
      </c>
      <c r="G453" s="1711">
        <v>428000</v>
      </c>
      <c r="H453" s="1712">
        <v>0</v>
      </c>
      <c r="I453" s="1713">
        <v>0</v>
      </c>
      <c r="J453" s="1714">
        <v>0</v>
      </c>
      <c r="K453" s="1731">
        <v>0</v>
      </c>
      <c r="L453" s="1719">
        <v>0</v>
      </c>
      <c r="M453" s="1105">
        <v>0</v>
      </c>
      <c r="N453" s="1732">
        <v>40000</v>
      </c>
      <c r="O453" s="1716">
        <v>40000</v>
      </c>
      <c r="P453" s="1733">
        <v>0</v>
      </c>
      <c r="Q453" s="1718">
        <f t="shared" si="16"/>
        <v>40000</v>
      </c>
      <c r="R453" s="1734">
        <v>378000</v>
      </c>
      <c r="S453" s="1049">
        <v>0</v>
      </c>
      <c r="T453" s="1719">
        <v>0</v>
      </c>
      <c r="U453" s="1104">
        <v>0</v>
      </c>
      <c r="V453" s="1104">
        <v>10000</v>
      </c>
      <c r="W453" s="1720">
        <v>0</v>
      </c>
      <c r="X453" s="1721">
        <v>0</v>
      </c>
      <c r="Y453" s="1721">
        <v>0</v>
      </c>
      <c r="Z453" s="1721">
        <v>0</v>
      </c>
      <c r="AA453" s="1125">
        <v>0</v>
      </c>
      <c r="AB453" s="640" t="s">
        <v>2034</v>
      </c>
      <c r="AC453" s="639" t="s">
        <v>13</v>
      </c>
      <c r="AD453" s="619" t="s">
        <v>524</v>
      </c>
      <c r="AE453" s="1722" t="s">
        <v>92</v>
      </c>
      <c r="AF453" s="375" t="s">
        <v>101</v>
      </c>
      <c r="AG453" s="1710" t="s">
        <v>208</v>
      </c>
      <c r="AH453" s="1710"/>
    </row>
    <row r="454" spans="1:34" ht="25.5" outlineLevel="1" x14ac:dyDescent="0.25">
      <c r="A454" s="1735" t="s">
        <v>1285</v>
      </c>
      <c r="B454" s="1736" t="s">
        <v>1457</v>
      </c>
      <c r="C454" s="1737" t="s">
        <v>1286</v>
      </c>
      <c r="D454" s="144" t="s">
        <v>1592</v>
      </c>
      <c r="E454" s="1738" t="s">
        <v>53</v>
      </c>
      <c r="F454" s="1738" t="s">
        <v>53</v>
      </c>
      <c r="G454" s="1711">
        <v>84200</v>
      </c>
      <c r="H454" s="1739">
        <v>0</v>
      </c>
      <c r="I454" s="1740">
        <v>0</v>
      </c>
      <c r="J454" s="1741">
        <v>18022.004110000002</v>
      </c>
      <c r="K454" s="1742">
        <v>21220.24987</v>
      </c>
      <c r="L454" s="1743">
        <v>0</v>
      </c>
      <c r="M454" s="1104">
        <f>0+18022.00411</f>
        <v>18022.004110000002</v>
      </c>
      <c r="N454" s="1102">
        <f>56000-18022.00411</f>
        <v>37977.995889999998</v>
      </c>
      <c r="O454" s="1744">
        <v>56000</v>
      </c>
      <c r="P454" s="1745">
        <v>0</v>
      </c>
      <c r="Q454" s="1746">
        <f t="shared" si="16"/>
        <v>56000</v>
      </c>
      <c r="R454" s="1747">
        <v>0</v>
      </c>
      <c r="S454" s="1103">
        <v>0</v>
      </c>
      <c r="T454" s="1743">
        <v>0</v>
      </c>
      <c r="U454" s="1104">
        <v>0</v>
      </c>
      <c r="V454" s="1748">
        <v>28200</v>
      </c>
      <c r="W454" s="1749">
        <v>0</v>
      </c>
      <c r="X454" s="1750">
        <v>0</v>
      </c>
      <c r="Y454" s="1750">
        <v>0</v>
      </c>
      <c r="Z454" s="1750">
        <v>0</v>
      </c>
      <c r="AA454" s="1751">
        <v>0</v>
      </c>
      <c r="AB454" s="620" t="s">
        <v>1684</v>
      </c>
      <c r="AC454" s="157" t="s">
        <v>13</v>
      </c>
      <c r="AD454" s="370" t="s">
        <v>190</v>
      </c>
      <c r="AE454" s="641" t="s">
        <v>92</v>
      </c>
      <c r="AF454" s="370" t="s">
        <v>101</v>
      </c>
      <c r="AG454" s="1738" t="s">
        <v>208</v>
      </c>
      <c r="AH454" s="1738"/>
    </row>
    <row r="455" spans="1:34" ht="25.5" outlineLevel="1" x14ac:dyDescent="0.25">
      <c r="A455" s="802" t="s">
        <v>1287</v>
      </c>
      <c r="B455" s="1109" t="s">
        <v>1458</v>
      </c>
      <c r="C455" s="1323" t="s">
        <v>1288</v>
      </c>
      <c r="D455" s="19" t="s">
        <v>1347</v>
      </c>
      <c r="E455" s="1599" t="s">
        <v>50</v>
      </c>
      <c r="F455" s="514" t="s">
        <v>50</v>
      </c>
      <c r="G455" s="5">
        <v>7500</v>
      </c>
      <c r="H455" s="179">
        <v>0</v>
      </c>
      <c r="I455" s="1607">
        <v>0</v>
      </c>
      <c r="J455" s="395">
        <v>0</v>
      </c>
      <c r="K455" s="1657">
        <v>0</v>
      </c>
      <c r="L455" s="518">
        <v>0</v>
      </c>
      <c r="M455" s="516">
        <v>0</v>
      </c>
      <c r="N455" s="512">
        <v>7500</v>
      </c>
      <c r="O455" s="841">
        <v>7500</v>
      </c>
      <c r="P455" s="1121">
        <v>0</v>
      </c>
      <c r="Q455" s="613">
        <f t="shared" si="16"/>
        <v>7500</v>
      </c>
      <c r="R455" s="97">
        <v>0</v>
      </c>
      <c r="S455" s="283">
        <v>0</v>
      </c>
      <c r="T455" s="518">
        <v>0</v>
      </c>
      <c r="U455" s="516">
        <v>0</v>
      </c>
      <c r="V455" s="213">
        <v>0</v>
      </c>
      <c r="W455" s="803">
        <v>0</v>
      </c>
      <c r="X455" s="698">
        <v>0</v>
      </c>
      <c r="Y455" s="698">
        <v>0</v>
      </c>
      <c r="Z455" s="698">
        <v>0</v>
      </c>
      <c r="AA455" s="513">
        <v>0</v>
      </c>
      <c r="AB455" s="487" t="s">
        <v>84</v>
      </c>
      <c r="AC455" s="95" t="s">
        <v>186</v>
      </c>
      <c r="AD455" s="515" t="s">
        <v>190</v>
      </c>
      <c r="AE455" s="146" t="s">
        <v>92</v>
      </c>
      <c r="AF455" s="515" t="s">
        <v>101</v>
      </c>
      <c r="AG455" s="514" t="s">
        <v>217</v>
      </c>
      <c r="AH455" s="514"/>
    </row>
    <row r="456" spans="1:34" ht="31.5" outlineLevel="1" x14ac:dyDescent="0.25">
      <c r="A456" s="802" t="s">
        <v>1289</v>
      </c>
      <c r="B456" s="1109" t="s">
        <v>1459</v>
      </c>
      <c r="C456" s="1323" t="s">
        <v>1290</v>
      </c>
      <c r="D456" s="19" t="s">
        <v>1592</v>
      </c>
      <c r="E456" s="514" t="s">
        <v>51</v>
      </c>
      <c r="F456" s="514" t="s">
        <v>51</v>
      </c>
      <c r="G456" s="5">
        <v>23000</v>
      </c>
      <c r="H456" s="179">
        <v>0</v>
      </c>
      <c r="I456" s="1607">
        <v>0</v>
      </c>
      <c r="J456" s="395">
        <v>0</v>
      </c>
      <c r="K456" s="1657">
        <v>0</v>
      </c>
      <c r="L456" s="518">
        <v>0</v>
      </c>
      <c r="M456" s="516">
        <v>0</v>
      </c>
      <c r="N456" s="512">
        <v>23000</v>
      </c>
      <c r="O456" s="841">
        <v>23000</v>
      </c>
      <c r="P456" s="1121">
        <v>0</v>
      </c>
      <c r="Q456" s="613">
        <f t="shared" si="16"/>
        <v>23000</v>
      </c>
      <c r="R456" s="97">
        <v>0</v>
      </c>
      <c r="S456" s="283">
        <v>0</v>
      </c>
      <c r="T456" s="518">
        <v>0</v>
      </c>
      <c r="U456" s="516">
        <v>0</v>
      </c>
      <c r="V456" s="213">
        <v>0</v>
      </c>
      <c r="W456" s="803">
        <v>0</v>
      </c>
      <c r="X456" s="698">
        <v>0</v>
      </c>
      <c r="Y456" s="698">
        <v>0</v>
      </c>
      <c r="Z456" s="698">
        <v>0</v>
      </c>
      <c r="AA456" s="513">
        <v>0</v>
      </c>
      <c r="AB456" s="487" t="s">
        <v>84</v>
      </c>
      <c r="AC456" s="95" t="s">
        <v>13</v>
      </c>
      <c r="AD456" s="515" t="s">
        <v>190</v>
      </c>
      <c r="AE456" s="116" t="s">
        <v>92</v>
      </c>
      <c r="AF456" s="515" t="s">
        <v>101</v>
      </c>
      <c r="AG456" s="514" t="s">
        <v>212</v>
      </c>
      <c r="AH456" s="514"/>
    </row>
    <row r="457" spans="1:34" ht="31.5" outlineLevel="1" x14ac:dyDescent="0.25">
      <c r="A457" s="802" t="s">
        <v>1291</v>
      </c>
      <c r="B457" s="1109" t="s">
        <v>1460</v>
      </c>
      <c r="C457" s="1323" t="s">
        <v>1292</v>
      </c>
      <c r="D457" s="19" t="s">
        <v>1592</v>
      </c>
      <c r="E457" s="514" t="s">
        <v>51</v>
      </c>
      <c r="F457" s="514" t="s">
        <v>51</v>
      </c>
      <c r="G457" s="5">
        <v>22000</v>
      </c>
      <c r="H457" s="179">
        <v>0</v>
      </c>
      <c r="I457" s="1607">
        <v>0</v>
      </c>
      <c r="J457" s="395">
        <v>0</v>
      </c>
      <c r="K457" s="1657">
        <v>0</v>
      </c>
      <c r="L457" s="518">
        <v>0</v>
      </c>
      <c r="M457" s="516">
        <v>0</v>
      </c>
      <c r="N457" s="512">
        <v>22000</v>
      </c>
      <c r="O457" s="841">
        <v>22000</v>
      </c>
      <c r="P457" s="1121">
        <v>0</v>
      </c>
      <c r="Q457" s="613">
        <f t="shared" si="16"/>
        <v>22000</v>
      </c>
      <c r="R457" s="97">
        <v>0</v>
      </c>
      <c r="S457" s="283">
        <v>0</v>
      </c>
      <c r="T457" s="518">
        <v>0</v>
      </c>
      <c r="U457" s="516">
        <v>0</v>
      </c>
      <c r="V457" s="213">
        <v>0</v>
      </c>
      <c r="W457" s="803">
        <v>0</v>
      </c>
      <c r="X457" s="698">
        <v>0</v>
      </c>
      <c r="Y457" s="698">
        <v>0</v>
      </c>
      <c r="Z457" s="698">
        <v>0</v>
      </c>
      <c r="AA457" s="513">
        <v>0</v>
      </c>
      <c r="AB457" s="487" t="s">
        <v>84</v>
      </c>
      <c r="AC457" s="95" t="s">
        <v>13</v>
      </c>
      <c r="AD457" s="515" t="s">
        <v>190</v>
      </c>
      <c r="AE457" s="116" t="s">
        <v>92</v>
      </c>
      <c r="AF457" s="515" t="s">
        <v>101</v>
      </c>
      <c r="AG457" s="514" t="s">
        <v>212</v>
      </c>
      <c r="AH457" s="514"/>
    </row>
    <row r="458" spans="1:34" ht="31.5" outlineLevel="1" x14ac:dyDescent="0.25">
      <c r="A458" s="802" t="s">
        <v>1293</v>
      </c>
      <c r="B458" s="1109" t="s">
        <v>1461</v>
      </c>
      <c r="C458" s="1323" t="s">
        <v>1294</v>
      </c>
      <c r="D458" s="19" t="s">
        <v>1592</v>
      </c>
      <c r="E458" s="514" t="s">
        <v>51</v>
      </c>
      <c r="F458" s="514" t="s">
        <v>51</v>
      </c>
      <c r="G458" s="5">
        <v>5000</v>
      </c>
      <c r="H458" s="179">
        <v>0</v>
      </c>
      <c r="I458" s="1607">
        <v>0</v>
      </c>
      <c r="J458" s="395">
        <v>0</v>
      </c>
      <c r="K458" s="1657">
        <v>0</v>
      </c>
      <c r="L458" s="518">
        <v>0</v>
      </c>
      <c r="M458" s="516">
        <v>0</v>
      </c>
      <c r="N458" s="512">
        <v>5000</v>
      </c>
      <c r="O458" s="841">
        <v>5000</v>
      </c>
      <c r="P458" s="1121">
        <v>0</v>
      </c>
      <c r="Q458" s="613">
        <f t="shared" si="16"/>
        <v>5000</v>
      </c>
      <c r="R458" s="97">
        <v>0</v>
      </c>
      <c r="S458" s="283">
        <v>0</v>
      </c>
      <c r="T458" s="518">
        <v>0</v>
      </c>
      <c r="U458" s="516">
        <v>0</v>
      </c>
      <c r="V458" s="213">
        <v>0</v>
      </c>
      <c r="W458" s="803">
        <v>0</v>
      </c>
      <c r="X458" s="698">
        <v>0</v>
      </c>
      <c r="Y458" s="698">
        <v>0</v>
      </c>
      <c r="Z458" s="698">
        <v>0</v>
      </c>
      <c r="AA458" s="513">
        <v>0</v>
      </c>
      <c r="AB458" s="509" t="s">
        <v>84</v>
      </c>
      <c r="AC458" s="95" t="s">
        <v>9</v>
      </c>
      <c r="AD458" s="515" t="s">
        <v>321</v>
      </c>
      <c r="AE458" s="146" t="s">
        <v>91</v>
      </c>
      <c r="AF458" s="515" t="s">
        <v>101</v>
      </c>
      <c r="AG458" s="514" t="s">
        <v>212</v>
      </c>
      <c r="AH458" s="514"/>
    </row>
    <row r="459" spans="1:34" ht="25.5" outlineLevel="1" x14ac:dyDescent="0.25">
      <c r="A459" s="802" t="s">
        <v>1295</v>
      </c>
      <c r="B459" s="1109" t="s">
        <v>1462</v>
      </c>
      <c r="C459" s="1323" t="s">
        <v>1296</v>
      </c>
      <c r="D459" s="19" t="s">
        <v>1592</v>
      </c>
      <c r="E459" s="514" t="s">
        <v>351</v>
      </c>
      <c r="F459" s="514" t="s">
        <v>351</v>
      </c>
      <c r="G459" s="5">
        <v>67000</v>
      </c>
      <c r="H459" s="179">
        <v>0</v>
      </c>
      <c r="I459" s="1607">
        <v>0</v>
      </c>
      <c r="J459" s="395">
        <v>0</v>
      </c>
      <c r="K459" s="1657">
        <v>0</v>
      </c>
      <c r="L459" s="518">
        <v>0</v>
      </c>
      <c r="M459" s="516">
        <v>0</v>
      </c>
      <c r="N459" s="516">
        <v>43000</v>
      </c>
      <c r="O459" s="841">
        <v>43000</v>
      </c>
      <c r="P459" s="1121">
        <v>0</v>
      </c>
      <c r="Q459" s="613">
        <f t="shared" si="16"/>
        <v>43000</v>
      </c>
      <c r="R459" s="97">
        <v>10000</v>
      </c>
      <c r="S459" s="283">
        <v>0</v>
      </c>
      <c r="T459" s="518">
        <v>0</v>
      </c>
      <c r="U459" s="516">
        <v>14000</v>
      </c>
      <c r="V459" s="213">
        <v>0</v>
      </c>
      <c r="W459" s="803">
        <v>0</v>
      </c>
      <c r="X459" s="698">
        <v>0</v>
      </c>
      <c r="Y459" s="698">
        <v>0</v>
      </c>
      <c r="Z459" s="698">
        <v>0</v>
      </c>
      <c r="AA459" s="513">
        <v>0</v>
      </c>
      <c r="AB459" s="399" t="s">
        <v>1297</v>
      </c>
      <c r="AC459" s="95" t="s">
        <v>13</v>
      </c>
      <c r="AD459" s="515" t="s">
        <v>1023</v>
      </c>
      <c r="AE459" s="146" t="s">
        <v>92</v>
      </c>
      <c r="AF459" s="515" t="s">
        <v>101</v>
      </c>
      <c r="AG459" s="514" t="s">
        <v>203</v>
      </c>
      <c r="AH459" s="514"/>
    </row>
    <row r="460" spans="1:34" ht="26.25" outlineLevel="1" thickBot="1" x14ac:dyDescent="0.3">
      <c r="A460" s="832" t="s">
        <v>1298</v>
      </c>
      <c r="B460" s="1110" t="s">
        <v>1463</v>
      </c>
      <c r="C460" s="1319" t="s">
        <v>1299</v>
      </c>
      <c r="D460" s="53" t="s">
        <v>1592</v>
      </c>
      <c r="E460" s="502" t="s">
        <v>176</v>
      </c>
      <c r="F460" s="502" t="s">
        <v>176</v>
      </c>
      <c r="G460" s="1491">
        <v>24800</v>
      </c>
      <c r="H460" s="180">
        <v>0</v>
      </c>
      <c r="I460" s="1609">
        <v>0</v>
      </c>
      <c r="J460" s="686">
        <v>0</v>
      </c>
      <c r="K460" s="1658">
        <v>24800</v>
      </c>
      <c r="L460" s="330">
        <v>0</v>
      </c>
      <c r="M460" s="101">
        <v>0</v>
      </c>
      <c r="N460" s="16">
        <v>24800</v>
      </c>
      <c r="O460" s="842">
        <v>24800</v>
      </c>
      <c r="P460" s="981">
        <v>0</v>
      </c>
      <c r="Q460" s="531">
        <f t="shared" si="16"/>
        <v>24800</v>
      </c>
      <c r="R460" s="18">
        <v>0</v>
      </c>
      <c r="S460" s="39">
        <v>0</v>
      </c>
      <c r="T460" s="330">
        <v>0</v>
      </c>
      <c r="U460" s="101">
        <v>0</v>
      </c>
      <c r="V460" s="687">
        <v>0</v>
      </c>
      <c r="W460" s="870">
        <v>0</v>
      </c>
      <c r="X460" s="697">
        <v>0</v>
      </c>
      <c r="Y460" s="697">
        <v>0</v>
      </c>
      <c r="Z460" s="697">
        <v>0</v>
      </c>
      <c r="AA460" s="217">
        <v>0</v>
      </c>
      <c r="AB460" s="215" t="s">
        <v>84</v>
      </c>
      <c r="AC460" s="98" t="s">
        <v>186</v>
      </c>
      <c r="AD460" s="58" t="s">
        <v>321</v>
      </c>
      <c r="AE460" s="453" t="s">
        <v>92</v>
      </c>
      <c r="AF460" s="58" t="s">
        <v>101</v>
      </c>
      <c r="AG460" s="502" t="s">
        <v>218</v>
      </c>
      <c r="AH460" s="502"/>
    </row>
    <row r="461" spans="1:34" ht="25.5" outlineLevel="1" x14ac:dyDescent="0.25">
      <c r="A461" s="831" t="s">
        <v>1391</v>
      </c>
      <c r="B461" s="1108" t="s">
        <v>1464</v>
      </c>
      <c r="C461" s="1462" t="s">
        <v>1392</v>
      </c>
      <c r="D461" s="94" t="s">
        <v>1603</v>
      </c>
      <c r="E461" s="24" t="s">
        <v>53</v>
      </c>
      <c r="F461" s="24" t="s">
        <v>53</v>
      </c>
      <c r="G461" s="99">
        <v>5929</v>
      </c>
      <c r="H461" s="380">
        <v>0</v>
      </c>
      <c r="I461" s="1604">
        <v>0</v>
      </c>
      <c r="J461" s="1605">
        <v>0</v>
      </c>
      <c r="K461" s="1660">
        <v>5000</v>
      </c>
      <c r="L461" s="517">
        <v>0</v>
      </c>
      <c r="M461" s="488">
        <v>0</v>
      </c>
      <c r="N461" s="499">
        <v>5000</v>
      </c>
      <c r="O461" s="838">
        <v>5000</v>
      </c>
      <c r="P461" s="854">
        <v>0</v>
      </c>
      <c r="Q461" s="612">
        <f t="shared" si="16"/>
        <v>5000</v>
      </c>
      <c r="R461" s="2">
        <v>0</v>
      </c>
      <c r="S461" s="285">
        <v>0</v>
      </c>
      <c r="T461" s="517">
        <v>0</v>
      </c>
      <c r="U461" s="488">
        <v>0</v>
      </c>
      <c r="V461" s="397">
        <v>929</v>
      </c>
      <c r="W461" s="864">
        <v>0</v>
      </c>
      <c r="X461" s="865">
        <v>0</v>
      </c>
      <c r="Y461" s="865">
        <v>0</v>
      </c>
      <c r="Z461" s="865">
        <v>0</v>
      </c>
      <c r="AA461" s="500">
        <v>0</v>
      </c>
      <c r="AB461" s="399" t="s">
        <v>84</v>
      </c>
      <c r="AC461" s="639" t="s">
        <v>186</v>
      </c>
      <c r="AD461" s="683" t="s">
        <v>321</v>
      </c>
      <c r="AE461" s="484" t="s">
        <v>92</v>
      </c>
      <c r="AF461" s="484" t="s">
        <v>101</v>
      </c>
      <c r="AG461" s="24" t="s">
        <v>208</v>
      </c>
      <c r="AH461" s="24"/>
    </row>
    <row r="462" spans="1:34" ht="25.5" outlineLevel="1" x14ac:dyDescent="0.25">
      <c r="A462" s="802" t="s">
        <v>1393</v>
      </c>
      <c r="B462" s="1109" t="s">
        <v>1465</v>
      </c>
      <c r="C462" s="1323" t="s">
        <v>1394</v>
      </c>
      <c r="D462" s="94" t="s">
        <v>1603</v>
      </c>
      <c r="E462" s="514" t="s">
        <v>50</v>
      </c>
      <c r="F462" s="514" t="s">
        <v>50</v>
      </c>
      <c r="G462" s="70">
        <v>17000</v>
      </c>
      <c r="H462" s="179">
        <v>0</v>
      </c>
      <c r="I462" s="1607">
        <v>0</v>
      </c>
      <c r="J462" s="395">
        <v>0</v>
      </c>
      <c r="K462" s="1657">
        <v>0</v>
      </c>
      <c r="L462" s="518">
        <v>0</v>
      </c>
      <c r="M462" s="516">
        <v>0</v>
      </c>
      <c r="N462" s="512">
        <v>17000</v>
      </c>
      <c r="O462" s="841">
        <v>17000</v>
      </c>
      <c r="P462" s="1121">
        <v>0</v>
      </c>
      <c r="Q462" s="613">
        <f t="shared" si="16"/>
        <v>17000</v>
      </c>
      <c r="R462" s="97">
        <v>0</v>
      </c>
      <c r="S462" s="283">
        <v>0</v>
      </c>
      <c r="T462" s="518">
        <v>0</v>
      </c>
      <c r="U462" s="516">
        <v>0</v>
      </c>
      <c r="V462" s="213">
        <v>0</v>
      </c>
      <c r="W462" s="803">
        <v>0</v>
      </c>
      <c r="X462" s="698">
        <v>0</v>
      </c>
      <c r="Y462" s="698">
        <v>0</v>
      </c>
      <c r="Z462" s="698">
        <v>0</v>
      </c>
      <c r="AA462" s="513">
        <v>0</v>
      </c>
      <c r="AB462" s="509" t="s">
        <v>84</v>
      </c>
      <c r="AC462" s="95" t="s">
        <v>9</v>
      </c>
      <c r="AD462" s="116" t="s">
        <v>190</v>
      </c>
      <c r="AE462" s="515" t="s">
        <v>91</v>
      </c>
      <c r="AF462" s="515" t="s">
        <v>101</v>
      </c>
      <c r="AG462" s="514" t="s">
        <v>217</v>
      </c>
      <c r="AH462" s="514"/>
    </row>
    <row r="463" spans="1:34" ht="25.5" outlineLevel="1" x14ac:dyDescent="0.25">
      <c r="A463" s="802" t="s">
        <v>1395</v>
      </c>
      <c r="B463" s="1109" t="s">
        <v>1466</v>
      </c>
      <c r="C463" s="1323" t="s">
        <v>1396</v>
      </c>
      <c r="D463" s="94" t="s">
        <v>1603</v>
      </c>
      <c r="E463" s="514" t="s">
        <v>1397</v>
      </c>
      <c r="F463" s="514" t="s">
        <v>1397</v>
      </c>
      <c r="G463" s="70">
        <v>298</v>
      </c>
      <c r="H463" s="179">
        <v>0</v>
      </c>
      <c r="I463" s="1607">
        <v>0</v>
      </c>
      <c r="J463" s="395">
        <v>0</v>
      </c>
      <c r="K463" s="1657">
        <v>0</v>
      </c>
      <c r="L463" s="518">
        <v>0</v>
      </c>
      <c r="M463" s="516">
        <v>0</v>
      </c>
      <c r="N463" s="516">
        <v>298</v>
      </c>
      <c r="O463" s="841">
        <v>298</v>
      </c>
      <c r="P463" s="1121">
        <v>0</v>
      </c>
      <c r="Q463" s="613">
        <f t="shared" si="16"/>
        <v>298</v>
      </c>
      <c r="R463" s="97">
        <v>0</v>
      </c>
      <c r="S463" s="283">
        <v>0</v>
      </c>
      <c r="T463" s="518">
        <v>0</v>
      </c>
      <c r="U463" s="516">
        <v>0</v>
      </c>
      <c r="V463" s="213">
        <v>0</v>
      </c>
      <c r="W463" s="803">
        <v>0</v>
      </c>
      <c r="X463" s="698">
        <v>0</v>
      </c>
      <c r="Y463" s="698">
        <v>0</v>
      </c>
      <c r="Z463" s="698">
        <v>0</v>
      </c>
      <c r="AA463" s="513">
        <v>0</v>
      </c>
      <c r="AB463" s="509" t="s">
        <v>84</v>
      </c>
      <c r="AC463" s="95" t="s">
        <v>186</v>
      </c>
      <c r="AD463" s="146" t="s">
        <v>321</v>
      </c>
      <c r="AE463" s="515" t="s">
        <v>92</v>
      </c>
      <c r="AF463" s="515" t="s">
        <v>101</v>
      </c>
      <c r="AG463" s="514" t="s">
        <v>212</v>
      </c>
      <c r="AH463" s="514"/>
    </row>
    <row r="464" spans="1:34" ht="25.5" outlineLevel="1" x14ac:dyDescent="0.25">
      <c r="A464" s="802" t="s">
        <v>1398</v>
      </c>
      <c r="B464" s="1109" t="s">
        <v>1467</v>
      </c>
      <c r="C464" s="1323" t="s">
        <v>1399</v>
      </c>
      <c r="D464" s="94" t="s">
        <v>1603</v>
      </c>
      <c r="E464" s="514" t="s">
        <v>1397</v>
      </c>
      <c r="F464" s="514" t="s">
        <v>1397</v>
      </c>
      <c r="G464" s="70">
        <v>112</v>
      </c>
      <c r="H464" s="179">
        <v>0</v>
      </c>
      <c r="I464" s="1607">
        <v>0</v>
      </c>
      <c r="J464" s="395">
        <v>0</v>
      </c>
      <c r="K464" s="1657">
        <v>0</v>
      </c>
      <c r="L464" s="518">
        <v>0</v>
      </c>
      <c r="M464" s="516">
        <v>0</v>
      </c>
      <c r="N464" s="512">
        <v>91</v>
      </c>
      <c r="O464" s="841">
        <v>91</v>
      </c>
      <c r="P464" s="1121">
        <v>0</v>
      </c>
      <c r="Q464" s="613">
        <f t="shared" si="16"/>
        <v>91</v>
      </c>
      <c r="R464" s="97">
        <v>0</v>
      </c>
      <c r="S464" s="283">
        <v>0</v>
      </c>
      <c r="T464" s="518">
        <v>0</v>
      </c>
      <c r="U464" s="516">
        <v>0</v>
      </c>
      <c r="V464" s="213">
        <v>21</v>
      </c>
      <c r="W464" s="803">
        <v>0</v>
      </c>
      <c r="X464" s="698">
        <v>0</v>
      </c>
      <c r="Y464" s="698">
        <v>0</v>
      </c>
      <c r="Z464" s="698">
        <v>0</v>
      </c>
      <c r="AA464" s="513">
        <v>0</v>
      </c>
      <c r="AB464" s="509" t="s">
        <v>84</v>
      </c>
      <c r="AC464" s="95" t="s">
        <v>186</v>
      </c>
      <c r="AD464" s="146" t="s">
        <v>321</v>
      </c>
      <c r="AE464" s="515" t="s">
        <v>92</v>
      </c>
      <c r="AF464" s="515" t="s">
        <v>101</v>
      </c>
      <c r="AG464" s="514" t="s">
        <v>212</v>
      </c>
      <c r="AH464" s="514"/>
    </row>
    <row r="465" spans="1:34" ht="25.5" outlineLevel="1" x14ac:dyDescent="0.25">
      <c r="A465" s="802" t="s">
        <v>1400</v>
      </c>
      <c r="B465" s="1109" t="s">
        <v>1468</v>
      </c>
      <c r="C465" s="1323" t="s">
        <v>1401</v>
      </c>
      <c r="D465" s="94" t="s">
        <v>1603</v>
      </c>
      <c r="E465" s="514" t="s">
        <v>1397</v>
      </c>
      <c r="F465" s="514" t="s">
        <v>1397</v>
      </c>
      <c r="G465" s="70">
        <v>411</v>
      </c>
      <c r="H465" s="179">
        <v>0</v>
      </c>
      <c r="I465" s="1607">
        <v>0</v>
      </c>
      <c r="J465" s="395">
        <v>0</v>
      </c>
      <c r="K465" s="1657">
        <v>0</v>
      </c>
      <c r="L465" s="518">
        <v>0</v>
      </c>
      <c r="M465" s="516">
        <v>0</v>
      </c>
      <c r="N465" s="512">
        <v>311</v>
      </c>
      <c r="O465" s="841">
        <v>311</v>
      </c>
      <c r="P465" s="1121">
        <v>0</v>
      </c>
      <c r="Q465" s="613">
        <f t="shared" si="16"/>
        <v>311</v>
      </c>
      <c r="R465" s="97">
        <v>0</v>
      </c>
      <c r="S465" s="283">
        <v>0</v>
      </c>
      <c r="T465" s="518">
        <v>0</v>
      </c>
      <c r="U465" s="516">
        <v>0</v>
      </c>
      <c r="V465" s="213">
        <v>100</v>
      </c>
      <c r="W465" s="803">
        <v>0</v>
      </c>
      <c r="X465" s="698">
        <v>0</v>
      </c>
      <c r="Y465" s="698">
        <v>0</v>
      </c>
      <c r="Z465" s="698">
        <v>0</v>
      </c>
      <c r="AA465" s="513">
        <v>0</v>
      </c>
      <c r="AB465" s="509" t="s">
        <v>84</v>
      </c>
      <c r="AC465" s="95" t="s">
        <v>186</v>
      </c>
      <c r="AD465" s="146" t="s">
        <v>321</v>
      </c>
      <c r="AE465" s="515" t="s">
        <v>91</v>
      </c>
      <c r="AF465" s="515" t="s">
        <v>101</v>
      </c>
      <c r="AG465" s="514" t="s">
        <v>212</v>
      </c>
      <c r="AH465" s="514"/>
    </row>
    <row r="466" spans="1:34" ht="26.25" outlineLevel="1" thickBot="1" x14ac:dyDescent="0.3">
      <c r="A466" s="1752" t="s">
        <v>1402</v>
      </c>
      <c r="B466" s="1753" t="s">
        <v>1469</v>
      </c>
      <c r="C466" s="1754" t="s">
        <v>1403</v>
      </c>
      <c r="D466" s="422" t="s">
        <v>1603</v>
      </c>
      <c r="E466" s="1755" t="s">
        <v>1397</v>
      </c>
      <c r="F466" s="1755" t="s">
        <v>1397</v>
      </c>
      <c r="G466" s="281">
        <v>1300</v>
      </c>
      <c r="H466" s="372">
        <v>0</v>
      </c>
      <c r="I466" s="1756">
        <v>0</v>
      </c>
      <c r="J466" s="1757">
        <v>0</v>
      </c>
      <c r="K466" s="1758">
        <v>0</v>
      </c>
      <c r="L466" s="1759">
        <v>0</v>
      </c>
      <c r="M466" s="362">
        <v>0</v>
      </c>
      <c r="N466" s="1760">
        <v>0</v>
      </c>
      <c r="O466" s="1761">
        <v>1300</v>
      </c>
      <c r="P466" s="1762">
        <v>-1300</v>
      </c>
      <c r="Q466" s="371">
        <f t="shared" si="16"/>
        <v>0</v>
      </c>
      <c r="R466" s="261">
        <v>1300</v>
      </c>
      <c r="S466" s="376">
        <v>0</v>
      </c>
      <c r="T466" s="1759">
        <v>0</v>
      </c>
      <c r="U466" s="362">
        <v>0</v>
      </c>
      <c r="V466" s="1763">
        <v>0</v>
      </c>
      <c r="W466" s="1764">
        <v>0</v>
      </c>
      <c r="X466" s="1765">
        <v>0</v>
      </c>
      <c r="Y466" s="1765">
        <v>0</v>
      </c>
      <c r="Z466" s="1765">
        <v>0</v>
      </c>
      <c r="AA466" s="1766">
        <v>0</v>
      </c>
      <c r="AB466" s="430" t="s">
        <v>1685</v>
      </c>
      <c r="AC466" s="258" t="s">
        <v>9</v>
      </c>
      <c r="AD466" s="373" t="s">
        <v>321</v>
      </c>
      <c r="AE466" s="373" t="s">
        <v>91</v>
      </c>
      <c r="AF466" s="373" t="s">
        <v>101</v>
      </c>
      <c r="AG466" s="1755" t="s">
        <v>212</v>
      </c>
      <c r="AH466" s="1755"/>
    </row>
    <row r="467" spans="1:34" ht="25.5" outlineLevel="1" x14ac:dyDescent="0.25">
      <c r="A467" s="831" t="s">
        <v>1639</v>
      </c>
      <c r="B467" s="799" t="s">
        <v>2035</v>
      </c>
      <c r="C467" s="1462" t="s">
        <v>1640</v>
      </c>
      <c r="D467" s="93" t="s">
        <v>1722</v>
      </c>
      <c r="E467" s="24" t="s">
        <v>351</v>
      </c>
      <c r="F467" s="24" t="s">
        <v>351</v>
      </c>
      <c r="G467" s="511">
        <v>17325.376</v>
      </c>
      <c r="H467" s="511">
        <v>0</v>
      </c>
      <c r="I467" s="1604">
        <v>0</v>
      </c>
      <c r="J467" s="1605">
        <v>0</v>
      </c>
      <c r="K467" s="1660">
        <v>0</v>
      </c>
      <c r="L467" s="517">
        <v>0</v>
      </c>
      <c r="M467" s="488">
        <v>0</v>
      </c>
      <c r="N467" s="499">
        <v>17325.376</v>
      </c>
      <c r="O467" s="838">
        <v>17325.376</v>
      </c>
      <c r="P467" s="849">
        <v>0</v>
      </c>
      <c r="Q467" s="612">
        <f t="shared" si="16"/>
        <v>17325.376</v>
      </c>
      <c r="R467" s="2">
        <v>0</v>
      </c>
      <c r="S467" s="2">
        <v>0</v>
      </c>
      <c r="T467" s="517">
        <v>0</v>
      </c>
      <c r="U467" s="488">
        <v>0</v>
      </c>
      <c r="V467" s="1660">
        <v>0</v>
      </c>
      <c r="W467" s="864">
        <v>0</v>
      </c>
      <c r="X467" s="319">
        <v>0</v>
      </c>
      <c r="Y467" s="319">
        <v>0</v>
      </c>
      <c r="Z467" s="319">
        <v>0</v>
      </c>
      <c r="AA467" s="500">
        <v>0</v>
      </c>
      <c r="AB467" s="399" t="s">
        <v>84</v>
      </c>
      <c r="AC467" s="93" t="s">
        <v>13</v>
      </c>
      <c r="AD467" s="484" t="s">
        <v>190</v>
      </c>
      <c r="AE467" s="484" t="s">
        <v>92</v>
      </c>
      <c r="AF467" s="484" t="s">
        <v>101</v>
      </c>
      <c r="AG467" s="24" t="s">
        <v>203</v>
      </c>
      <c r="AH467" s="24"/>
    </row>
    <row r="468" spans="1:34" ht="25.5" outlineLevel="1" x14ac:dyDescent="0.25">
      <c r="A468" s="802" t="s">
        <v>1641</v>
      </c>
      <c r="B468" s="798" t="s">
        <v>2036</v>
      </c>
      <c r="C468" s="1323" t="s">
        <v>1642</v>
      </c>
      <c r="D468" s="95" t="s">
        <v>1722</v>
      </c>
      <c r="E468" s="514" t="s">
        <v>351</v>
      </c>
      <c r="F468" s="514" t="s">
        <v>351</v>
      </c>
      <c r="G468" s="96">
        <v>2420</v>
      </c>
      <c r="H468" s="96">
        <v>0</v>
      </c>
      <c r="I468" s="1607">
        <v>0</v>
      </c>
      <c r="J468" s="395">
        <v>0</v>
      </c>
      <c r="K468" s="1657">
        <v>0</v>
      </c>
      <c r="L468" s="518">
        <v>0</v>
      </c>
      <c r="M468" s="516">
        <v>0</v>
      </c>
      <c r="N468" s="512">
        <v>2420</v>
      </c>
      <c r="O468" s="841">
        <v>2420</v>
      </c>
      <c r="P468" s="851">
        <v>0</v>
      </c>
      <c r="Q468" s="613">
        <f t="shared" si="16"/>
        <v>2420</v>
      </c>
      <c r="R468" s="97">
        <v>0</v>
      </c>
      <c r="S468" s="97">
        <v>0</v>
      </c>
      <c r="T468" s="518">
        <v>0</v>
      </c>
      <c r="U468" s="516">
        <v>0</v>
      </c>
      <c r="V468" s="1657">
        <v>0</v>
      </c>
      <c r="W468" s="803">
        <v>0</v>
      </c>
      <c r="X468" s="470">
        <v>0</v>
      </c>
      <c r="Y468" s="470">
        <v>0</v>
      </c>
      <c r="Z468" s="470">
        <v>0</v>
      </c>
      <c r="AA468" s="513">
        <v>0</v>
      </c>
      <c r="AB468" s="509" t="s">
        <v>84</v>
      </c>
      <c r="AC468" s="95" t="s">
        <v>13</v>
      </c>
      <c r="AD468" s="515" t="s">
        <v>190</v>
      </c>
      <c r="AE468" s="515" t="s">
        <v>92</v>
      </c>
      <c r="AF468" s="515" t="s">
        <v>101</v>
      </c>
      <c r="AG468" s="514" t="s">
        <v>203</v>
      </c>
      <c r="AH468" s="514"/>
    </row>
    <row r="469" spans="1:34" ht="31.5" outlineLevel="1" x14ac:dyDescent="0.25">
      <c r="A469" s="802" t="s">
        <v>1643</v>
      </c>
      <c r="B469" s="798" t="s">
        <v>2088</v>
      </c>
      <c r="C469" s="1323" t="s">
        <v>1644</v>
      </c>
      <c r="D469" s="95" t="s">
        <v>1722</v>
      </c>
      <c r="E469" s="514" t="s">
        <v>351</v>
      </c>
      <c r="F469" s="514" t="s">
        <v>351</v>
      </c>
      <c r="G469" s="96">
        <v>6655</v>
      </c>
      <c r="H469" s="96">
        <v>0</v>
      </c>
      <c r="I469" s="1607">
        <v>0</v>
      </c>
      <c r="J469" s="395">
        <v>0</v>
      </c>
      <c r="K469" s="1657">
        <v>0</v>
      </c>
      <c r="L469" s="518">
        <v>0</v>
      </c>
      <c r="M469" s="516">
        <v>0</v>
      </c>
      <c r="N469" s="512">
        <v>6655</v>
      </c>
      <c r="O469" s="841">
        <v>6655</v>
      </c>
      <c r="P469" s="851">
        <v>0</v>
      </c>
      <c r="Q469" s="613">
        <f t="shared" si="16"/>
        <v>6655</v>
      </c>
      <c r="R469" s="97">
        <v>0</v>
      </c>
      <c r="S469" s="97">
        <v>0</v>
      </c>
      <c r="T469" s="518">
        <v>0</v>
      </c>
      <c r="U469" s="516">
        <v>0</v>
      </c>
      <c r="V469" s="1657">
        <v>0</v>
      </c>
      <c r="W469" s="803">
        <v>0</v>
      </c>
      <c r="X469" s="470">
        <v>0</v>
      </c>
      <c r="Y469" s="470">
        <v>0</v>
      </c>
      <c r="Z469" s="470">
        <v>0</v>
      </c>
      <c r="AA469" s="513">
        <v>0</v>
      </c>
      <c r="AB469" s="509" t="s">
        <v>84</v>
      </c>
      <c r="AC469" s="95" t="s">
        <v>11</v>
      </c>
      <c r="AD469" s="515" t="s">
        <v>190</v>
      </c>
      <c r="AE469" s="515" t="s">
        <v>91</v>
      </c>
      <c r="AF469" s="515" t="s">
        <v>101</v>
      </c>
      <c r="AG469" s="514" t="s">
        <v>203</v>
      </c>
      <c r="AH469" s="514"/>
    </row>
    <row r="470" spans="1:34" ht="25.5" outlineLevel="1" x14ac:dyDescent="0.25">
      <c r="A470" s="802" t="s">
        <v>1645</v>
      </c>
      <c r="B470" s="798" t="s">
        <v>2037</v>
      </c>
      <c r="C470" s="1323" t="s">
        <v>1646</v>
      </c>
      <c r="D470" s="95" t="s">
        <v>1722</v>
      </c>
      <c r="E470" s="514" t="s">
        <v>351</v>
      </c>
      <c r="F470" s="514" t="s">
        <v>351</v>
      </c>
      <c r="G470" s="96">
        <v>4840</v>
      </c>
      <c r="H470" s="96">
        <v>0</v>
      </c>
      <c r="I470" s="1607">
        <v>0</v>
      </c>
      <c r="J470" s="395">
        <v>0</v>
      </c>
      <c r="K470" s="1657">
        <v>0</v>
      </c>
      <c r="L470" s="518">
        <v>0</v>
      </c>
      <c r="M470" s="516">
        <v>0</v>
      </c>
      <c r="N470" s="512">
        <v>3599.6239999999998</v>
      </c>
      <c r="O470" s="841">
        <v>3599.6239999999998</v>
      </c>
      <c r="P470" s="851">
        <v>0</v>
      </c>
      <c r="Q470" s="613">
        <f t="shared" si="16"/>
        <v>3599.6239999999998</v>
      </c>
      <c r="R470" s="97">
        <v>0</v>
      </c>
      <c r="S470" s="97">
        <v>0</v>
      </c>
      <c r="T470" s="518">
        <v>0</v>
      </c>
      <c r="U470" s="516">
        <v>0</v>
      </c>
      <c r="V470" s="1657">
        <v>1240.376</v>
      </c>
      <c r="W470" s="803">
        <v>0</v>
      </c>
      <c r="X470" s="470">
        <v>0</v>
      </c>
      <c r="Y470" s="470">
        <v>0</v>
      </c>
      <c r="Z470" s="470">
        <v>0</v>
      </c>
      <c r="AA470" s="513">
        <v>0</v>
      </c>
      <c r="AB470" s="509" t="s">
        <v>84</v>
      </c>
      <c r="AC470" s="230" t="s">
        <v>13</v>
      </c>
      <c r="AD470" s="515" t="s">
        <v>190</v>
      </c>
      <c r="AE470" s="515" t="s">
        <v>92</v>
      </c>
      <c r="AF470" s="515" t="s">
        <v>101</v>
      </c>
      <c r="AG470" s="514" t="s">
        <v>203</v>
      </c>
      <c r="AH470" s="514"/>
    </row>
    <row r="471" spans="1:34" ht="31.5" outlineLevel="1" x14ac:dyDescent="0.25">
      <c r="A471" s="802" t="s">
        <v>1647</v>
      </c>
      <c r="B471" s="798" t="s">
        <v>2038</v>
      </c>
      <c r="C471" s="1323" t="s">
        <v>1648</v>
      </c>
      <c r="D471" s="95" t="s">
        <v>1722</v>
      </c>
      <c r="E471" s="514" t="s">
        <v>176</v>
      </c>
      <c r="F471" s="514" t="s">
        <v>176</v>
      </c>
      <c r="G471" s="96">
        <v>20000</v>
      </c>
      <c r="H471" s="96">
        <v>0</v>
      </c>
      <c r="I471" s="1607">
        <v>0</v>
      </c>
      <c r="J471" s="395">
        <v>0</v>
      </c>
      <c r="K471" s="1657">
        <v>0</v>
      </c>
      <c r="L471" s="518">
        <v>0</v>
      </c>
      <c r="M471" s="516">
        <v>0</v>
      </c>
      <c r="N471" s="512">
        <v>20000</v>
      </c>
      <c r="O471" s="841">
        <v>20000</v>
      </c>
      <c r="P471" s="851">
        <v>0</v>
      </c>
      <c r="Q471" s="613">
        <f t="shared" si="16"/>
        <v>20000</v>
      </c>
      <c r="R471" s="97">
        <v>0</v>
      </c>
      <c r="S471" s="97">
        <v>0</v>
      </c>
      <c r="T471" s="518">
        <v>0</v>
      </c>
      <c r="U471" s="516">
        <v>0</v>
      </c>
      <c r="V471" s="1657">
        <v>0</v>
      </c>
      <c r="W471" s="803">
        <v>0</v>
      </c>
      <c r="X471" s="470">
        <v>0</v>
      </c>
      <c r="Y471" s="470">
        <v>0</v>
      </c>
      <c r="Z471" s="470">
        <v>0</v>
      </c>
      <c r="AA471" s="513">
        <v>0</v>
      </c>
      <c r="AB471" s="509" t="s">
        <v>84</v>
      </c>
      <c r="AC471" s="95" t="s">
        <v>13</v>
      </c>
      <c r="AD471" s="515" t="s">
        <v>190</v>
      </c>
      <c r="AE471" s="515" t="s">
        <v>92</v>
      </c>
      <c r="AF471" s="515" t="s">
        <v>101</v>
      </c>
      <c r="AG471" s="514" t="s">
        <v>218</v>
      </c>
      <c r="AH471" s="514"/>
    </row>
    <row r="472" spans="1:34" ht="16.5" outlineLevel="1" thickBot="1" x14ac:dyDescent="0.3">
      <c r="A472" s="84" t="s">
        <v>96</v>
      </c>
      <c r="B472" s="1361" t="s">
        <v>96</v>
      </c>
      <c r="C472" s="445" t="s">
        <v>96</v>
      </c>
      <c r="D472" s="486" t="s">
        <v>96</v>
      </c>
      <c r="E472" s="611" t="s">
        <v>96</v>
      </c>
      <c r="F472" s="611" t="s">
        <v>96</v>
      </c>
      <c r="G472" s="492" t="s">
        <v>96</v>
      </c>
      <c r="H472" s="1523" t="s">
        <v>96</v>
      </c>
      <c r="I472" s="1524" t="s">
        <v>96</v>
      </c>
      <c r="J472" s="1489" t="s">
        <v>96</v>
      </c>
      <c r="K472" s="1603" t="s">
        <v>96</v>
      </c>
      <c r="L472" s="388" t="s">
        <v>96</v>
      </c>
      <c r="M472" s="334" t="s">
        <v>96</v>
      </c>
      <c r="N472" s="318" t="s">
        <v>96</v>
      </c>
      <c r="O472" s="215" t="s">
        <v>96</v>
      </c>
      <c r="P472" s="318" t="s">
        <v>96</v>
      </c>
      <c r="Q472" s="441" t="s">
        <v>96</v>
      </c>
      <c r="R472" s="215" t="s">
        <v>96</v>
      </c>
      <c r="S472" s="332" t="s">
        <v>96</v>
      </c>
      <c r="T472" s="388" t="s">
        <v>96</v>
      </c>
      <c r="U472" s="334" t="s">
        <v>96</v>
      </c>
      <c r="V472" s="332" t="s">
        <v>96</v>
      </c>
      <c r="W472" s="388" t="s">
        <v>96</v>
      </c>
      <c r="X472" s="336" t="s">
        <v>96</v>
      </c>
      <c r="Y472" s="336" t="s">
        <v>96</v>
      </c>
      <c r="Z472" s="336" t="s">
        <v>96</v>
      </c>
      <c r="AA472" s="318" t="s">
        <v>96</v>
      </c>
      <c r="AB472" s="215" t="s">
        <v>96</v>
      </c>
      <c r="AC472" s="1279" t="s">
        <v>96</v>
      </c>
      <c r="AD472" s="292" t="s">
        <v>96</v>
      </c>
      <c r="AE472" s="90" t="s">
        <v>96</v>
      </c>
      <c r="AF472" s="84" t="s">
        <v>96</v>
      </c>
      <c r="AG472" s="611" t="s">
        <v>96</v>
      </c>
      <c r="AH472" s="611" t="s">
        <v>96</v>
      </c>
    </row>
    <row r="473" spans="1:34" s="1495" customFormat="1" ht="26.25" thickBot="1" x14ac:dyDescent="0.3">
      <c r="A473" s="1078" t="s">
        <v>106</v>
      </c>
      <c r="B473" s="1079"/>
      <c r="C473" s="1113"/>
      <c r="D473" s="52" t="s">
        <v>84</v>
      </c>
      <c r="E473" s="1493" t="s">
        <v>84</v>
      </c>
      <c r="F473" s="1493" t="s">
        <v>84</v>
      </c>
      <c r="G473" s="504">
        <f>SUM(G436:G472)</f>
        <v>3573773.6283100001</v>
      </c>
      <c r="H473" s="504">
        <f t="shared" ref="H473:AA473" si="17">SUM(H436:H472)</f>
        <v>1008485.7979599999</v>
      </c>
      <c r="I473" s="504">
        <f t="shared" si="17"/>
        <v>180970.66159</v>
      </c>
      <c r="J473" s="504">
        <f t="shared" si="17"/>
        <v>356442.33230000001</v>
      </c>
      <c r="K473" s="504">
        <v>187705.15044999996</v>
      </c>
      <c r="L473" s="504">
        <f t="shared" si="17"/>
        <v>180970.66159</v>
      </c>
      <c r="M473" s="504">
        <f t="shared" si="17"/>
        <v>356442.33230000001</v>
      </c>
      <c r="N473" s="504">
        <f t="shared" si="17"/>
        <v>788625.84497999994</v>
      </c>
      <c r="O473" s="504">
        <f t="shared" si="17"/>
        <v>1349026.05204</v>
      </c>
      <c r="P473" s="504">
        <f t="shared" si="17"/>
        <v>-22987.213169999999</v>
      </c>
      <c r="Q473" s="504">
        <f t="shared" si="17"/>
        <v>1326038.8388700001</v>
      </c>
      <c r="R473" s="504">
        <f t="shared" si="17"/>
        <v>495987.21317</v>
      </c>
      <c r="S473" s="504">
        <f t="shared" si="17"/>
        <v>0</v>
      </c>
      <c r="T473" s="504">
        <f t="shared" si="17"/>
        <v>0</v>
      </c>
      <c r="U473" s="504">
        <f t="shared" si="17"/>
        <v>340169</v>
      </c>
      <c r="V473" s="504">
        <f t="shared" si="17"/>
        <v>403092.77831000002</v>
      </c>
      <c r="W473" s="504">
        <f t="shared" si="17"/>
        <v>1824533.0004499999</v>
      </c>
      <c r="X473" s="504">
        <f t="shared" si="17"/>
        <v>959825.73840999999</v>
      </c>
      <c r="Y473" s="504">
        <v>605569.99995999993</v>
      </c>
      <c r="Z473" s="504">
        <f t="shared" si="17"/>
        <v>758020.04887000006</v>
      </c>
      <c r="AA473" s="504">
        <f t="shared" si="17"/>
        <v>106687.21317</v>
      </c>
      <c r="AB473" s="38" t="s">
        <v>2080</v>
      </c>
      <c r="AC473" s="38" t="s">
        <v>84</v>
      </c>
      <c r="AD473" s="1496" t="s">
        <v>84</v>
      </c>
      <c r="AE473" s="1496" t="s">
        <v>84</v>
      </c>
      <c r="AF473" s="41" t="s">
        <v>84</v>
      </c>
      <c r="AG473" s="1493" t="s">
        <v>84</v>
      </c>
      <c r="AH473" s="1493" t="s">
        <v>84</v>
      </c>
    </row>
    <row r="474" spans="1:34" ht="31.5" outlineLevel="1" x14ac:dyDescent="0.25">
      <c r="A474" s="804" t="s">
        <v>270</v>
      </c>
      <c r="B474" s="1112" t="s">
        <v>452</v>
      </c>
      <c r="C474" s="1322" t="s">
        <v>54</v>
      </c>
      <c r="D474" s="54" t="s">
        <v>1628</v>
      </c>
      <c r="E474" s="503" t="s">
        <v>7</v>
      </c>
      <c r="F474" s="503" t="s">
        <v>7</v>
      </c>
      <c r="G474" s="480">
        <f>3978.16349</f>
        <v>3978.1634899999999</v>
      </c>
      <c r="H474" s="1308">
        <v>2047</v>
      </c>
      <c r="I474" s="1582">
        <v>0</v>
      </c>
      <c r="J474" s="1583">
        <v>0</v>
      </c>
      <c r="K474" s="1583">
        <v>0</v>
      </c>
      <c r="L474" s="396">
        <v>0</v>
      </c>
      <c r="M474" s="505">
        <v>0</v>
      </c>
      <c r="N474" s="699">
        <f>1931.16349</f>
        <v>1931.1634899999999</v>
      </c>
      <c r="O474" s="837">
        <v>1931</v>
      </c>
      <c r="P474" s="853">
        <v>0.16349</v>
      </c>
      <c r="Q474" s="534">
        <f>O474+P474</f>
        <v>1931.1634899999999</v>
      </c>
      <c r="R474" s="1437">
        <v>0</v>
      </c>
      <c r="S474" s="606">
        <v>0</v>
      </c>
      <c r="T474" s="1438">
        <v>0</v>
      </c>
      <c r="U474" s="227">
        <v>0</v>
      </c>
      <c r="V474" s="233">
        <v>0</v>
      </c>
      <c r="W474" s="1282">
        <v>0</v>
      </c>
      <c r="X474" s="1439">
        <v>0</v>
      </c>
      <c r="Y474" s="1439">
        <v>0</v>
      </c>
      <c r="Z474" s="1439">
        <v>0</v>
      </c>
      <c r="AA474" s="325">
        <v>0</v>
      </c>
      <c r="AB474" s="503" t="s">
        <v>1678</v>
      </c>
      <c r="AC474" s="464" t="s">
        <v>13</v>
      </c>
      <c r="AD474" s="1661" t="s">
        <v>321</v>
      </c>
      <c r="AE474" s="1661" t="s">
        <v>92</v>
      </c>
      <c r="AF474" s="863" t="s">
        <v>102</v>
      </c>
      <c r="AG474" s="503" t="s">
        <v>204</v>
      </c>
      <c r="AH474" s="503"/>
    </row>
    <row r="475" spans="1:34" ht="16.5" outlineLevel="1" thickBot="1" x14ac:dyDescent="0.3">
      <c r="A475" s="84" t="s">
        <v>96</v>
      </c>
      <c r="B475" s="1361" t="s">
        <v>96</v>
      </c>
      <c r="C475" s="445" t="s">
        <v>96</v>
      </c>
      <c r="D475" s="486" t="s">
        <v>96</v>
      </c>
      <c r="E475" s="611" t="s">
        <v>96</v>
      </c>
      <c r="F475" s="611" t="s">
        <v>96</v>
      </c>
      <c r="G475" s="492" t="s">
        <v>96</v>
      </c>
      <c r="H475" s="1523" t="s">
        <v>96</v>
      </c>
      <c r="I475" s="1524" t="s">
        <v>96</v>
      </c>
      <c r="J475" s="1357" t="s">
        <v>96</v>
      </c>
      <c r="K475" s="1357" t="s">
        <v>96</v>
      </c>
      <c r="L475" s="388" t="s">
        <v>96</v>
      </c>
      <c r="M475" s="334" t="s">
        <v>96</v>
      </c>
      <c r="N475" s="318" t="s">
        <v>96</v>
      </c>
      <c r="O475" s="215" t="s">
        <v>96</v>
      </c>
      <c r="P475" s="318" t="s">
        <v>96</v>
      </c>
      <c r="Q475" s="441" t="s">
        <v>96</v>
      </c>
      <c r="R475" s="341" t="s">
        <v>96</v>
      </c>
      <c r="S475" s="92" t="s">
        <v>96</v>
      </c>
      <c r="T475" s="1283" t="s">
        <v>96</v>
      </c>
      <c r="U475" s="339" t="s">
        <v>96</v>
      </c>
      <c r="V475" s="92" t="s">
        <v>96</v>
      </c>
      <c r="W475" s="1283" t="s">
        <v>96</v>
      </c>
      <c r="X475" s="1284" t="s">
        <v>96</v>
      </c>
      <c r="Y475" s="1284" t="s">
        <v>96</v>
      </c>
      <c r="Z475" s="1284" t="s">
        <v>96</v>
      </c>
      <c r="AA475" s="340" t="s">
        <v>96</v>
      </c>
      <c r="AB475" s="341" t="s">
        <v>96</v>
      </c>
      <c r="AC475" s="311" t="s">
        <v>96</v>
      </c>
      <c r="AD475" s="120" t="s">
        <v>96</v>
      </c>
      <c r="AE475" s="1662" t="s">
        <v>96</v>
      </c>
      <c r="AF475" s="120" t="s">
        <v>96</v>
      </c>
      <c r="AG475" s="611" t="s">
        <v>96</v>
      </c>
      <c r="AH475" s="611" t="s">
        <v>96</v>
      </c>
    </row>
    <row r="476" spans="1:34" s="1495" customFormat="1" ht="18.75" thickBot="1" x14ac:dyDescent="0.3">
      <c r="A476" s="1078" t="s">
        <v>200</v>
      </c>
      <c r="B476" s="1079"/>
      <c r="C476" s="1113"/>
      <c r="D476" s="52" t="s">
        <v>84</v>
      </c>
      <c r="E476" s="1493" t="s">
        <v>84</v>
      </c>
      <c r="F476" s="1493" t="s">
        <v>84</v>
      </c>
      <c r="G476" s="504">
        <f>SUM(G474:G475)</f>
        <v>3978.1634899999999</v>
      </c>
      <c r="H476" s="504">
        <f t="shared" ref="H476:AA476" si="18">SUM(H474:H475)</f>
        <v>2047</v>
      </c>
      <c r="I476" s="504">
        <f t="shared" si="18"/>
        <v>0</v>
      </c>
      <c r="J476" s="504">
        <f t="shared" si="18"/>
        <v>0</v>
      </c>
      <c r="K476" s="504">
        <v>0</v>
      </c>
      <c r="L476" s="504">
        <f t="shared" si="18"/>
        <v>0</v>
      </c>
      <c r="M476" s="504">
        <f t="shared" si="18"/>
        <v>0</v>
      </c>
      <c r="N476" s="504">
        <f t="shared" si="18"/>
        <v>1931.1634899999999</v>
      </c>
      <c r="O476" s="504">
        <f t="shared" si="18"/>
        <v>1931</v>
      </c>
      <c r="P476" s="504">
        <f t="shared" si="18"/>
        <v>0.16349</v>
      </c>
      <c r="Q476" s="504">
        <f t="shared" si="18"/>
        <v>1931.1634899999999</v>
      </c>
      <c r="R476" s="504">
        <f t="shared" si="18"/>
        <v>0</v>
      </c>
      <c r="S476" s="504">
        <f t="shared" si="18"/>
        <v>0</v>
      </c>
      <c r="T476" s="504">
        <f t="shared" si="18"/>
        <v>0</v>
      </c>
      <c r="U476" s="504">
        <f t="shared" si="18"/>
        <v>0</v>
      </c>
      <c r="V476" s="504">
        <f t="shared" si="18"/>
        <v>0</v>
      </c>
      <c r="W476" s="504">
        <f t="shared" si="18"/>
        <v>0</v>
      </c>
      <c r="X476" s="504">
        <f t="shared" si="18"/>
        <v>0</v>
      </c>
      <c r="Y476" s="504">
        <v>0</v>
      </c>
      <c r="Z476" s="504">
        <f t="shared" si="18"/>
        <v>0</v>
      </c>
      <c r="AA476" s="504">
        <f t="shared" si="18"/>
        <v>0</v>
      </c>
      <c r="AB476" s="38" t="s">
        <v>994</v>
      </c>
      <c r="AC476" s="38" t="s">
        <v>84</v>
      </c>
      <c r="AD476" s="1496" t="s">
        <v>84</v>
      </c>
      <c r="AE476" s="1496" t="s">
        <v>84</v>
      </c>
      <c r="AF476" s="41" t="s">
        <v>84</v>
      </c>
      <c r="AG476" s="1493" t="s">
        <v>84</v>
      </c>
      <c r="AH476" s="1493" t="s">
        <v>84</v>
      </c>
    </row>
    <row r="477" spans="1:34" ht="26.25" outlineLevel="1" thickBot="1" x14ac:dyDescent="0.3">
      <c r="A477" s="1752" t="s">
        <v>156</v>
      </c>
      <c r="B477" s="1753" t="s">
        <v>555</v>
      </c>
      <c r="C477" s="1754" t="s">
        <v>155</v>
      </c>
      <c r="D477" s="280" t="s">
        <v>1600</v>
      </c>
      <c r="E477" s="1755" t="s">
        <v>56</v>
      </c>
      <c r="F477" s="1755" t="s">
        <v>56</v>
      </c>
      <c r="G477" s="259">
        <f>1362.8-740+400</f>
        <v>1022.8</v>
      </c>
      <c r="H477" s="392">
        <v>622.79999999999995</v>
      </c>
      <c r="I477" s="2040">
        <v>0</v>
      </c>
      <c r="J477" s="2041">
        <v>0</v>
      </c>
      <c r="K477" s="2042">
        <v>0</v>
      </c>
      <c r="L477" s="2043">
        <v>0</v>
      </c>
      <c r="M477" s="2044">
        <v>0</v>
      </c>
      <c r="N477" s="2045">
        <v>0</v>
      </c>
      <c r="O477" s="1791">
        <v>400</v>
      </c>
      <c r="P477" s="1993">
        <v>-400</v>
      </c>
      <c r="Q477" s="1792">
        <f t="shared" ref="Q477:Q483" si="19">O477+P477</f>
        <v>0</v>
      </c>
      <c r="R477" s="277">
        <v>200</v>
      </c>
      <c r="S477" s="273">
        <v>200</v>
      </c>
      <c r="T477" s="2043">
        <v>0</v>
      </c>
      <c r="U477" s="600">
        <v>0</v>
      </c>
      <c r="V477" s="277">
        <v>0</v>
      </c>
      <c r="W477" s="2046">
        <v>0</v>
      </c>
      <c r="X477" s="1541">
        <v>0</v>
      </c>
      <c r="Y477" s="1541">
        <v>0</v>
      </c>
      <c r="Z477" s="1541">
        <v>0</v>
      </c>
      <c r="AA477" s="2047">
        <v>0</v>
      </c>
      <c r="AB477" s="554" t="s">
        <v>1754</v>
      </c>
      <c r="AC477" s="280" t="s">
        <v>13</v>
      </c>
      <c r="AD477" s="2048" t="s">
        <v>524</v>
      </c>
      <c r="AE477" s="2048" t="s">
        <v>92</v>
      </c>
      <c r="AF477" s="570" t="s">
        <v>101</v>
      </c>
      <c r="AG477" s="1983" t="s">
        <v>87</v>
      </c>
      <c r="AH477" s="1983" t="s">
        <v>982</v>
      </c>
    </row>
    <row r="478" spans="1:34" ht="51" outlineLevel="1" x14ac:dyDescent="0.25">
      <c r="A478" s="2049" t="s">
        <v>634</v>
      </c>
      <c r="B478" s="2050" t="s">
        <v>462</v>
      </c>
      <c r="C478" s="2051" t="s">
        <v>316</v>
      </c>
      <c r="D478" s="2052" t="s">
        <v>1470</v>
      </c>
      <c r="E478" s="2053" t="s">
        <v>7</v>
      </c>
      <c r="F478" s="2053" t="s">
        <v>900</v>
      </c>
      <c r="G478" s="2054">
        <v>291658.40000000002</v>
      </c>
      <c r="H478" s="2055">
        <v>0</v>
      </c>
      <c r="I478" s="2056">
        <v>0</v>
      </c>
      <c r="J478" s="2057">
        <v>0</v>
      </c>
      <c r="K478" s="2058">
        <v>0</v>
      </c>
      <c r="L478" s="2059">
        <v>0</v>
      </c>
      <c r="M478" s="2060">
        <v>0</v>
      </c>
      <c r="N478" s="2061">
        <v>1258.4000000000001</v>
      </c>
      <c r="O478" s="2062">
        <v>76998.350000000006</v>
      </c>
      <c r="P478" s="2063">
        <v>-75739.95</v>
      </c>
      <c r="Q478" s="2064">
        <f t="shared" si="19"/>
        <v>1258.4000000000087</v>
      </c>
      <c r="R478" s="2065">
        <v>174240</v>
      </c>
      <c r="S478" s="2066">
        <v>116160</v>
      </c>
      <c r="T478" s="2059">
        <v>0</v>
      </c>
      <c r="U478" s="2067">
        <v>0</v>
      </c>
      <c r="V478" s="2068">
        <v>0</v>
      </c>
      <c r="W478" s="2069">
        <v>0</v>
      </c>
      <c r="X478" s="2070">
        <v>0</v>
      </c>
      <c r="Y478" s="2070">
        <v>0</v>
      </c>
      <c r="Z478" s="2070">
        <v>0</v>
      </c>
      <c r="AA478" s="2071">
        <v>0</v>
      </c>
      <c r="AB478" s="2072" t="s">
        <v>1755</v>
      </c>
      <c r="AC478" s="1142" t="s">
        <v>9</v>
      </c>
      <c r="AD478" s="2073" t="s">
        <v>190</v>
      </c>
      <c r="AE478" s="2073" t="s">
        <v>91</v>
      </c>
      <c r="AF478" s="2074" t="s">
        <v>102</v>
      </c>
      <c r="AG478" s="2053" t="s">
        <v>87</v>
      </c>
      <c r="AH478" s="2053" t="s">
        <v>981</v>
      </c>
    </row>
    <row r="479" spans="1:34" ht="51" outlineLevel="1" x14ac:dyDescent="0.25">
      <c r="A479" s="802" t="s">
        <v>635</v>
      </c>
      <c r="B479" s="1109" t="s">
        <v>463</v>
      </c>
      <c r="C479" s="1323" t="s">
        <v>317</v>
      </c>
      <c r="D479" s="19" t="s">
        <v>1470</v>
      </c>
      <c r="E479" s="514" t="s">
        <v>7</v>
      </c>
      <c r="F479" s="514" t="s">
        <v>900</v>
      </c>
      <c r="G479" s="96">
        <v>118460.95600000001</v>
      </c>
      <c r="H479" s="179">
        <v>0</v>
      </c>
      <c r="I479" s="1607">
        <v>0</v>
      </c>
      <c r="J479" s="395">
        <v>49840.531000000003</v>
      </c>
      <c r="K479" s="1608">
        <v>297.78100000000001</v>
      </c>
      <c r="L479" s="518">
        <v>0</v>
      </c>
      <c r="M479" s="66">
        <v>49840.531000000003</v>
      </c>
      <c r="N479" s="512">
        <v>68620.425000000003</v>
      </c>
      <c r="O479" s="841">
        <v>118460.95600000001</v>
      </c>
      <c r="P479" s="858">
        <v>0</v>
      </c>
      <c r="Q479" s="613">
        <f t="shared" si="19"/>
        <v>118460.95600000001</v>
      </c>
      <c r="R479" s="97">
        <v>0</v>
      </c>
      <c r="S479" s="610">
        <v>0</v>
      </c>
      <c r="T479" s="518">
        <v>0</v>
      </c>
      <c r="U479" s="516">
        <v>0</v>
      </c>
      <c r="V479" s="1657">
        <v>0</v>
      </c>
      <c r="W479" s="803">
        <v>0</v>
      </c>
      <c r="X479" s="698">
        <v>0</v>
      </c>
      <c r="Y479" s="698">
        <v>0</v>
      </c>
      <c r="Z479" s="698">
        <v>0</v>
      </c>
      <c r="AA479" s="513">
        <v>0</v>
      </c>
      <c r="AB479" s="509" t="s">
        <v>84</v>
      </c>
      <c r="AC479" s="95" t="s">
        <v>13</v>
      </c>
      <c r="AD479" s="685" t="s">
        <v>190</v>
      </c>
      <c r="AE479" s="685" t="s">
        <v>92</v>
      </c>
      <c r="AF479" s="515" t="s">
        <v>102</v>
      </c>
      <c r="AG479" s="514" t="s">
        <v>87</v>
      </c>
      <c r="AH479" s="514" t="s">
        <v>981</v>
      </c>
    </row>
    <row r="480" spans="1:34" ht="51" outlineLevel="1" x14ac:dyDescent="0.25">
      <c r="A480" s="1735" t="s">
        <v>636</v>
      </c>
      <c r="B480" s="1736" t="s">
        <v>464</v>
      </c>
      <c r="C480" s="1737" t="s">
        <v>318</v>
      </c>
      <c r="D480" s="144" t="s">
        <v>1470</v>
      </c>
      <c r="E480" s="1738" t="s">
        <v>7</v>
      </c>
      <c r="F480" s="1738" t="s">
        <v>900</v>
      </c>
      <c r="G480" s="1048">
        <v>103800.69458</v>
      </c>
      <c r="H480" s="1739">
        <v>0</v>
      </c>
      <c r="I480" s="1740">
        <v>0</v>
      </c>
      <c r="J480" s="1741">
        <v>0</v>
      </c>
      <c r="K480" s="2075">
        <v>495.23571000000004</v>
      </c>
      <c r="L480" s="1743">
        <v>0</v>
      </c>
      <c r="M480" s="2076">
        <v>0</v>
      </c>
      <c r="N480" s="1102">
        <v>103800.69458</v>
      </c>
      <c r="O480" s="1744">
        <v>98631.94</v>
      </c>
      <c r="P480" s="2077">
        <v>5168.7545799999998</v>
      </c>
      <c r="Q480" s="1746">
        <f t="shared" si="19"/>
        <v>103800.69458</v>
      </c>
      <c r="R480" s="1747">
        <v>0</v>
      </c>
      <c r="S480" s="1120">
        <v>0</v>
      </c>
      <c r="T480" s="1743">
        <v>0</v>
      </c>
      <c r="U480" s="1104">
        <v>0</v>
      </c>
      <c r="V480" s="1742">
        <v>0</v>
      </c>
      <c r="W480" s="1749">
        <v>0</v>
      </c>
      <c r="X480" s="1750">
        <v>0</v>
      </c>
      <c r="Y480" s="1750">
        <v>0</v>
      </c>
      <c r="Z480" s="1750">
        <v>0</v>
      </c>
      <c r="AA480" s="1751">
        <v>0</v>
      </c>
      <c r="AB480" s="620" t="s">
        <v>1756</v>
      </c>
      <c r="AC480" s="157" t="s">
        <v>13</v>
      </c>
      <c r="AD480" s="2078" t="s">
        <v>190</v>
      </c>
      <c r="AE480" s="2078" t="s">
        <v>92</v>
      </c>
      <c r="AF480" s="370" t="s">
        <v>102</v>
      </c>
      <c r="AG480" s="1738" t="s">
        <v>87</v>
      </c>
      <c r="AH480" s="1738" t="s">
        <v>981</v>
      </c>
    </row>
    <row r="481" spans="1:34" ht="51.75" outlineLevel="1" thickBot="1" x14ac:dyDescent="0.3">
      <c r="A481" s="1752" t="s">
        <v>552</v>
      </c>
      <c r="B481" s="1753" t="s">
        <v>465</v>
      </c>
      <c r="C481" s="1754" t="s">
        <v>320</v>
      </c>
      <c r="D481" s="280" t="s">
        <v>1470</v>
      </c>
      <c r="E481" s="1755" t="s">
        <v>7</v>
      </c>
      <c r="F481" s="383" t="s">
        <v>900</v>
      </c>
      <c r="G481" s="259">
        <v>32422.894</v>
      </c>
      <c r="H481" s="372">
        <v>0</v>
      </c>
      <c r="I481" s="1756">
        <v>0</v>
      </c>
      <c r="J481" s="1757">
        <v>90.75</v>
      </c>
      <c r="K481" s="2079">
        <v>60.5</v>
      </c>
      <c r="L481" s="1759">
        <v>0</v>
      </c>
      <c r="M481" s="384">
        <v>90.75</v>
      </c>
      <c r="N481" s="1760">
        <v>25289.082920000001</v>
      </c>
      <c r="O481" s="1761">
        <v>32422.894</v>
      </c>
      <c r="P481" s="2080">
        <v>-7043.0610800000004</v>
      </c>
      <c r="Q481" s="371">
        <f t="shared" si="19"/>
        <v>25379.832920000001</v>
      </c>
      <c r="R481" s="261">
        <v>7043.0610800000004</v>
      </c>
      <c r="S481" s="274">
        <v>0</v>
      </c>
      <c r="T481" s="1759">
        <v>0</v>
      </c>
      <c r="U481" s="362">
        <v>0</v>
      </c>
      <c r="V481" s="1758">
        <v>0</v>
      </c>
      <c r="W481" s="1764">
        <v>0</v>
      </c>
      <c r="X481" s="1765">
        <v>0</v>
      </c>
      <c r="Y481" s="1765">
        <v>0</v>
      </c>
      <c r="Z481" s="1765">
        <v>0</v>
      </c>
      <c r="AA481" s="1766">
        <v>0</v>
      </c>
      <c r="AB481" s="430" t="s">
        <v>1757</v>
      </c>
      <c r="AC481" s="258" t="s">
        <v>13</v>
      </c>
      <c r="AD481" s="2048" t="s">
        <v>190</v>
      </c>
      <c r="AE481" s="2048" t="s">
        <v>92</v>
      </c>
      <c r="AF481" s="373" t="s">
        <v>102</v>
      </c>
      <c r="AG481" s="1755" t="s">
        <v>87</v>
      </c>
      <c r="AH481" s="1755" t="s">
        <v>981</v>
      </c>
    </row>
    <row r="482" spans="1:34" ht="26.25" outlineLevel="1" thickBot="1" x14ac:dyDescent="0.3">
      <c r="A482" s="833" t="s">
        <v>553</v>
      </c>
      <c r="B482" s="1111" t="s">
        <v>772</v>
      </c>
      <c r="C482" s="1324" t="s">
        <v>554</v>
      </c>
      <c r="D482" s="20" t="s">
        <v>1498</v>
      </c>
      <c r="E482" s="158" t="s">
        <v>7</v>
      </c>
      <c r="F482" s="158" t="s">
        <v>7</v>
      </c>
      <c r="G482" s="59">
        <v>3728.4940000000001</v>
      </c>
      <c r="H482" s="221">
        <v>525.86599999999999</v>
      </c>
      <c r="I482" s="1587">
        <v>96.8</v>
      </c>
      <c r="J482" s="1588">
        <v>598.36919999999998</v>
      </c>
      <c r="K482" s="1589">
        <v>2342.8988000000004</v>
      </c>
      <c r="L482" s="331">
        <v>96.8</v>
      </c>
      <c r="M482" s="174">
        <f>598+0.3692</f>
        <v>598.36919999999998</v>
      </c>
      <c r="N482" s="306">
        <f>2507.828-0.3692</f>
        <v>2507.4587999999999</v>
      </c>
      <c r="O482" s="840">
        <v>3202.6279999999997</v>
      </c>
      <c r="P482" s="1149">
        <v>0</v>
      </c>
      <c r="Q482" s="533">
        <f t="shared" si="19"/>
        <v>3202.6279999999997</v>
      </c>
      <c r="R482" s="307">
        <v>0</v>
      </c>
      <c r="S482" s="305">
        <v>0</v>
      </c>
      <c r="T482" s="331">
        <v>0</v>
      </c>
      <c r="U482" s="143">
        <v>0</v>
      </c>
      <c r="V482" s="1663">
        <v>0</v>
      </c>
      <c r="W482" s="867">
        <v>0</v>
      </c>
      <c r="X482" s="874">
        <v>0</v>
      </c>
      <c r="Y482" s="874">
        <v>0</v>
      </c>
      <c r="Z482" s="874">
        <v>0</v>
      </c>
      <c r="AA482" s="819">
        <v>0</v>
      </c>
      <c r="AB482" s="43" t="s">
        <v>84</v>
      </c>
      <c r="AC482" s="20" t="s">
        <v>13</v>
      </c>
      <c r="AD482" s="310" t="s">
        <v>190</v>
      </c>
      <c r="AE482" s="310" t="s">
        <v>92</v>
      </c>
      <c r="AF482" s="387" t="s">
        <v>101</v>
      </c>
      <c r="AG482" s="158" t="s">
        <v>87</v>
      </c>
      <c r="AH482" s="158" t="s">
        <v>982</v>
      </c>
    </row>
    <row r="483" spans="1:34" ht="38.25" outlineLevel="1" x14ac:dyDescent="0.25">
      <c r="A483" s="804" t="s">
        <v>1352</v>
      </c>
      <c r="B483" s="1112" t="s">
        <v>1354</v>
      </c>
      <c r="C483" s="1322" t="s">
        <v>1353</v>
      </c>
      <c r="D483" s="54" t="s">
        <v>1629</v>
      </c>
      <c r="E483" s="503" t="s">
        <v>7</v>
      </c>
      <c r="F483" s="503" t="s">
        <v>900</v>
      </c>
      <c r="G483" s="480">
        <v>45000</v>
      </c>
      <c r="H483" s="1308">
        <v>0</v>
      </c>
      <c r="I483" s="1582">
        <v>0</v>
      </c>
      <c r="J483" s="1583">
        <v>0</v>
      </c>
      <c r="K483" s="1664">
        <v>0</v>
      </c>
      <c r="L483" s="396">
        <v>0</v>
      </c>
      <c r="M483" s="65">
        <v>0</v>
      </c>
      <c r="N483" s="699">
        <v>0</v>
      </c>
      <c r="O483" s="837">
        <v>0</v>
      </c>
      <c r="P483" s="852">
        <v>0</v>
      </c>
      <c r="Q483" s="534">
        <f t="shared" si="19"/>
        <v>0</v>
      </c>
      <c r="R483" s="6">
        <v>45000</v>
      </c>
      <c r="S483" s="483">
        <v>0</v>
      </c>
      <c r="T483" s="396">
        <v>0</v>
      </c>
      <c r="U483" s="505">
        <v>0</v>
      </c>
      <c r="V483" s="1665">
        <v>0</v>
      </c>
      <c r="W483" s="1285">
        <v>0</v>
      </c>
      <c r="X483" s="800">
        <v>0</v>
      </c>
      <c r="Y483" s="800">
        <v>0</v>
      </c>
      <c r="Z483" s="800">
        <v>0</v>
      </c>
      <c r="AA483" s="746">
        <v>0</v>
      </c>
      <c r="AB483" s="465" t="s">
        <v>84</v>
      </c>
      <c r="AC483" s="501" t="s">
        <v>11</v>
      </c>
      <c r="AD483" s="829" t="s">
        <v>321</v>
      </c>
      <c r="AE483" s="829" t="s">
        <v>91</v>
      </c>
      <c r="AF483" s="45" t="s">
        <v>102</v>
      </c>
      <c r="AG483" s="503" t="s">
        <v>87</v>
      </c>
      <c r="AH483" s="503" t="s">
        <v>981</v>
      </c>
    </row>
    <row r="484" spans="1:34" ht="16.5" outlineLevel="1" thickBot="1" x14ac:dyDescent="0.3">
      <c r="A484" s="84" t="s">
        <v>96</v>
      </c>
      <c r="B484" s="1361" t="s">
        <v>96</v>
      </c>
      <c r="C484" s="445" t="s">
        <v>96</v>
      </c>
      <c r="D484" s="486" t="s">
        <v>96</v>
      </c>
      <c r="E484" s="611" t="s">
        <v>96</v>
      </c>
      <c r="F484" s="611" t="s">
        <v>96</v>
      </c>
      <c r="G484" s="492" t="s">
        <v>96</v>
      </c>
      <c r="H484" s="1523" t="s">
        <v>96</v>
      </c>
      <c r="I484" s="1524" t="s">
        <v>96</v>
      </c>
      <c r="J484" s="1357" t="s">
        <v>96</v>
      </c>
      <c r="K484" s="1357" t="s">
        <v>96</v>
      </c>
      <c r="L484" s="388" t="s">
        <v>96</v>
      </c>
      <c r="M484" s="334" t="s">
        <v>96</v>
      </c>
      <c r="N484" s="318" t="s">
        <v>96</v>
      </c>
      <c r="O484" s="215" t="s">
        <v>96</v>
      </c>
      <c r="P484" s="318" t="s">
        <v>96</v>
      </c>
      <c r="Q484" s="441" t="s">
        <v>96</v>
      </c>
      <c r="R484" s="215" t="s">
        <v>96</v>
      </c>
      <c r="S484" s="332" t="s">
        <v>96</v>
      </c>
      <c r="T484" s="388" t="s">
        <v>96</v>
      </c>
      <c r="U484" s="334" t="s">
        <v>96</v>
      </c>
      <c r="V484" s="332" t="s">
        <v>96</v>
      </c>
      <c r="W484" s="388" t="s">
        <v>96</v>
      </c>
      <c r="X484" s="336" t="s">
        <v>96</v>
      </c>
      <c r="Y484" s="336" t="s">
        <v>96</v>
      </c>
      <c r="Z484" s="336" t="s">
        <v>96</v>
      </c>
      <c r="AA484" s="318" t="s">
        <v>96</v>
      </c>
      <c r="AB484" s="215" t="s">
        <v>96</v>
      </c>
      <c r="AC484" s="311" t="s">
        <v>96</v>
      </c>
      <c r="AD484" s="90" t="s">
        <v>96</v>
      </c>
      <c r="AE484" s="90" t="s">
        <v>96</v>
      </c>
      <c r="AF484" s="84" t="s">
        <v>96</v>
      </c>
      <c r="AG484" s="611" t="s">
        <v>96</v>
      </c>
      <c r="AH484" s="611" t="s">
        <v>96</v>
      </c>
    </row>
    <row r="485" spans="1:34" s="1495" customFormat="1" ht="26.25" thickBot="1" x14ac:dyDescent="0.3">
      <c r="A485" s="1078" t="s">
        <v>543</v>
      </c>
      <c r="B485" s="1079"/>
      <c r="C485" s="1093"/>
      <c r="D485" s="38" t="s">
        <v>84</v>
      </c>
      <c r="E485" s="1493" t="s">
        <v>84</v>
      </c>
      <c r="F485" s="1493" t="s">
        <v>84</v>
      </c>
      <c r="G485" s="504">
        <f>SUM(G477:G484)</f>
        <v>596094.23858</v>
      </c>
      <c r="H485" s="504">
        <f t="shared" ref="H485:AA485" si="20">SUM(H477:H484)</f>
        <v>1148.6659999999999</v>
      </c>
      <c r="I485" s="504">
        <f t="shared" si="20"/>
        <v>96.8</v>
      </c>
      <c r="J485" s="504">
        <f t="shared" si="20"/>
        <v>50529.650200000004</v>
      </c>
      <c r="K485" s="504">
        <v>3196.4155100000007</v>
      </c>
      <c r="L485" s="504">
        <f t="shared" si="20"/>
        <v>96.8</v>
      </c>
      <c r="M485" s="504">
        <f t="shared" si="20"/>
        <v>50529.650200000004</v>
      </c>
      <c r="N485" s="504">
        <f t="shared" si="20"/>
        <v>201476.06129999997</v>
      </c>
      <c r="O485" s="504">
        <f t="shared" si="20"/>
        <v>330116.76800000004</v>
      </c>
      <c r="P485" s="504">
        <f t="shared" si="20"/>
        <v>-78014.256500000003</v>
      </c>
      <c r="Q485" s="504">
        <f t="shared" si="20"/>
        <v>252102.51149999999</v>
      </c>
      <c r="R485" s="504">
        <f t="shared" si="20"/>
        <v>226483.06108000001</v>
      </c>
      <c r="S485" s="504">
        <f t="shared" si="20"/>
        <v>116360</v>
      </c>
      <c r="T485" s="504">
        <f t="shared" si="20"/>
        <v>0</v>
      </c>
      <c r="U485" s="504">
        <f t="shared" si="20"/>
        <v>0</v>
      </c>
      <c r="V485" s="504">
        <f t="shared" si="20"/>
        <v>0</v>
      </c>
      <c r="W485" s="504">
        <f t="shared" si="20"/>
        <v>0</v>
      </c>
      <c r="X485" s="504">
        <f t="shared" si="20"/>
        <v>0</v>
      </c>
      <c r="Y485" s="504">
        <v>0</v>
      </c>
      <c r="Z485" s="504">
        <f t="shared" si="20"/>
        <v>0</v>
      </c>
      <c r="AA485" s="504">
        <f t="shared" si="20"/>
        <v>0</v>
      </c>
      <c r="AB485" s="38" t="s">
        <v>1665</v>
      </c>
      <c r="AC485" s="38" t="s">
        <v>84</v>
      </c>
      <c r="AD485" s="1496" t="s">
        <v>84</v>
      </c>
      <c r="AE485" s="1496" t="s">
        <v>84</v>
      </c>
      <c r="AF485" s="41" t="s">
        <v>84</v>
      </c>
      <c r="AG485" s="1493" t="s">
        <v>84</v>
      </c>
      <c r="AH485" s="1493" t="s">
        <v>84</v>
      </c>
    </row>
    <row r="486" spans="1:34" ht="47.25" outlineLevel="1" x14ac:dyDescent="0.25">
      <c r="A486" s="2258" t="s">
        <v>362</v>
      </c>
      <c r="B486" s="2259" t="s">
        <v>453</v>
      </c>
      <c r="C486" s="2677" t="s">
        <v>363</v>
      </c>
      <c r="D486" s="223" t="s">
        <v>1333</v>
      </c>
      <c r="E486" s="2268" t="s">
        <v>7</v>
      </c>
      <c r="F486" s="2268" t="s">
        <v>7</v>
      </c>
      <c r="G486" s="649">
        <v>18899.150000000001</v>
      </c>
      <c r="H486" s="658">
        <v>59.29</v>
      </c>
      <c r="I486" s="2678">
        <v>403.69229999999999</v>
      </c>
      <c r="J486" s="2679">
        <v>0</v>
      </c>
      <c r="K486" s="2679">
        <v>0</v>
      </c>
      <c r="L486" s="664">
        <f>403.69+0.0023</f>
        <v>403.69229999999999</v>
      </c>
      <c r="M486" s="665">
        <v>0</v>
      </c>
      <c r="N486" s="2688">
        <f>59.9-0.0023</f>
        <v>59.8977</v>
      </c>
      <c r="O486" s="1776">
        <v>1008.0900000000001</v>
      </c>
      <c r="P486" s="2680">
        <v>-544.5</v>
      </c>
      <c r="Q486" s="2687">
        <f>O486+P486</f>
        <v>463.59000000000015</v>
      </c>
      <c r="R486" s="652">
        <v>12326.27</v>
      </c>
      <c r="S486" s="1264">
        <v>6050</v>
      </c>
      <c r="T486" s="664">
        <v>0</v>
      </c>
      <c r="U486" s="665">
        <v>0</v>
      </c>
      <c r="V486" s="653">
        <v>0</v>
      </c>
      <c r="W486" s="2264">
        <v>0</v>
      </c>
      <c r="X486" s="2676">
        <v>0</v>
      </c>
      <c r="Y486" s="2676">
        <v>0</v>
      </c>
      <c r="Z486" s="2676">
        <v>0</v>
      </c>
      <c r="AA486" s="785">
        <v>0</v>
      </c>
      <c r="AB486" s="1265" t="s">
        <v>2062</v>
      </c>
      <c r="AC486" s="223" t="s">
        <v>9</v>
      </c>
      <c r="AD486" s="2681" t="s">
        <v>190</v>
      </c>
      <c r="AE486" s="2681" t="s">
        <v>91</v>
      </c>
      <c r="AF486" s="1129" t="s">
        <v>101</v>
      </c>
      <c r="AG486" s="2268" t="s">
        <v>370</v>
      </c>
      <c r="AH486" s="2682" t="s">
        <v>997</v>
      </c>
    </row>
    <row r="487" spans="1:34" ht="38.25" outlineLevel="1" x14ac:dyDescent="0.25">
      <c r="A487" s="1905" t="s">
        <v>364</v>
      </c>
      <c r="B487" s="2229" t="s">
        <v>454</v>
      </c>
      <c r="C487" s="2683" t="s">
        <v>365</v>
      </c>
      <c r="D487" s="655" t="s">
        <v>1333</v>
      </c>
      <c r="E487" s="773" t="s">
        <v>7</v>
      </c>
      <c r="F487" s="773" t="s">
        <v>7</v>
      </c>
      <c r="G487" s="776">
        <v>29002.49</v>
      </c>
      <c r="H487" s="777">
        <v>85.91</v>
      </c>
      <c r="I487" s="2684">
        <v>0</v>
      </c>
      <c r="J487" s="2685">
        <v>0</v>
      </c>
      <c r="K487" s="2685">
        <v>0</v>
      </c>
      <c r="L487" s="778">
        <v>0</v>
      </c>
      <c r="M487" s="771">
        <v>0</v>
      </c>
      <c r="N487" s="2686">
        <v>0</v>
      </c>
      <c r="O487" s="1910">
        <v>544.5</v>
      </c>
      <c r="P487" s="1911">
        <v>-544.5</v>
      </c>
      <c r="Q487" s="719">
        <f>O487+P487</f>
        <v>0</v>
      </c>
      <c r="R487" s="775">
        <v>5233.25</v>
      </c>
      <c r="S487" s="770">
        <v>23683.33</v>
      </c>
      <c r="T487" s="778">
        <v>0</v>
      </c>
      <c r="U487" s="771">
        <v>0</v>
      </c>
      <c r="V487" s="772">
        <v>0</v>
      </c>
      <c r="W487" s="2235">
        <v>0</v>
      </c>
      <c r="X487" s="2239">
        <v>0</v>
      </c>
      <c r="Y487" s="2239">
        <v>0</v>
      </c>
      <c r="Z487" s="2239">
        <v>0</v>
      </c>
      <c r="AA487" s="749">
        <v>0</v>
      </c>
      <c r="AB487" s="656" t="s">
        <v>2063</v>
      </c>
      <c r="AC487" s="223" t="s">
        <v>9</v>
      </c>
      <c r="AD487" s="786" t="s">
        <v>190</v>
      </c>
      <c r="AE487" s="786" t="s">
        <v>91</v>
      </c>
      <c r="AF487" s="321" t="s">
        <v>101</v>
      </c>
      <c r="AG487" s="773" t="s">
        <v>370</v>
      </c>
      <c r="AH487" s="2682" t="s">
        <v>997</v>
      </c>
    </row>
    <row r="488" spans="1:34" ht="38.25" outlineLevel="1" x14ac:dyDescent="0.25">
      <c r="A488" s="1905" t="s">
        <v>366</v>
      </c>
      <c r="B488" s="2229" t="s">
        <v>455</v>
      </c>
      <c r="C488" s="2683" t="s">
        <v>367</v>
      </c>
      <c r="D488" s="655" t="s">
        <v>1333</v>
      </c>
      <c r="E488" s="773" t="s">
        <v>7</v>
      </c>
      <c r="F488" s="773" t="s">
        <v>7</v>
      </c>
      <c r="G488" s="776">
        <v>11559.13</v>
      </c>
      <c r="H488" s="777">
        <v>78.650000000000006</v>
      </c>
      <c r="I488" s="2684">
        <v>0</v>
      </c>
      <c r="J488" s="2685">
        <v>0</v>
      </c>
      <c r="K488" s="2685">
        <v>0</v>
      </c>
      <c r="L488" s="778">
        <v>0</v>
      </c>
      <c r="M488" s="771">
        <v>0</v>
      </c>
      <c r="N488" s="2686">
        <v>0</v>
      </c>
      <c r="O488" s="1910">
        <v>544.5</v>
      </c>
      <c r="P488" s="1911">
        <v>-544.5</v>
      </c>
      <c r="Q488" s="719">
        <f>O488+P488</f>
        <v>0</v>
      </c>
      <c r="R488" s="775">
        <v>2544.63</v>
      </c>
      <c r="S488" s="770">
        <v>8935.85</v>
      </c>
      <c r="T488" s="778">
        <v>0</v>
      </c>
      <c r="U488" s="771">
        <v>0</v>
      </c>
      <c r="V488" s="772">
        <v>0</v>
      </c>
      <c r="W488" s="2235">
        <v>0</v>
      </c>
      <c r="X488" s="2239">
        <v>0</v>
      </c>
      <c r="Y488" s="2239">
        <v>0</v>
      </c>
      <c r="Z488" s="2239">
        <v>0</v>
      </c>
      <c r="AA488" s="749">
        <v>0</v>
      </c>
      <c r="AB488" s="656" t="s">
        <v>2064</v>
      </c>
      <c r="AC488" s="223" t="s">
        <v>9</v>
      </c>
      <c r="AD488" s="786" t="s">
        <v>190</v>
      </c>
      <c r="AE488" s="786" t="s">
        <v>91</v>
      </c>
      <c r="AF488" s="321" t="s">
        <v>101</v>
      </c>
      <c r="AG488" s="773" t="s">
        <v>370</v>
      </c>
      <c r="AH488" s="2682" t="s">
        <v>997</v>
      </c>
    </row>
    <row r="489" spans="1:34" ht="16.5" outlineLevel="1" thickBot="1" x14ac:dyDescent="0.3">
      <c r="A489" s="84" t="s">
        <v>96</v>
      </c>
      <c r="B489" s="1066" t="s">
        <v>96</v>
      </c>
      <c r="C489" s="1094" t="s">
        <v>96</v>
      </c>
      <c r="D489" s="311" t="s">
        <v>96</v>
      </c>
      <c r="E489" s="611" t="s">
        <v>96</v>
      </c>
      <c r="F489" s="611" t="s">
        <v>96</v>
      </c>
      <c r="G489" s="492" t="s">
        <v>96</v>
      </c>
      <c r="H489" s="1650" t="s">
        <v>96</v>
      </c>
      <c r="I489" s="1651" t="s">
        <v>96</v>
      </c>
      <c r="J489" s="1652" t="s">
        <v>96</v>
      </c>
      <c r="K489" s="1652" t="s">
        <v>96</v>
      </c>
      <c r="L489" s="403" t="s">
        <v>96</v>
      </c>
      <c r="M489" s="333" t="s">
        <v>96</v>
      </c>
      <c r="N489" s="508" t="s">
        <v>96</v>
      </c>
      <c r="O489" s="335" t="s">
        <v>96</v>
      </c>
      <c r="P489" s="508" t="s">
        <v>96</v>
      </c>
      <c r="Q489" s="391" t="s">
        <v>96</v>
      </c>
      <c r="R489" s="341" t="s">
        <v>96</v>
      </c>
      <c r="S489" s="92" t="s">
        <v>96</v>
      </c>
      <c r="T489" s="1283" t="s">
        <v>96</v>
      </c>
      <c r="U489" s="339" t="s">
        <v>96</v>
      </c>
      <c r="V489" s="92" t="s">
        <v>96</v>
      </c>
      <c r="W489" s="1283" t="s">
        <v>96</v>
      </c>
      <c r="X489" s="1284" t="s">
        <v>96</v>
      </c>
      <c r="Y489" s="1284" t="s">
        <v>96</v>
      </c>
      <c r="Z489" s="1284" t="s">
        <v>96</v>
      </c>
      <c r="AA489" s="340" t="s">
        <v>96</v>
      </c>
      <c r="AB489" s="341" t="s">
        <v>96</v>
      </c>
      <c r="AC489" s="98" t="s">
        <v>96</v>
      </c>
      <c r="AD489" s="404" t="s">
        <v>96</v>
      </c>
      <c r="AE489" s="1662" t="s">
        <v>96</v>
      </c>
      <c r="AF489" s="404" t="s">
        <v>96</v>
      </c>
      <c r="AG489" s="502" t="s">
        <v>96</v>
      </c>
      <c r="AH489" s="502" t="s">
        <v>96</v>
      </c>
    </row>
    <row r="490" spans="1:34" s="1495" customFormat="1" ht="18.75" thickBot="1" x14ac:dyDescent="0.3">
      <c r="A490" s="1078" t="s">
        <v>105</v>
      </c>
      <c r="B490" s="1079"/>
      <c r="C490" s="1093"/>
      <c r="D490" s="38" t="s">
        <v>84</v>
      </c>
      <c r="E490" s="1493" t="s">
        <v>84</v>
      </c>
      <c r="F490" s="1493" t="s">
        <v>84</v>
      </c>
      <c r="G490" s="504">
        <f>SUM(G486:G489)</f>
        <v>59460.77</v>
      </c>
      <c r="H490" s="504">
        <f t="shared" ref="H490:AA490" si="21">SUM(H486:H489)</f>
        <v>223.85</v>
      </c>
      <c r="I490" s="504">
        <f t="shared" si="21"/>
        <v>403.69229999999999</v>
      </c>
      <c r="J490" s="504">
        <f t="shared" si="21"/>
        <v>0</v>
      </c>
      <c r="K490" s="504">
        <v>0</v>
      </c>
      <c r="L490" s="504">
        <f t="shared" si="21"/>
        <v>403.69229999999999</v>
      </c>
      <c r="M490" s="504">
        <f t="shared" si="21"/>
        <v>0</v>
      </c>
      <c r="N490" s="504">
        <f t="shared" si="21"/>
        <v>59.8977</v>
      </c>
      <c r="O490" s="504">
        <f t="shared" si="21"/>
        <v>2097.09</v>
      </c>
      <c r="P490" s="504">
        <f t="shared" si="21"/>
        <v>-1633.5</v>
      </c>
      <c r="Q490" s="504">
        <f t="shared" si="21"/>
        <v>463.59000000000015</v>
      </c>
      <c r="R490" s="504">
        <f t="shared" si="21"/>
        <v>20104.150000000001</v>
      </c>
      <c r="S490" s="504">
        <f t="shared" si="21"/>
        <v>38669.18</v>
      </c>
      <c r="T490" s="504">
        <f t="shared" si="21"/>
        <v>0</v>
      </c>
      <c r="U490" s="504">
        <f t="shared" si="21"/>
        <v>0</v>
      </c>
      <c r="V490" s="504">
        <f t="shared" si="21"/>
        <v>0</v>
      </c>
      <c r="W490" s="504">
        <f t="shared" si="21"/>
        <v>0</v>
      </c>
      <c r="X490" s="504">
        <f t="shared" si="21"/>
        <v>0</v>
      </c>
      <c r="Y490" s="504">
        <v>0</v>
      </c>
      <c r="Z490" s="504">
        <f t="shared" si="21"/>
        <v>0</v>
      </c>
      <c r="AA490" s="504">
        <f t="shared" si="21"/>
        <v>0</v>
      </c>
      <c r="AB490" s="38" t="s">
        <v>1666</v>
      </c>
      <c r="AC490" s="38" t="s">
        <v>84</v>
      </c>
      <c r="AD490" s="1496" t="s">
        <v>84</v>
      </c>
      <c r="AE490" s="1496" t="s">
        <v>84</v>
      </c>
      <c r="AF490" s="41" t="s">
        <v>84</v>
      </c>
      <c r="AG490" s="1493" t="s">
        <v>84</v>
      </c>
      <c r="AH490" s="1493" t="s">
        <v>84</v>
      </c>
    </row>
    <row r="491" spans="1:34" ht="30" outlineLevel="1" x14ac:dyDescent="0.25">
      <c r="A491" s="804" t="s">
        <v>774</v>
      </c>
      <c r="B491" s="1194" t="s">
        <v>2093</v>
      </c>
      <c r="C491" s="1327" t="s">
        <v>775</v>
      </c>
      <c r="D491" s="501" t="s">
        <v>1594</v>
      </c>
      <c r="E491" s="501" t="s">
        <v>7</v>
      </c>
      <c r="F491" s="503" t="s">
        <v>7</v>
      </c>
      <c r="G491" s="402">
        <v>7804</v>
      </c>
      <c r="H491" s="412">
        <v>0</v>
      </c>
      <c r="I491" s="1618">
        <v>0</v>
      </c>
      <c r="J491" s="1611">
        <v>0</v>
      </c>
      <c r="K491" s="1619">
        <v>1401.41347</v>
      </c>
      <c r="L491" s="1285">
        <v>0</v>
      </c>
      <c r="M491" s="801">
        <f>9864-9864</f>
        <v>0</v>
      </c>
      <c r="N491" s="746">
        <v>7804</v>
      </c>
      <c r="O491" s="1666">
        <v>7804</v>
      </c>
      <c r="P491" s="853">
        <v>0</v>
      </c>
      <c r="Q491" s="534">
        <f>O491+P491</f>
        <v>7804</v>
      </c>
      <c r="R491" s="443">
        <v>0</v>
      </c>
      <c r="S491" s="1287">
        <v>0</v>
      </c>
      <c r="T491" s="1285">
        <v>0</v>
      </c>
      <c r="U491" s="801">
        <v>0</v>
      </c>
      <c r="V491" s="1667">
        <v>0</v>
      </c>
      <c r="W491" s="1285">
        <v>0</v>
      </c>
      <c r="X491" s="801">
        <v>0</v>
      </c>
      <c r="Y491" s="801">
        <v>0</v>
      </c>
      <c r="Z491" s="801">
        <v>0</v>
      </c>
      <c r="AA491" s="1188">
        <v>0</v>
      </c>
      <c r="AB491" s="1195" t="s">
        <v>776</v>
      </c>
      <c r="AC491" s="501" t="s">
        <v>11</v>
      </c>
      <c r="AD491" s="45" t="s">
        <v>191</v>
      </c>
      <c r="AE491" s="45" t="s">
        <v>91</v>
      </c>
      <c r="AF491" s="45" t="s">
        <v>101</v>
      </c>
      <c r="AG491" s="503" t="s">
        <v>87</v>
      </c>
      <c r="AH491" s="503" t="s">
        <v>971</v>
      </c>
    </row>
    <row r="492" spans="1:34" ht="45.75" outlineLevel="1" thickBot="1" x14ac:dyDescent="0.3">
      <c r="A492" s="832" t="s">
        <v>777</v>
      </c>
      <c r="B492" s="56" t="s">
        <v>87</v>
      </c>
      <c r="C492" s="1668" t="s">
        <v>778</v>
      </c>
      <c r="D492" s="98" t="s">
        <v>1594</v>
      </c>
      <c r="E492" s="98" t="s">
        <v>7</v>
      </c>
      <c r="F492" s="502" t="s">
        <v>7</v>
      </c>
      <c r="G492" s="324">
        <v>13300</v>
      </c>
      <c r="H492" s="208">
        <v>0</v>
      </c>
      <c r="I492" s="1600">
        <v>0</v>
      </c>
      <c r="J492" s="1601">
        <v>0</v>
      </c>
      <c r="K492" s="1602">
        <v>0</v>
      </c>
      <c r="L492" s="870">
        <v>0</v>
      </c>
      <c r="M492" s="880">
        <f>14136-14136</f>
        <v>0</v>
      </c>
      <c r="N492" s="217">
        <v>13300</v>
      </c>
      <c r="O492" s="1669">
        <v>13300</v>
      </c>
      <c r="P492" s="825">
        <v>0</v>
      </c>
      <c r="Q492" s="531">
        <f>O492+P492</f>
        <v>13300</v>
      </c>
      <c r="R492" s="391">
        <v>0</v>
      </c>
      <c r="S492" s="882">
        <v>0</v>
      </c>
      <c r="T492" s="870">
        <v>0</v>
      </c>
      <c r="U492" s="880">
        <v>0</v>
      </c>
      <c r="V492" s="1295">
        <v>0</v>
      </c>
      <c r="W492" s="870">
        <v>0</v>
      </c>
      <c r="X492" s="880">
        <v>0</v>
      </c>
      <c r="Y492" s="880">
        <v>0</v>
      </c>
      <c r="Z492" s="880">
        <v>0</v>
      </c>
      <c r="AA492" s="881">
        <v>0</v>
      </c>
      <c r="AB492" s="1670" t="s">
        <v>1676</v>
      </c>
      <c r="AC492" s="98" t="s">
        <v>32</v>
      </c>
      <c r="AD492" s="58" t="s">
        <v>191</v>
      </c>
      <c r="AE492" s="58" t="s">
        <v>91</v>
      </c>
      <c r="AF492" s="58" t="s">
        <v>101</v>
      </c>
      <c r="AG492" s="502" t="s">
        <v>218</v>
      </c>
      <c r="AH492" s="502" t="s">
        <v>971</v>
      </c>
    </row>
    <row r="493" spans="1:34" s="226" customFormat="1" ht="25.5" outlineLevel="1" x14ac:dyDescent="0.25">
      <c r="A493" s="831" t="s">
        <v>1474</v>
      </c>
      <c r="B493" s="1561" t="s">
        <v>87</v>
      </c>
      <c r="C493" s="1095" t="s">
        <v>1471</v>
      </c>
      <c r="D493" s="93" t="s">
        <v>1722</v>
      </c>
      <c r="E493" s="93" t="s">
        <v>7</v>
      </c>
      <c r="F493" s="24" t="s">
        <v>7</v>
      </c>
      <c r="G493" s="326">
        <v>29000</v>
      </c>
      <c r="H493" s="209">
        <v>0</v>
      </c>
      <c r="I493" s="1590">
        <v>0</v>
      </c>
      <c r="J493" s="1591">
        <v>0</v>
      </c>
      <c r="K493" s="1591">
        <v>0</v>
      </c>
      <c r="L493" s="864">
        <v>0</v>
      </c>
      <c r="M493" s="1591">
        <v>0</v>
      </c>
      <c r="N493" s="500">
        <v>29000</v>
      </c>
      <c r="O493" s="1579">
        <v>29000</v>
      </c>
      <c r="P493" s="855">
        <v>0</v>
      </c>
      <c r="Q493" s="1579">
        <f>O493+P493</f>
        <v>29000</v>
      </c>
      <c r="R493" s="500">
        <v>0</v>
      </c>
      <c r="S493" s="506">
        <v>0</v>
      </c>
      <c r="T493" s="864">
        <v>0</v>
      </c>
      <c r="U493" s="319">
        <v>0</v>
      </c>
      <c r="V493" s="506">
        <v>0</v>
      </c>
      <c r="W493" s="864">
        <v>0</v>
      </c>
      <c r="X493" s="865">
        <v>0</v>
      </c>
      <c r="Y493" s="865">
        <v>0</v>
      </c>
      <c r="Z493" s="865">
        <v>0</v>
      </c>
      <c r="AA493" s="500">
        <v>0</v>
      </c>
      <c r="AB493" s="1564" t="s">
        <v>1473</v>
      </c>
      <c r="AC493" s="102" t="s">
        <v>11</v>
      </c>
      <c r="AD493" s="484" t="s">
        <v>191</v>
      </c>
      <c r="AE493" s="484" t="s">
        <v>91</v>
      </c>
      <c r="AF493" s="484" t="s">
        <v>101</v>
      </c>
      <c r="AG493" s="24" t="s">
        <v>1472</v>
      </c>
      <c r="AH493" s="24" t="s">
        <v>971</v>
      </c>
    </row>
    <row r="494" spans="1:34" s="1358" customFormat="1" ht="16.5" outlineLevel="1" thickBot="1" x14ac:dyDescent="0.3">
      <c r="A494" s="84" t="s">
        <v>96</v>
      </c>
      <c r="B494" s="1356" t="s">
        <v>96</v>
      </c>
      <c r="C494" s="1090" t="s">
        <v>96</v>
      </c>
      <c r="D494" s="496" t="s">
        <v>96</v>
      </c>
      <c r="E494" s="311" t="s">
        <v>96</v>
      </c>
      <c r="F494" s="611" t="s">
        <v>96</v>
      </c>
      <c r="G494" s="492" t="s">
        <v>96</v>
      </c>
      <c r="H494" s="1523" t="s">
        <v>96</v>
      </c>
      <c r="I494" s="1524" t="s">
        <v>96</v>
      </c>
      <c r="J494" s="1357" t="s">
        <v>96</v>
      </c>
      <c r="K494" s="1357" t="s">
        <v>96</v>
      </c>
      <c r="L494" s="388" t="s">
        <v>96</v>
      </c>
      <c r="M494" s="334" t="s">
        <v>96</v>
      </c>
      <c r="N494" s="318" t="s">
        <v>96</v>
      </c>
      <c r="O494" s="215" t="s">
        <v>96</v>
      </c>
      <c r="P494" s="318" t="s">
        <v>96</v>
      </c>
      <c r="Q494" s="441" t="s">
        <v>96</v>
      </c>
      <c r="R494" s="215" t="s">
        <v>96</v>
      </c>
      <c r="S494" s="332" t="s">
        <v>96</v>
      </c>
      <c r="T494" s="388" t="s">
        <v>96</v>
      </c>
      <c r="U494" s="334" t="s">
        <v>96</v>
      </c>
      <c r="V494" s="332" t="s">
        <v>96</v>
      </c>
      <c r="W494" s="388" t="s">
        <v>96</v>
      </c>
      <c r="X494" s="336" t="s">
        <v>96</v>
      </c>
      <c r="Y494" s="336" t="s">
        <v>96</v>
      </c>
      <c r="Z494" s="336" t="s">
        <v>96</v>
      </c>
      <c r="AA494" s="318" t="s">
        <v>96</v>
      </c>
      <c r="AB494" s="215" t="s">
        <v>96</v>
      </c>
      <c r="AC494" s="67" t="s">
        <v>96</v>
      </c>
      <c r="AD494" s="84" t="s">
        <v>96</v>
      </c>
      <c r="AE494" s="84" t="s">
        <v>96</v>
      </c>
      <c r="AF494" s="84" t="s">
        <v>96</v>
      </c>
      <c r="AG494" s="611" t="s">
        <v>96</v>
      </c>
      <c r="AH494" s="611" t="s">
        <v>96</v>
      </c>
    </row>
    <row r="495" spans="1:34" s="1495" customFormat="1" ht="18.75" thickBot="1" x14ac:dyDescent="0.3">
      <c r="A495" s="1078" t="s">
        <v>395</v>
      </c>
      <c r="B495" s="1079"/>
      <c r="C495" s="1093"/>
      <c r="D495" s="38" t="s">
        <v>84</v>
      </c>
      <c r="E495" s="1493" t="s">
        <v>84</v>
      </c>
      <c r="F495" s="1493" t="s">
        <v>84</v>
      </c>
      <c r="G495" s="504">
        <f>SUM(G491:G494)</f>
        <v>50104</v>
      </c>
      <c r="H495" s="504">
        <f t="shared" ref="H495:AA495" si="22">SUM(H491:H494)</f>
        <v>0</v>
      </c>
      <c r="I495" s="504">
        <f t="shared" si="22"/>
        <v>0</v>
      </c>
      <c r="J495" s="504">
        <f t="shared" si="22"/>
        <v>0</v>
      </c>
      <c r="K495" s="504">
        <v>1401.41347</v>
      </c>
      <c r="L495" s="504">
        <f t="shared" si="22"/>
        <v>0</v>
      </c>
      <c r="M495" s="504">
        <f t="shared" si="22"/>
        <v>0</v>
      </c>
      <c r="N495" s="504">
        <f t="shared" si="22"/>
        <v>50104</v>
      </c>
      <c r="O495" s="504">
        <f t="shared" si="22"/>
        <v>50104</v>
      </c>
      <c r="P495" s="504">
        <f t="shared" si="22"/>
        <v>0</v>
      </c>
      <c r="Q495" s="504">
        <f t="shared" si="22"/>
        <v>50104</v>
      </c>
      <c r="R495" s="504">
        <f t="shared" si="22"/>
        <v>0</v>
      </c>
      <c r="S495" s="504">
        <f t="shared" si="22"/>
        <v>0</v>
      </c>
      <c r="T495" s="504">
        <f t="shared" si="22"/>
        <v>0</v>
      </c>
      <c r="U495" s="504">
        <f t="shared" si="22"/>
        <v>0</v>
      </c>
      <c r="V495" s="504">
        <f t="shared" si="22"/>
        <v>0</v>
      </c>
      <c r="W495" s="504">
        <f t="shared" si="22"/>
        <v>0</v>
      </c>
      <c r="X495" s="504">
        <f t="shared" si="22"/>
        <v>0</v>
      </c>
      <c r="Y495" s="504">
        <v>0</v>
      </c>
      <c r="Z495" s="504">
        <f t="shared" si="22"/>
        <v>0</v>
      </c>
      <c r="AA495" s="504">
        <f t="shared" si="22"/>
        <v>0</v>
      </c>
      <c r="AB495" s="38" t="s">
        <v>1667</v>
      </c>
      <c r="AC495" s="38" t="s">
        <v>84</v>
      </c>
      <c r="AD495" s="1068" t="s">
        <v>84</v>
      </c>
      <c r="AE495" s="1498" t="s">
        <v>84</v>
      </c>
      <c r="AF495" s="38" t="s">
        <v>84</v>
      </c>
      <c r="AG495" s="1493" t="s">
        <v>84</v>
      </c>
      <c r="AH495" s="1493" t="s">
        <v>84</v>
      </c>
    </row>
    <row r="496" spans="1:34" ht="25.5" outlineLevel="1" x14ac:dyDescent="0.25">
      <c r="A496" s="1768" t="s">
        <v>271</v>
      </c>
      <c r="B496" s="1769" t="s">
        <v>456</v>
      </c>
      <c r="C496" s="1770" t="s">
        <v>322</v>
      </c>
      <c r="D496" s="223" t="s">
        <v>1619</v>
      </c>
      <c r="E496" s="1174" t="s">
        <v>58</v>
      </c>
      <c r="F496" s="1174" t="s">
        <v>58</v>
      </c>
      <c r="G496" s="661">
        <f>7900+2100-3000-2416.48572</f>
        <v>4583.5142799999994</v>
      </c>
      <c r="H496" s="1771">
        <v>4510.9382500000002</v>
      </c>
      <c r="I496" s="1772">
        <v>0</v>
      </c>
      <c r="J496" s="1773">
        <v>0</v>
      </c>
      <c r="K496" s="1774">
        <v>72.576030000000003</v>
      </c>
      <c r="L496" s="1775">
        <v>0</v>
      </c>
      <c r="M496" s="1775">
        <v>0</v>
      </c>
      <c r="N496" s="1775">
        <v>72.576030000000003</v>
      </c>
      <c r="O496" s="1776">
        <v>2489.0617499999998</v>
      </c>
      <c r="P496" s="1777">
        <v>-2416.4857200000001</v>
      </c>
      <c r="Q496" s="1778">
        <f t="shared" ref="Q496:Q559" si="23">O496+P496</f>
        <v>72.576029999999719</v>
      </c>
      <c r="R496" s="676">
        <v>0</v>
      </c>
      <c r="S496" s="668">
        <v>0</v>
      </c>
      <c r="T496" s="675">
        <v>0</v>
      </c>
      <c r="U496" s="669">
        <v>0</v>
      </c>
      <c r="V496" s="670">
        <v>0</v>
      </c>
      <c r="W496" s="1779">
        <v>0</v>
      </c>
      <c r="X496" s="1780">
        <v>0</v>
      </c>
      <c r="Y496" s="1780">
        <v>0</v>
      </c>
      <c r="Z496" s="1780">
        <v>0</v>
      </c>
      <c r="AA496" s="673">
        <v>0</v>
      </c>
      <c r="AB496" s="223" t="s">
        <v>1693</v>
      </c>
      <c r="AC496" s="223" t="s">
        <v>186</v>
      </c>
      <c r="AD496" s="1781" t="s">
        <v>321</v>
      </c>
      <c r="AE496" s="1781" t="s">
        <v>92</v>
      </c>
      <c r="AF496" s="671" t="s">
        <v>101</v>
      </c>
      <c r="AG496" s="1782" t="s">
        <v>220</v>
      </c>
      <c r="AH496" s="1782" t="s">
        <v>983</v>
      </c>
    </row>
    <row r="497" spans="1:34" ht="26.25" outlineLevel="1" thickBot="1" x14ac:dyDescent="0.3">
      <c r="A497" s="879" t="s">
        <v>272</v>
      </c>
      <c r="B497" s="1431" t="s">
        <v>457</v>
      </c>
      <c r="C497" s="1306" t="s">
        <v>60</v>
      </c>
      <c r="D497" s="98" t="s">
        <v>1630</v>
      </c>
      <c r="E497" s="502" t="s">
        <v>112</v>
      </c>
      <c r="F497" s="502" t="s">
        <v>112</v>
      </c>
      <c r="G497" s="127">
        <v>14000</v>
      </c>
      <c r="H497" s="182">
        <v>0</v>
      </c>
      <c r="I497" s="1633">
        <v>0</v>
      </c>
      <c r="J497" s="1634">
        <v>0</v>
      </c>
      <c r="K497" s="1635">
        <v>0</v>
      </c>
      <c r="L497" s="69">
        <v>0</v>
      </c>
      <c r="M497" s="101">
        <v>0</v>
      </c>
      <c r="N497" s="16">
        <v>0</v>
      </c>
      <c r="O497" s="842">
        <v>0</v>
      </c>
      <c r="P497" s="825">
        <v>0</v>
      </c>
      <c r="Q497" s="531">
        <f t="shared" si="23"/>
        <v>0</v>
      </c>
      <c r="R497" s="128">
        <v>7000</v>
      </c>
      <c r="S497" s="244">
        <v>7000</v>
      </c>
      <c r="T497" s="409">
        <v>0</v>
      </c>
      <c r="U497" s="237">
        <v>0</v>
      </c>
      <c r="V497" s="232">
        <v>0</v>
      </c>
      <c r="W497" s="862">
        <v>0</v>
      </c>
      <c r="X497" s="1288">
        <v>0</v>
      </c>
      <c r="Y497" s="1288">
        <v>0</v>
      </c>
      <c r="Z497" s="1288">
        <v>0</v>
      </c>
      <c r="AA497" s="137">
        <v>0</v>
      </c>
      <c r="AB497" s="98" t="s">
        <v>84</v>
      </c>
      <c r="AC497" s="115" t="s">
        <v>11</v>
      </c>
      <c r="AD497" s="1278" t="s">
        <v>191</v>
      </c>
      <c r="AE497" s="1278" t="s">
        <v>91</v>
      </c>
      <c r="AF497" s="125" t="s">
        <v>103</v>
      </c>
      <c r="AG497" s="126" t="s">
        <v>204</v>
      </c>
      <c r="AH497" s="126" t="s">
        <v>983</v>
      </c>
    </row>
    <row r="498" spans="1:34" s="1365" customFormat="1" ht="39" outlineLevel="1" thickBot="1" x14ac:dyDescent="0.3">
      <c r="A498" s="1783" t="s">
        <v>111</v>
      </c>
      <c r="B498" s="1783" t="s">
        <v>654</v>
      </c>
      <c r="C498" s="1784" t="s">
        <v>655</v>
      </c>
      <c r="D498" s="275" t="s">
        <v>1631</v>
      </c>
      <c r="E498" s="1127" t="s">
        <v>148</v>
      </c>
      <c r="F498" s="1127" t="s">
        <v>148</v>
      </c>
      <c r="G498" s="1785">
        <f>29100.32579+3506+636.58971</f>
        <v>33242.915499999996</v>
      </c>
      <c r="H498" s="1786">
        <v>555.74</v>
      </c>
      <c r="I498" s="1787">
        <v>6823.4989600000008</v>
      </c>
      <c r="J498" s="1788">
        <v>8843.1584600000006</v>
      </c>
      <c r="K498" s="1789">
        <v>216.43439999999998</v>
      </c>
      <c r="L498" s="1790">
        <f>5035.9364+1787.56256</f>
        <v>6823.4989599999999</v>
      </c>
      <c r="M498" s="1516">
        <f>8900-56.84154</f>
        <v>8843.1584600000006</v>
      </c>
      <c r="N498" s="1516">
        <f>220+56.84154</f>
        <v>276.84154000000001</v>
      </c>
      <c r="O498" s="1791">
        <v>15723.498960000006</v>
      </c>
      <c r="P498" s="1792">
        <v>220</v>
      </c>
      <c r="Q498" s="1792">
        <f t="shared" si="23"/>
        <v>15943.498960000006</v>
      </c>
      <c r="R498" s="1793">
        <v>0</v>
      </c>
      <c r="S498" s="1794">
        <v>0</v>
      </c>
      <c r="T498" s="1795">
        <f>21635.92485-555.74-1787.56256-5191.21079-3708.78921</f>
        <v>10392.622289999999</v>
      </c>
      <c r="U498" s="1796">
        <v>6351.0542500000001</v>
      </c>
      <c r="V498" s="1797">
        <v>0</v>
      </c>
      <c r="W498" s="1798">
        <v>0</v>
      </c>
      <c r="X498" s="1799">
        <v>0</v>
      </c>
      <c r="Y498" s="1799">
        <v>0</v>
      </c>
      <c r="Z498" s="1799">
        <v>0</v>
      </c>
      <c r="AA498" s="1800">
        <v>0</v>
      </c>
      <c r="AB498" s="275" t="s">
        <v>1758</v>
      </c>
      <c r="AC498" s="275" t="s">
        <v>186</v>
      </c>
      <c r="AD498" s="1801" t="s">
        <v>321</v>
      </c>
      <c r="AE498" s="1801" t="s">
        <v>92</v>
      </c>
      <c r="AF498" s="566" t="s">
        <v>101</v>
      </c>
      <c r="AG498" s="1802" t="s">
        <v>224</v>
      </c>
      <c r="AH498" s="1802" t="s">
        <v>983</v>
      </c>
    </row>
    <row r="499" spans="1:34" ht="25.5" outlineLevel="1" x14ac:dyDescent="0.25">
      <c r="A499" s="1803" t="s">
        <v>177</v>
      </c>
      <c r="B499" s="1804" t="s">
        <v>720</v>
      </c>
      <c r="C499" s="1805" t="s">
        <v>179</v>
      </c>
      <c r="D499" s="219" t="s">
        <v>1632</v>
      </c>
      <c r="E499" s="219" t="s">
        <v>178</v>
      </c>
      <c r="F499" s="219" t="s">
        <v>178</v>
      </c>
      <c r="G499" s="1806">
        <v>55000</v>
      </c>
      <c r="H499" s="1807">
        <v>484</v>
      </c>
      <c r="I499" s="1808">
        <v>0</v>
      </c>
      <c r="J499" s="1809">
        <v>0</v>
      </c>
      <c r="K499" s="1810">
        <v>0</v>
      </c>
      <c r="L499" s="1811">
        <v>0</v>
      </c>
      <c r="M499" s="349">
        <v>0</v>
      </c>
      <c r="N499" s="1812">
        <v>2216</v>
      </c>
      <c r="O499" s="421">
        <v>6216</v>
      </c>
      <c r="P499" s="1691">
        <v>-4000</v>
      </c>
      <c r="Q499" s="1691">
        <f t="shared" si="23"/>
        <v>2216</v>
      </c>
      <c r="R499" s="267">
        <v>52300</v>
      </c>
      <c r="S499" s="262">
        <v>0</v>
      </c>
      <c r="T499" s="1813">
        <v>0</v>
      </c>
      <c r="U499" s="1814">
        <v>0</v>
      </c>
      <c r="V499" s="1815">
        <v>0</v>
      </c>
      <c r="W499" s="1808">
        <v>55000</v>
      </c>
      <c r="X499" s="1816">
        <v>484</v>
      </c>
      <c r="Y499" s="1816">
        <v>0</v>
      </c>
      <c r="Z499" s="1816">
        <f>54516-48300-4000</f>
        <v>2216</v>
      </c>
      <c r="AA499" s="1817">
        <f>48300+4000</f>
        <v>52300</v>
      </c>
      <c r="AB499" s="220" t="s">
        <v>1694</v>
      </c>
      <c r="AC499" s="218" t="s">
        <v>9</v>
      </c>
      <c r="AD499" s="1698" t="s">
        <v>191</v>
      </c>
      <c r="AE499" s="1698" t="s">
        <v>91</v>
      </c>
      <c r="AF499" s="550" t="s">
        <v>101</v>
      </c>
      <c r="AG499" s="383" t="s">
        <v>796</v>
      </c>
      <c r="AH499" s="383" t="s">
        <v>983</v>
      </c>
    </row>
    <row r="500" spans="1:34" ht="26.25" outlineLevel="1" thickBot="1" x14ac:dyDescent="0.3">
      <c r="A500" s="2384" t="s">
        <v>180</v>
      </c>
      <c r="B500" s="2718" t="s">
        <v>548</v>
      </c>
      <c r="C500" s="2719" t="s">
        <v>181</v>
      </c>
      <c r="D500" s="323" t="s">
        <v>1632</v>
      </c>
      <c r="E500" s="323" t="s">
        <v>149</v>
      </c>
      <c r="F500" s="323" t="s">
        <v>149</v>
      </c>
      <c r="G500" s="2720">
        <f>15000 + 17000</f>
        <v>32000</v>
      </c>
      <c r="H500" s="2721">
        <v>2671.6150000000002</v>
      </c>
      <c r="I500" s="2537">
        <v>0</v>
      </c>
      <c r="J500" s="2722">
        <v>0</v>
      </c>
      <c r="K500" s="2723">
        <v>0</v>
      </c>
      <c r="L500" s="434">
        <v>0</v>
      </c>
      <c r="M500" s="381">
        <v>0</v>
      </c>
      <c r="N500" s="2724">
        <v>4328</v>
      </c>
      <c r="O500" s="2725">
        <v>7328</v>
      </c>
      <c r="P500" s="2726">
        <v>-3000</v>
      </c>
      <c r="Q500" s="2726">
        <f t="shared" si="23"/>
        <v>4328</v>
      </c>
      <c r="R500" s="466">
        <v>25000.384999999998</v>
      </c>
      <c r="S500" s="552">
        <v>0</v>
      </c>
      <c r="T500" s="2533">
        <v>0</v>
      </c>
      <c r="U500" s="601">
        <v>0</v>
      </c>
      <c r="V500" s="477">
        <v>0</v>
      </c>
      <c r="W500" s="2537">
        <f>32000-17000</f>
        <v>15000</v>
      </c>
      <c r="X500" s="2727">
        <v>2671.6150000000002</v>
      </c>
      <c r="Y500" s="2727">
        <v>0</v>
      </c>
      <c r="Z500" s="2727">
        <f>7328.385-0.385-3000</f>
        <v>4328</v>
      </c>
      <c r="AA500" s="2538">
        <f>5000+0.385+17000-17000+3000</f>
        <v>8000.385000000002</v>
      </c>
      <c r="AB500" s="386" t="s">
        <v>1695</v>
      </c>
      <c r="AC500" s="2539" t="s">
        <v>9</v>
      </c>
      <c r="AD500" s="2541" t="s">
        <v>191</v>
      </c>
      <c r="AE500" s="2541" t="s">
        <v>91</v>
      </c>
      <c r="AF500" s="2728" t="s">
        <v>102</v>
      </c>
      <c r="AG500" s="2499" t="s">
        <v>203</v>
      </c>
      <c r="AH500" s="2499" t="s">
        <v>983</v>
      </c>
    </row>
    <row r="501" spans="1:34" ht="32.25" outlineLevel="1" thickBot="1" x14ac:dyDescent="0.3">
      <c r="A501" s="833" t="s">
        <v>292</v>
      </c>
      <c r="B501" s="833" t="s">
        <v>801</v>
      </c>
      <c r="C501" s="1958" t="s">
        <v>473</v>
      </c>
      <c r="D501" s="20" t="s">
        <v>1612</v>
      </c>
      <c r="E501" s="20" t="s">
        <v>57</v>
      </c>
      <c r="F501" s="20" t="s">
        <v>57</v>
      </c>
      <c r="G501" s="1330">
        <v>200000</v>
      </c>
      <c r="H501" s="2729">
        <v>1030.92</v>
      </c>
      <c r="I501" s="984">
        <v>650.375</v>
      </c>
      <c r="J501" s="1082">
        <v>0</v>
      </c>
      <c r="K501" s="2730">
        <v>0</v>
      </c>
      <c r="L501" s="874">
        <f>48.4+601.975</f>
        <v>650.375</v>
      </c>
      <c r="M501" s="868">
        <v>0</v>
      </c>
      <c r="N501" s="819">
        <v>1349.625</v>
      </c>
      <c r="O501" s="840">
        <v>1999.9999999999854</v>
      </c>
      <c r="P501" s="850">
        <v>0</v>
      </c>
      <c r="Q501" s="533">
        <f t="shared" si="23"/>
        <v>1999.9999999999854</v>
      </c>
      <c r="R501" s="540">
        <v>196969.08</v>
      </c>
      <c r="S501" s="605">
        <v>0</v>
      </c>
      <c r="T501" s="2694">
        <v>0</v>
      </c>
      <c r="U501" s="602">
        <v>0</v>
      </c>
      <c r="V501" s="155">
        <v>0</v>
      </c>
      <c r="W501" s="984">
        <v>168045</v>
      </c>
      <c r="X501" s="1281">
        <v>0</v>
      </c>
      <c r="Y501" s="1281">
        <v>0</v>
      </c>
      <c r="Z501" s="1281">
        <f>27000-25000</f>
        <v>2000</v>
      </c>
      <c r="AA501" s="755">
        <f>141045+25000</f>
        <v>166045</v>
      </c>
      <c r="AB501" s="20" t="s">
        <v>84</v>
      </c>
      <c r="AC501" s="543" t="s">
        <v>11</v>
      </c>
      <c r="AD501" s="2731" t="s">
        <v>321</v>
      </c>
      <c r="AE501" s="2732" t="s">
        <v>91</v>
      </c>
      <c r="AF501" s="543">
        <v>1</v>
      </c>
      <c r="AG501" s="158" t="s">
        <v>205</v>
      </c>
      <c r="AH501" s="158" t="s">
        <v>983</v>
      </c>
    </row>
    <row r="502" spans="1:34" ht="26.25" outlineLevel="1" thickBot="1" x14ac:dyDescent="0.3">
      <c r="A502" s="579" t="s">
        <v>325</v>
      </c>
      <c r="B502" s="579" t="s">
        <v>2095</v>
      </c>
      <c r="C502" s="1090" t="s">
        <v>815</v>
      </c>
      <c r="D502" s="311" t="s">
        <v>1614</v>
      </c>
      <c r="E502" s="311" t="s">
        <v>306</v>
      </c>
      <c r="F502" s="311" t="s">
        <v>306</v>
      </c>
      <c r="G502" s="980">
        <f xml:space="preserve"> 2500 + 1870 + 2214.4266</f>
        <v>6584.4265999999998</v>
      </c>
      <c r="H502" s="762">
        <v>462.22</v>
      </c>
      <c r="I502" s="1297">
        <v>0</v>
      </c>
      <c r="J502" s="763">
        <v>0</v>
      </c>
      <c r="K502" s="1432">
        <v>0</v>
      </c>
      <c r="L502" s="1293">
        <v>0</v>
      </c>
      <c r="M502" s="1293">
        <v>0</v>
      </c>
      <c r="N502" s="1293">
        <v>294.45332000000002</v>
      </c>
      <c r="O502" s="839">
        <v>294.45331999999962</v>
      </c>
      <c r="P502" s="555">
        <v>0</v>
      </c>
      <c r="Q502" s="630">
        <f t="shared" si="23"/>
        <v>294.45331999999962</v>
      </c>
      <c r="R502" s="495">
        <v>0</v>
      </c>
      <c r="S502" s="607">
        <v>0</v>
      </c>
      <c r="T502" s="1081">
        <v>5827.7532799999999</v>
      </c>
      <c r="U502" s="239">
        <v>0</v>
      </c>
      <c r="V502" s="154">
        <v>0</v>
      </c>
      <c r="W502" s="1297">
        <v>0</v>
      </c>
      <c r="X502" s="1298">
        <v>0</v>
      </c>
      <c r="Y502" s="1298">
        <v>0</v>
      </c>
      <c r="Z502" s="1298">
        <v>0</v>
      </c>
      <c r="AA502" s="754">
        <v>0</v>
      </c>
      <c r="AB502" s="311" t="s">
        <v>84</v>
      </c>
      <c r="AC502" s="496" t="s">
        <v>13</v>
      </c>
      <c r="AD502" s="1275" t="s">
        <v>191</v>
      </c>
      <c r="AE502" s="145" t="s">
        <v>92</v>
      </c>
      <c r="AF502" s="496">
        <v>1</v>
      </c>
      <c r="AG502" s="611" t="s">
        <v>203</v>
      </c>
      <c r="AH502" s="611" t="s">
        <v>983</v>
      </c>
    </row>
    <row r="503" spans="1:34" ht="25.5" outlineLevel="1" x14ac:dyDescent="0.25">
      <c r="A503" s="1818" t="s">
        <v>372</v>
      </c>
      <c r="B503" s="1818" t="s">
        <v>799</v>
      </c>
      <c r="C503" s="1819" t="s">
        <v>374</v>
      </c>
      <c r="D503" s="768" t="s">
        <v>1615</v>
      </c>
      <c r="E503" s="768" t="s">
        <v>373</v>
      </c>
      <c r="F503" s="768" t="s">
        <v>373</v>
      </c>
      <c r="G503" s="947">
        <f>10000-1500+364.29217-157.7126</f>
        <v>8706.5795699999999</v>
      </c>
      <c r="H503" s="1234">
        <v>7582.5241599999999</v>
      </c>
      <c r="I503" s="994">
        <v>917.47583999999995</v>
      </c>
      <c r="J503" s="1363">
        <v>206.57956999999999</v>
      </c>
      <c r="K503" s="1364">
        <v>0</v>
      </c>
      <c r="L503" s="994">
        <v>917.47583999999995</v>
      </c>
      <c r="M503" s="727">
        <v>206.57956999999999</v>
      </c>
      <c r="N503" s="970">
        <v>0</v>
      </c>
      <c r="O503" s="729">
        <v>1281.76801</v>
      </c>
      <c r="P503" s="997">
        <v>-157.71260000000001</v>
      </c>
      <c r="Q503" s="971">
        <f t="shared" si="23"/>
        <v>1124.0554099999999</v>
      </c>
      <c r="R503" s="991">
        <v>0</v>
      </c>
      <c r="S503" s="992">
        <v>0</v>
      </c>
      <c r="T503" s="989">
        <v>0</v>
      </c>
      <c r="U503" s="990">
        <v>0</v>
      </c>
      <c r="V503" s="993">
        <v>0</v>
      </c>
      <c r="W503" s="994">
        <v>0</v>
      </c>
      <c r="X503" s="995">
        <v>0</v>
      </c>
      <c r="Y503" s="995">
        <v>0</v>
      </c>
      <c r="Z503" s="995">
        <v>0</v>
      </c>
      <c r="AA503" s="1820">
        <v>0</v>
      </c>
      <c r="AB503" s="245" t="s">
        <v>1696</v>
      </c>
      <c r="AC503" s="245" t="s">
        <v>95</v>
      </c>
      <c r="AD503" s="996" t="s">
        <v>315</v>
      </c>
      <c r="AE503" s="1415" t="s">
        <v>92</v>
      </c>
      <c r="AF503" s="920">
        <v>1</v>
      </c>
      <c r="AG503" s="723" t="s">
        <v>217</v>
      </c>
      <c r="AH503" s="723" t="s">
        <v>983</v>
      </c>
    </row>
    <row r="504" spans="1:34" ht="25.5" outlineLevel="1" x14ac:dyDescent="0.25">
      <c r="A504" s="1821" t="s">
        <v>375</v>
      </c>
      <c r="B504" s="909" t="s">
        <v>939</v>
      </c>
      <c r="C504" s="1822" t="s">
        <v>376</v>
      </c>
      <c r="D504" s="910" t="s">
        <v>1615</v>
      </c>
      <c r="E504" s="910" t="s">
        <v>373</v>
      </c>
      <c r="F504" s="910" t="s">
        <v>373</v>
      </c>
      <c r="G504" s="911">
        <f>12000 - 2600 + 118 - 43.75976</f>
        <v>9474.2402399999992</v>
      </c>
      <c r="H504" s="934">
        <v>4058.4167000000002</v>
      </c>
      <c r="I504" s="919">
        <v>5415.8235400000003</v>
      </c>
      <c r="J504" s="931">
        <v>0</v>
      </c>
      <c r="K504" s="1231">
        <v>0</v>
      </c>
      <c r="L504" s="919">
        <v>5415.8235400000003</v>
      </c>
      <c r="M504" s="736">
        <v>0</v>
      </c>
      <c r="N504" s="916">
        <v>0</v>
      </c>
      <c r="O504" s="935">
        <v>5459.5833000000002</v>
      </c>
      <c r="P504" s="1823">
        <v>-43.75976</v>
      </c>
      <c r="Q504" s="716">
        <f t="shared" si="23"/>
        <v>5415.8235400000003</v>
      </c>
      <c r="R504" s="937">
        <v>0</v>
      </c>
      <c r="S504" s="938">
        <v>0</v>
      </c>
      <c r="T504" s="939">
        <v>0</v>
      </c>
      <c r="U504" s="940">
        <v>0</v>
      </c>
      <c r="V504" s="941">
        <v>0</v>
      </c>
      <c r="W504" s="919">
        <v>0</v>
      </c>
      <c r="X504" s="942">
        <v>0</v>
      </c>
      <c r="Y504" s="942">
        <v>0</v>
      </c>
      <c r="Z504" s="942">
        <v>0</v>
      </c>
      <c r="AA504" s="933">
        <v>0</v>
      </c>
      <c r="AB504" s="204" t="s">
        <v>1697</v>
      </c>
      <c r="AC504" s="204" t="s">
        <v>95</v>
      </c>
      <c r="AD504" s="944" t="s">
        <v>315</v>
      </c>
      <c r="AE504" s="945" t="s">
        <v>92</v>
      </c>
      <c r="AF504" s="767">
        <v>1</v>
      </c>
      <c r="AG504" s="718" t="s">
        <v>217</v>
      </c>
      <c r="AH504" s="718" t="s">
        <v>983</v>
      </c>
    </row>
    <row r="505" spans="1:34" ht="26.25" outlineLevel="1" thickBot="1" x14ac:dyDescent="0.3">
      <c r="A505" s="1824" t="s">
        <v>377</v>
      </c>
      <c r="B505" s="1824" t="s">
        <v>1014</v>
      </c>
      <c r="C505" s="1825" t="s">
        <v>378</v>
      </c>
      <c r="D505" s="643" t="s">
        <v>1615</v>
      </c>
      <c r="E505" s="643" t="s">
        <v>373</v>
      </c>
      <c r="F505" s="643" t="s">
        <v>373</v>
      </c>
      <c r="G505" s="1826">
        <f>40000-5750+7750</f>
        <v>42000</v>
      </c>
      <c r="H505" s="1827">
        <v>0</v>
      </c>
      <c r="I505" s="1828">
        <v>0</v>
      </c>
      <c r="J505" s="1829">
        <v>9654.0186200000007</v>
      </c>
      <c r="K505" s="1830">
        <v>3002.4730800000002</v>
      </c>
      <c r="L505" s="1831">
        <v>0</v>
      </c>
      <c r="M505" s="1829">
        <v>9654.0186200000007</v>
      </c>
      <c r="N505" s="1832">
        <v>5595.9813800000002</v>
      </c>
      <c r="O505" s="1833">
        <v>14250</v>
      </c>
      <c r="P505" s="1834">
        <v>1000</v>
      </c>
      <c r="Q505" s="1835">
        <f t="shared" si="23"/>
        <v>15250</v>
      </c>
      <c r="R505" s="1836">
        <v>21750</v>
      </c>
      <c r="S505" s="1837">
        <v>0</v>
      </c>
      <c r="T505" s="1838">
        <v>5000</v>
      </c>
      <c r="U505" s="1839">
        <v>0</v>
      </c>
      <c r="V505" s="1840">
        <v>0</v>
      </c>
      <c r="W505" s="1828">
        <v>0</v>
      </c>
      <c r="X505" s="1841">
        <v>0</v>
      </c>
      <c r="Y505" s="1841">
        <v>0</v>
      </c>
      <c r="Z505" s="1829">
        <v>0</v>
      </c>
      <c r="AA505" s="1830">
        <v>0</v>
      </c>
      <c r="AB505" s="621" t="s">
        <v>1759</v>
      </c>
      <c r="AC505" s="1842" t="s">
        <v>13</v>
      </c>
      <c r="AD505" s="1843" t="s">
        <v>561</v>
      </c>
      <c r="AE505" s="1844" t="s">
        <v>92</v>
      </c>
      <c r="AF505" s="1163">
        <v>1</v>
      </c>
      <c r="AG505" s="1845" t="s">
        <v>217</v>
      </c>
      <c r="AH505" s="1845" t="s">
        <v>983</v>
      </c>
    </row>
    <row r="506" spans="1:34" ht="25.5" outlineLevel="1" x14ac:dyDescent="0.25">
      <c r="A506" s="1434" t="s">
        <v>474</v>
      </c>
      <c r="B506" s="804" t="s">
        <v>812</v>
      </c>
      <c r="C506" s="1422" t="s">
        <v>376</v>
      </c>
      <c r="D506" s="501" t="s">
        <v>1616</v>
      </c>
      <c r="E506" s="501" t="s">
        <v>113</v>
      </c>
      <c r="F506" s="501" t="s">
        <v>113</v>
      </c>
      <c r="G506" s="1435">
        <f xml:space="preserve"> 12000-7000</f>
        <v>5000</v>
      </c>
      <c r="H506" s="1345">
        <v>179.08</v>
      </c>
      <c r="I506" s="1282">
        <v>0</v>
      </c>
      <c r="J506" s="1346">
        <v>2032.0764800000002</v>
      </c>
      <c r="K506" s="1436">
        <v>388.61872</v>
      </c>
      <c r="L506" s="800">
        <v>0</v>
      </c>
      <c r="M506" s="801">
        <f>2000+32.07648</f>
        <v>2032.0764799999999</v>
      </c>
      <c r="N506" s="699">
        <f>2820.92-32.07648</f>
        <v>2788.8435199999999</v>
      </c>
      <c r="O506" s="837">
        <v>4820.92</v>
      </c>
      <c r="P506" s="852">
        <v>0</v>
      </c>
      <c r="Q506" s="534">
        <f t="shared" si="23"/>
        <v>4820.92</v>
      </c>
      <c r="R506" s="1437">
        <v>0</v>
      </c>
      <c r="S506" s="606">
        <v>0</v>
      </c>
      <c r="T506" s="1438">
        <v>0</v>
      </c>
      <c r="U506" s="227">
        <v>0</v>
      </c>
      <c r="V506" s="233">
        <v>0</v>
      </c>
      <c r="W506" s="1282">
        <v>0</v>
      </c>
      <c r="X506" s="1439">
        <v>0</v>
      </c>
      <c r="Y506" s="1439">
        <v>0</v>
      </c>
      <c r="Z506" s="1346">
        <v>0</v>
      </c>
      <c r="AA506" s="325">
        <v>0</v>
      </c>
      <c r="AB506" s="501" t="s">
        <v>84</v>
      </c>
      <c r="AC506" s="464" t="s">
        <v>13</v>
      </c>
      <c r="AD506" s="1276" t="s">
        <v>190</v>
      </c>
      <c r="AE506" s="1440" t="s">
        <v>92</v>
      </c>
      <c r="AF506" s="1441">
        <v>1</v>
      </c>
      <c r="AG506" s="503" t="s">
        <v>1472</v>
      </c>
      <c r="AH506" s="503" t="s">
        <v>983</v>
      </c>
    </row>
    <row r="507" spans="1:34" ht="31.5" outlineLevel="1" x14ac:dyDescent="0.25">
      <c r="A507" s="929" t="s">
        <v>475</v>
      </c>
      <c r="B507" s="929" t="s">
        <v>1015</v>
      </c>
      <c r="C507" s="1230" t="s">
        <v>476</v>
      </c>
      <c r="D507" s="204" t="s">
        <v>1616</v>
      </c>
      <c r="E507" s="204" t="s">
        <v>62</v>
      </c>
      <c r="F507" s="204" t="s">
        <v>62</v>
      </c>
      <c r="G507" s="930">
        <f>5000-416.87191</f>
        <v>4583.1280900000002</v>
      </c>
      <c r="H507" s="934">
        <v>0</v>
      </c>
      <c r="I507" s="919">
        <v>0</v>
      </c>
      <c r="J507" s="931">
        <v>4583.1280900000002</v>
      </c>
      <c r="K507" s="1231">
        <v>0</v>
      </c>
      <c r="L507" s="735">
        <v>0</v>
      </c>
      <c r="M507" s="736">
        <f>2500+2083.12809</f>
        <v>4583.1280900000002</v>
      </c>
      <c r="N507" s="983">
        <v>0</v>
      </c>
      <c r="O507" s="935">
        <v>5000</v>
      </c>
      <c r="P507" s="1005">
        <v>-416.87191000000001</v>
      </c>
      <c r="Q507" s="716">
        <f t="shared" si="23"/>
        <v>4583.1280900000002</v>
      </c>
      <c r="R507" s="937">
        <v>0</v>
      </c>
      <c r="S507" s="938">
        <v>0</v>
      </c>
      <c r="T507" s="939">
        <v>0</v>
      </c>
      <c r="U507" s="940">
        <v>0</v>
      </c>
      <c r="V507" s="941">
        <v>0</v>
      </c>
      <c r="W507" s="919">
        <v>0</v>
      </c>
      <c r="X507" s="942">
        <v>0</v>
      </c>
      <c r="Y507" s="942">
        <v>0</v>
      </c>
      <c r="Z507" s="931">
        <v>0</v>
      </c>
      <c r="AA507" s="1231">
        <v>0</v>
      </c>
      <c r="AB507" s="204" t="s">
        <v>1698</v>
      </c>
      <c r="AC507" s="943" t="s">
        <v>95</v>
      </c>
      <c r="AD507" s="944" t="s">
        <v>315</v>
      </c>
      <c r="AE507" s="945" t="s">
        <v>92</v>
      </c>
      <c r="AF507" s="1232">
        <v>1</v>
      </c>
      <c r="AG507" s="718" t="s">
        <v>209</v>
      </c>
      <c r="AH507" s="718" t="s">
        <v>983</v>
      </c>
    </row>
    <row r="508" spans="1:34" ht="25.5" outlineLevel="1" x14ac:dyDescent="0.25">
      <c r="A508" s="72" t="s">
        <v>477</v>
      </c>
      <c r="B508" s="72" t="s">
        <v>1016</v>
      </c>
      <c r="C508" s="1211" t="s">
        <v>478</v>
      </c>
      <c r="D508" s="30" t="s">
        <v>1616</v>
      </c>
      <c r="E508" s="30" t="s">
        <v>62</v>
      </c>
      <c r="F508" s="30" t="s">
        <v>62</v>
      </c>
      <c r="G508" s="374">
        <f>1000-249.19437</f>
        <v>750.80563000000006</v>
      </c>
      <c r="H508" s="948">
        <v>0</v>
      </c>
      <c r="I508" s="561">
        <v>750.80562999999995</v>
      </c>
      <c r="J508" s="574">
        <v>0</v>
      </c>
      <c r="K508" s="1227">
        <v>0</v>
      </c>
      <c r="L508" s="471">
        <v>750.80562999999995</v>
      </c>
      <c r="M508" s="472">
        <v>0</v>
      </c>
      <c r="N508" s="14">
        <v>0</v>
      </c>
      <c r="O508" s="691">
        <v>750.80563000000006</v>
      </c>
      <c r="P508" s="1459">
        <v>0</v>
      </c>
      <c r="Q508" s="536">
        <f t="shared" si="23"/>
        <v>750.80563000000006</v>
      </c>
      <c r="R508" s="119">
        <v>0</v>
      </c>
      <c r="S508" s="883">
        <v>0</v>
      </c>
      <c r="T508" s="293">
        <v>0</v>
      </c>
      <c r="U508" s="241">
        <v>0</v>
      </c>
      <c r="V508" s="142">
        <v>0</v>
      </c>
      <c r="W508" s="561">
        <v>0</v>
      </c>
      <c r="X508" s="596">
        <v>0</v>
      </c>
      <c r="Y508" s="596">
        <v>0</v>
      </c>
      <c r="Z508" s="574">
        <v>0</v>
      </c>
      <c r="AA508" s="1227">
        <v>0</v>
      </c>
      <c r="AB508" s="30" t="s">
        <v>84</v>
      </c>
      <c r="AC508" s="141" t="s">
        <v>95</v>
      </c>
      <c r="AD508" s="131" t="s">
        <v>308</v>
      </c>
      <c r="AE508" s="900" t="s">
        <v>92</v>
      </c>
      <c r="AF508" s="1460">
        <v>1</v>
      </c>
      <c r="AG508" s="33" t="s">
        <v>209</v>
      </c>
      <c r="AH508" s="33" t="s">
        <v>983</v>
      </c>
    </row>
    <row r="509" spans="1:34" ht="25.5" outlineLevel="1" x14ac:dyDescent="0.25">
      <c r="A509" s="57" t="s">
        <v>479</v>
      </c>
      <c r="B509" s="57" t="s">
        <v>1017</v>
      </c>
      <c r="C509" s="1136" t="s">
        <v>480</v>
      </c>
      <c r="D509" s="27" t="s">
        <v>1616</v>
      </c>
      <c r="E509" s="27" t="s">
        <v>499</v>
      </c>
      <c r="F509" s="27" t="s">
        <v>499</v>
      </c>
      <c r="G509" s="811">
        <f>2000-1498.24786</f>
        <v>501.75214000000005</v>
      </c>
      <c r="H509" s="688">
        <v>0</v>
      </c>
      <c r="I509" s="560">
        <v>0</v>
      </c>
      <c r="J509" s="541">
        <v>501.75214</v>
      </c>
      <c r="K509" s="1196">
        <v>0</v>
      </c>
      <c r="L509" s="469">
        <v>0</v>
      </c>
      <c r="M509" s="235">
        <v>501.75214</v>
      </c>
      <c r="N509" s="8">
        <f>1000-1000</f>
        <v>0</v>
      </c>
      <c r="O509" s="712">
        <v>501.75214000000005</v>
      </c>
      <c r="P509" s="976">
        <v>0</v>
      </c>
      <c r="Q509" s="535">
        <f t="shared" si="23"/>
        <v>501.75214000000005</v>
      </c>
      <c r="R509" s="926">
        <v>0</v>
      </c>
      <c r="S509" s="927">
        <v>0</v>
      </c>
      <c r="T509" s="139">
        <v>0</v>
      </c>
      <c r="U509" s="118">
        <v>0</v>
      </c>
      <c r="V509" s="124">
        <v>0</v>
      </c>
      <c r="W509" s="560">
        <v>0</v>
      </c>
      <c r="X509" s="595">
        <v>0</v>
      </c>
      <c r="Y509" s="595">
        <v>0</v>
      </c>
      <c r="Z509" s="541">
        <v>0</v>
      </c>
      <c r="AA509" s="136">
        <v>0</v>
      </c>
      <c r="AB509" s="26" t="s">
        <v>84</v>
      </c>
      <c r="AC509" s="123" t="s">
        <v>95</v>
      </c>
      <c r="AD509" s="132" t="s">
        <v>706</v>
      </c>
      <c r="AE509" s="906" t="s">
        <v>92</v>
      </c>
      <c r="AF509" s="1169">
        <v>2</v>
      </c>
      <c r="AG509" s="28" t="s">
        <v>220</v>
      </c>
      <c r="AH509" s="28" t="s">
        <v>983</v>
      </c>
    </row>
    <row r="510" spans="1:34" ht="25.5" outlineLevel="1" x14ac:dyDescent="0.25">
      <c r="A510" s="1803" t="s">
        <v>481</v>
      </c>
      <c r="B510" s="1803" t="s">
        <v>1018</v>
      </c>
      <c r="C510" s="1805" t="s">
        <v>482</v>
      </c>
      <c r="D510" s="219" t="s">
        <v>1616</v>
      </c>
      <c r="E510" s="219" t="s">
        <v>499</v>
      </c>
      <c r="F510" s="219" t="s">
        <v>499</v>
      </c>
      <c r="G510" s="1806">
        <v>5000</v>
      </c>
      <c r="H510" s="1807">
        <v>0</v>
      </c>
      <c r="I510" s="1808">
        <v>0</v>
      </c>
      <c r="J510" s="1809">
        <v>0</v>
      </c>
      <c r="K510" s="1810">
        <v>0</v>
      </c>
      <c r="L510" s="1694">
        <v>0</v>
      </c>
      <c r="M510" s="1846">
        <v>0</v>
      </c>
      <c r="N510" s="1812">
        <v>500</v>
      </c>
      <c r="O510" s="421">
        <v>1000</v>
      </c>
      <c r="P510" s="1847">
        <v>-500</v>
      </c>
      <c r="Q510" s="1691">
        <f t="shared" si="23"/>
        <v>500</v>
      </c>
      <c r="R510" s="267">
        <v>4500</v>
      </c>
      <c r="S510" s="262">
        <v>0</v>
      </c>
      <c r="T510" s="1813">
        <v>0</v>
      </c>
      <c r="U510" s="1814">
        <v>0</v>
      </c>
      <c r="V510" s="1815">
        <v>0</v>
      </c>
      <c r="W510" s="1808">
        <v>0</v>
      </c>
      <c r="X510" s="1816">
        <v>0</v>
      </c>
      <c r="Y510" s="1816">
        <v>0</v>
      </c>
      <c r="Z510" s="1809">
        <v>0</v>
      </c>
      <c r="AA510" s="1817">
        <v>0</v>
      </c>
      <c r="AB510" s="379" t="s">
        <v>1699</v>
      </c>
      <c r="AC510" s="218" t="s">
        <v>11</v>
      </c>
      <c r="AD510" s="1698" t="s">
        <v>321</v>
      </c>
      <c r="AE510" s="1848" t="s">
        <v>91</v>
      </c>
      <c r="AF510" s="1137">
        <v>2</v>
      </c>
      <c r="AG510" s="383" t="s">
        <v>220</v>
      </c>
      <c r="AH510" s="383" t="s">
        <v>983</v>
      </c>
    </row>
    <row r="511" spans="1:34" ht="25.5" outlineLevel="1" x14ac:dyDescent="0.25">
      <c r="A511" s="57" t="s">
        <v>483</v>
      </c>
      <c r="B511" s="57" t="s">
        <v>966</v>
      </c>
      <c r="C511" s="1136" t="s">
        <v>484</v>
      </c>
      <c r="D511" s="27" t="s">
        <v>1616</v>
      </c>
      <c r="E511" s="27" t="s">
        <v>499</v>
      </c>
      <c r="F511" s="27" t="s">
        <v>499</v>
      </c>
      <c r="G511" s="811">
        <f>600-28.87698</f>
        <v>571.12302</v>
      </c>
      <c r="H511" s="688">
        <v>270.25</v>
      </c>
      <c r="I511" s="560">
        <v>300.87302</v>
      </c>
      <c r="J511" s="541">
        <v>0</v>
      </c>
      <c r="K511" s="1196">
        <v>0</v>
      </c>
      <c r="L511" s="469">
        <v>300.87302</v>
      </c>
      <c r="M511" s="235">
        <v>0</v>
      </c>
      <c r="N511" s="8">
        <v>0</v>
      </c>
      <c r="O511" s="712">
        <v>300.87302</v>
      </c>
      <c r="P511" s="976">
        <v>0</v>
      </c>
      <c r="Q511" s="535">
        <f t="shared" si="23"/>
        <v>300.87302</v>
      </c>
      <c r="R511" s="926">
        <v>0</v>
      </c>
      <c r="S511" s="927">
        <v>0</v>
      </c>
      <c r="T511" s="139">
        <v>0</v>
      </c>
      <c r="U511" s="118">
        <v>0</v>
      </c>
      <c r="V511" s="124">
        <v>0</v>
      </c>
      <c r="W511" s="560">
        <v>0</v>
      </c>
      <c r="X511" s="595">
        <v>0</v>
      </c>
      <c r="Y511" s="595">
        <v>0</v>
      </c>
      <c r="Z511" s="541">
        <v>0</v>
      </c>
      <c r="AA511" s="136">
        <v>0</v>
      </c>
      <c r="AB511" s="26" t="s">
        <v>84</v>
      </c>
      <c r="AC511" s="27" t="s">
        <v>95</v>
      </c>
      <c r="AD511" s="132" t="s">
        <v>308</v>
      </c>
      <c r="AE511" s="906" t="s">
        <v>92</v>
      </c>
      <c r="AF511" s="1169">
        <v>1</v>
      </c>
      <c r="AG511" s="28" t="s">
        <v>220</v>
      </c>
      <c r="AH511" s="28" t="s">
        <v>983</v>
      </c>
    </row>
    <row r="512" spans="1:34" ht="25.5" outlineLevel="1" x14ac:dyDescent="0.25">
      <c r="A512" s="1189" t="s">
        <v>485</v>
      </c>
      <c r="B512" s="831" t="s">
        <v>944</v>
      </c>
      <c r="C512" s="1095" t="s">
        <v>486</v>
      </c>
      <c r="D512" s="93" t="s">
        <v>1616</v>
      </c>
      <c r="E512" s="93" t="s">
        <v>328</v>
      </c>
      <c r="F512" s="93" t="s">
        <v>328</v>
      </c>
      <c r="G512" s="895">
        <f>10000 -5900</f>
        <v>4100</v>
      </c>
      <c r="H512" s="444">
        <v>516.18416000000002</v>
      </c>
      <c r="I512" s="451">
        <v>70.954999999999998</v>
      </c>
      <c r="J512" s="452">
        <v>0</v>
      </c>
      <c r="K512" s="1107">
        <v>0</v>
      </c>
      <c r="L512" s="865">
        <v>70.954999999999998</v>
      </c>
      <c r="M512" s="319">
        <v>0</v>
      </c>
      <c r="N512" s="499">
        <v>3512.8608399999998</v>
      </c>
      <c r="O512" s="838">
        <v>3583.8158399999993</v>
      </c>
      <c r="P512" s="855">
        <v>0</v>
      </c>
      <c r="Q512" s="612">
        <f t="shared" si="23"/>
        <v>3583.8158399999993</v>
      </c>
      <c r="R512" s="13">
        <v>0</v>
      </c>
      <c r="S512" s="243">
        <v>0</v>
      </c>
      <c r="T512" s="410">
        <v>0</v>
      </c>
      <c r="U512" s="238">
        <v>0</v>
      </c>
      <c r="V512" s="109">
        <v>0</v>
      </c>
      <c r="W512" s="451">
        <v>0</v>
      </c>
      <c r="X512" s="893">
        <v>0</v>
      </c>
      <c r="Y512" s="893">
        <v>0</v>
      </c>
      <c r="Z512" s="452">
        <v>0</v>
      </c>
      <c r="AA512" s="756">
        <v>0</v>
      </c>
      <c r="AB512" s="93" t="s">
        <v>84</v>
      </c>
      <c r="AC512" s="79" t="s">
        <v>13</v>
      </c>
      <c r="AD512" s="1413" t="s">
        <v>190</v>
      </c>
      <c r="AE512" s="545" t="s">
        <v>92</v>
      </c>
      <c r="AF512" s="1145">
        <v>1</v>
      </c>
      <c r="AG512" s="24" t="s">
        <v>218</v>
      </c>
      <c r="AH512" s="24" t="s">
        <v>983</v>
      </c>
    </row>
    <row r="513" spans="1:34" ht="25.5" outlineLevel="1" x14ac:dyDescent="0.25">
      <c r="A513" s="1189" t="s">
        <v>487</v>
      </c>
      <c r="B513" s="831" t="s">
        <v>1019</v>
      </c>
      <c r="C513" s="1095" t="s">
        <v>489</v>
      </c>
      <c r="D513" s="93" t="s">
        <v>1616</v>
      </c>
      <c r="E513" s="93" t="s">
        <v>488</v>
      </c>
      <c r="F513" s="93" t="s">
        <v>488</v>
      </c>
      <c r="G513" s="895">
        <v>300</v>
      </c>
      <c r="H513" s="444">
        <v>0</v>
      </c>
      <c r="I513" s="451">
        <v>0</v>
      </c>
      <c r="J513" s="452">
        <v>0</v>
      </c>
      <c r="K513" s="1107">
        <v>0</v>
      </c>
      <c r="L513" s="865">
        <v>0</v>
      </c>
      <c r="M513" s="319">
        <v>0</v>
      </c>
      <c r="N513" s="499">
        <v>0</v>
      </c>
      <c r="O513" s="838">
        <v>0</v>
      </c>
      <c r="P513" s="855">
        <v>0</v>
      </c>
      <c r="Q513" s="612">
        <f t="shared" si="23"/>
        <v>0</v>
      </c>
      <c r="R513" s="13">
        <v>300</v>
      </c>
      <c r="S513" s="243">
        <v>0</v>
      </c>
      <c r="T513" s="410">
        <v>0</v>
      </c>
      <c r="U513" s="238">
        <v>0</v>
      </c>
      <c r="V513" s="109">
        <v>0</v>
      </c>
      <c r="W513" s="451">
        <v>0</v>
      </c>
      <c r="X513" s="893">
        <v>0</v>
      </c>
      <c r="Y513" s="893">
        <v>0</v>
      </c>
      <c r="Z513" s="452">
        <v>0</v>
      </c>
      <c r="AA513" s="756">
        <v>0</v>
      </c>
      <c r="AB513" s="93" t="s">
        <v>84</v>
      </c>
      <c r="AC513" s="79" t="s">
        <v>11</v>
      </c>
      <c r="AD513" s="1413" t="s">
        <v>190</v>
      </c>
      <c r="AE513" s="545" t="s">
        <v>91</v>
      </c>
      <c r="AF513" s="1145">
        <v>1</v>
      </c>
      <c r="AG513" s="24" t="s">
        <v>209</v>
      </c>
      <c r="AH513" s="24" t="s">
        <v>983</v>
      </c>
    </row>
    <row r="514" spans="1:34" ht="25.5" outlineLevel="1" x14ac:dyDescent="0.25">
      <c r="A514" s="1189" t="s">
        <v>490</v>
      </c>
      <c r="B514" s="831" t="s">
        <v>1020</v>
      </c>
      <c r="C514" s="1095" t="s">
        <v>492</v>
      </c>
      <c r="D514" s="93" t="s">
        <v>1616</v>
      </c>
      <c r="E514" s="93" t="s">
        <v>491</v>
      </c>
      <c r="F514" s="93" t="s">
        <v>491</v>
      </c>
      <c r="G514" s="895">
        <v>1000</v>
      </c>
      <c r="H514" s="444">
        <v>0</v>
      </c>
      <c r="I514" s="451">
        <v>0</v>
      </c>
      <c r="J514" s="452">
        <v>0</v>
      </c>
      <c r="K514" s="1107">
        <v>0</v>
      </c>
      <c r="L514" s="865">
        <v>0</v>
      </c>
      <c r="M514" s="319">
        <v>0</v>
      </c>
      <c r="N514" s="499">
        <v>1000</v>
      </c>
      <c r="O514" s="838">
        <v>1000</v>
      </c>
      <c r="P514" s="855">
        <v>0</v>
      </c>
      <c r="Q514" s="612">
        <f t="shared" si="23"/>
        <v>1000</v>
      </c>
      <c r="R514" s="13">
        <v>0</v>
      </c>
      <c r="S514" s="243">
        <v>0</v>
      </c>
      <c r="T514" s="410">
        <v>0</v>
      </c>
      <c r="U514" s="238">
        <v>0</v>
      </c>
      <c r="V514" s="109">
        <v>0</v>
      </c>
      <c r="W514" s="451">
        <v>0</v>
      </c>
      <c r="X514" s="893">
        <v>0</v>
      </c>
      <c r="Y514" s="893">
        <v>0</v>
      </c>
      <c r="Z514" s="452">
        <v>0</v>
      </c>
      <c r="AA514" s="756">
        <v>0</v>
      </c>
      <c r="AB514" s="93" t="s">
        <v>84</v>
      </c>
      <c r="AC514" s="79" t="s">
        <v>13</v>
      </c>
      <c r="AD514" s="1413" t="s">
        <v>191</v>
      </c>
      <c r="AE514" s="545" t="s">
        <v>92</v>
      </c>
      <c r="AF514" s="1145">
        <v>1</v>
      </c>
      <c r="AG514" s="24" t="s">
        <v>215</v>
      </c>
      <c r="AH514" s="24" t="s">
        <v>983</v>
      </c>
    </row>
    <row r="515" spans="1:34" ht="25.5" outlineLevel="1" x14ac:dyDescent="0.25">
      <c r="A515" s="1189" t="s">
        <v>493</v>
      </c>
      <c r="B515" s="831" t="s">
        <v>670</v>
      </c>
      <c r="C515" s="1095" t="s">
        <v>494</v>
      </c>
      <c r="D515" s="93" t="s">
        <v>1616</v>
      </c>
      <c r="E515" s="93" t="s">
        <v>149</v>
      </c>
      <c r="F515" s="93" t="s">
        <v>149</v>
      </c>
      <c r="G515" s="895">
        <f>5500+1200</f>
        <v>6700</v>
      </c>
      <c r="H515" s="444">
        <v>2843.3123100000003</v>
      </c>
      <c r="I515" s="451">
        <v>0</v>
      </c>
      <c r="J515" s="452">
        <v>0</v>
      </c>
      <c r="K515" s="1107">
        <v>0</v>
      </c>
      <c r="L515" s="865">
        <v>0</v>
      </c>
      <c r="M515" s="319">
        <f>1000+1656.68769-2656.68769</f>
        <v>0</v>
      </c>
      <c r="N515" s="499">
        <f>1200+2656.68769</f>
        <v>3856.6876900000002</v>
      </c>
      <c r="O515" s="838">
        <v>3856.6876899999997</v>
      </c>
      <c r="P515" s="855">
        <v>0</v>
      </c>
      <c r="Q515" s="612">
        <f t="shared" si="23"/>
        <v>3856.6876899999997</v>
      </c>
      <c r="R515" s="13">
        <v>0</v>
      </c>
      <c r="S515" s="243">
        <v>0</v>
      </c>
      <c r="T515" s="410">
        <v>0</v>
      </c>
      <c r="U515" s="238">
        <v>0</v>
      </c>
      <c r="V515" s="109">
        <v>0</v>
      </c>
      <c r="W515" s="451">
        <v>0</v>
      </c>
      <c r="X515" s="893">
        <v>0</v>
      </c>
      <c r="Y515" s="893">
        <v>0</v>
      </c>
      <c r="Z515" s="452">
        <v>0</v>
      </c>
      <c r="AA515" s="756">
        <v>0</v>
      </c>
      <c r="AB515" s="93" t="s">
        <v>84</v>
      </c>
      <c r="AC515" s="79" t="s">
        <v>13</v>
      </c>
      <c r="AD515" s="1413" t="s">
        <v>191</v>
      </c>
      <c r="AE515" s="545" t="s">
        <v>92</v>
      </c>
      <c r="AF515" s="1145">
        <v>1</v>
      </c>
      <c r="AG515" s="24" t="s">
        <v>203</v>
      </c>
      <c r="AH515" s="24" t="s">
        <v>983</v>
      </c>
    </row>
    <row r="516" spans="1:34" ht="38.25" outlineLevel="1" x14ac:dyDescent="0.25">
      <c r="A516" s="1189" t="s">
        <v>495</v>
      </c>
      <c r="B516" s="1849" t="s">
        <v>1021</v>
      </c>
      <c r="C516" s="1850" t="s">
        <v>494</v>
      </c>
      <c r="D516" s="1228" t="s">
        <v>1616</v>
      </c>
      <c r="E516" s="1228" t="s">
        <v>496</v>
      </c>
      <c r="F516" s="1228" t="s">
        <v>496</v>
      </c>
      <c r="G516" s="1851">
        <v>3000</v>
      </c>
      <c r="H516" s="1852">
        <v>0</v>
      </c>
      <c r="I516" s="1853">
        <v>118.58</v>
      </c>
      <c r="J516" s="1854">
        <v>0</v>
      </c>
      <c r="K516" s="1855">
        <v>0</v>
      </c>
      <c r="L516" s="1856">
        <v>118.58</v>
      </c>
      <c r="M516" s="1857">
        <v>0</v>
      </c>
      <c r="N516" s="1858">
        <v>0</v>
      </c>
      <c r="O516" s="1859">
        <v>3000</v>
      </c>
      <c r="P516" s="1860">
        <v>-2881.42</v>
      </c>
      <c r="Q516" s="1861">
        <f t="shared" si="23"/>
        <v>118.57999999999993</v>
      </c>
      <c r="R516" s="1862">
        <v>2881.42</v>
      </c>
      <c r="S516" s="1863">
        <v>0</v>
      </c>
      <c r="T516" s="1864">
        <v>0</v>
      </c>
      <c r="U516" s="1865">
        <v>0</v>
      </c>
      <c r="V516" s="1866">
        <v>0</v>
      </c>
      <c r="W516" s="1853">
        <v>0</v>
      </c>
      <c r="X516" s="1867">
        <v>0</v>
      </c>
      <c r="Y516" s="1867">
        <v>0</v>
      </c>
      <c r="Z516" s="1854">
        <v>0</v>
      </c>
      <c r="AA516" s="1868">
        <v>0</v>
      </c>
      <c r="AB516" s="220" t="s">
        <v>1700</v>
      </c>
      <c r="AC516" s="1229" t="s">
        <v>13</v>
      </c>
      <c r="AD516" s="1869" t="s">
        <v>627</v>
      </c>
      <c r="AE516" s="1870" t="s">
        <v>92</v>
      </c>
      <c r="AF516" s="1542">
        <v>1</v>
      </c>
      <c r="AG516" s="1871" t="s">
        <v>210</v>
      </c>
      <c r="AH516" s="1871" t="s">
        <v>983</v>
      </c>
    </row>
    <row r="517" spans="1:34" ht="32.25" outlineLevel="1" thickBot="1" x14ac:dyDescent="0.3">
      <c r="A517" s="1872" t="s">
        <v>497</v>
      </c>
      <c r="B517" s="1873" t="s">
        <v>1022</v>
      </c>
      <c r="C517" s="1874" t="s">
        <v>498</v>
      </c>
      <c r="D517" s="667" t="s">
        <v>1616</v>
      </c>
      <c r="E517" s="667" t="s">
        <v>57</v>
      </c>
      <c r="F517" s="667" t="s">
        <v>57</v>
      </c>
      <c r="G517" s="1875">
        <f>18000-1400-1000-1000-894.5117+0.00007</f>
        <v>13705.488370000001</v>
      </c>
      <c r="H517" s="1876">
        <v>0</v>
      </c>
      <c r="I517" s="1877">
        <v>0</v>
      </c>
      <c r="J517" s="1878">
        <v>13559.804370000002</v>
      </c>
      <c r="K517" s="1879">
        <v>145.684</v>
      </c>
      <c r="L517" s="1880">
        <v>0</v>
      </c>
      <c r="M517" s="1878">
        <f>13559.8043+0.00007</f>
        <v>13559.80437</v>
      </c>
      <c r="N517" s="2081">
        <f>145.684</f>
        <v>145.684</v>
      </c>
      <c r="O517" s="1881">
        <v>14600</v>
      </c>
      <c r="P517" s="1882">
        <f>-894.5117+0.00007</f>
        <v>-894.51162999999997</v>
      </c>
      <c r="Q517" s="1883">
        <f t="shared" si="23"/>
        <v>13705.488369999999</v>
      </c>
      <c r="R517" s="1884">
        <v>0</v>
      </c>
      <c r="S517" s="1885">
        <v>0</v>
      </c>
      <c r="T517" s="1886">
        <v>0</v>
      </c>
      <c r="U517" s="1887">
        <v>0</v>
      </c>
      <c r="V517" s="1888">
        <v>0</v>
      </c>
      <c r="W517" s="1877">
        <v>0</v>
      </c>
      <c r="X517" s="1889">
        <v>0</v>
      </c>
      <c r="Y517" s="1889">
        <v>0</v>
      </c>
      <c r="Z517" s="1878">
        <v>0</v>
      </c>
      <c r="AA517" s="1890">
        <v>0</v>
      </c>
      <c r="AB517" s="667" t="s">
        <v>1701</v>
      </c>
      <c r="AC517" s="667" t="s">
        <v>186</v>
      </c>
      <c r="AD517" s="1891" t="s">
        <v>321</v>
      </c>
      <c r="AE517" s="648" t="s">
        <v>92</v>
      </c>
      <c r="AF517" s="1416">
        <v>1</v>
      </c>
      <c r="AG517" s="1892" t="s">
        <v>205</v>
      </c>
      <c r="AH517" s="1892" t="s">
        <v>983</v>
      </c>
    </row>
    <row r="518" spans="1:34" ht="31.5" outlineLevel="1" x14ac:dyDescent="0.25">
      <c r="A518" s="1434" t="s">
        <v>614</v>
      </c>
      <c r="B518" s="804" t="s">
        <v>1024</v>
      </c>
      <c r="C518" s="1327" t="s">
        <v>615</v>
      </c>
      <c r="D518" s="501" t="s">
        <v>1498</v>
      </c>
      <c r="E518" s="501" t="s">
        <v>616</v>
      </c>
      <c r="F518" s="501" t="s">
        <v>616</v>
      </c>
      <c r="G518" s="1435">
        <f>5800-1900+2000</f>
        <v>5900</v>
      </c>
      <c r="H518" s="1345">
        <v>0</v>
      </c>
      <c r="I518" s="1282">
        <v>0</v>
      </c>
      <c r="J518" s="1346">
        <v>0</v>
      </c>
      <c r="K518" s="325">
        <v>0</v>
      </c>
      <c r="L518" s="800">
        <v>0</v>
      </c>
      <c r="M518" s="801">
        <f>3900-3900</f>
        <v>0</v>
      </c>
      <c r="N518" s="699">
        <f>2000+3900</f>
        <v>5900</v>
      </c>
      <c r="O518" s="837">
        <v>5900</v>
      </c>
      <c r="P518" s="852">
        <v>0</v>
      </c>
      <c r="Q518" s="534">
        <f t="shared" si="23"/>
        <v>5900</v>
      </c>
      <c r="R518" s="1437">
        <v>0</v>
      </c>
      <c r="S518" s="1437">
        <v>0</v>
      </c>
      <c r="T518" s="1438">
        <v>0</v>
      </c>
      <c r="U518" s="227">
        <v>0</v>
      </c>
      <c r="V518" s="233">
        <v>0</v>
      </c>
      <c r="W518" s="1282">
        <v>0</v>
      </c>
      <c r="X518" s="1439">
        <v>0</v>
      </c>
      <c r="Y518" s="1439">
        <v>0</v>
      </c>
      <c r="Z518" s="1346">
        <v>0</v>
      </c>
      <c r="AA518" s="325">
        <v>0</v>
      </c>
      <c r="AB518" s="501" t="s">
        <v>84</v>
      </c>
      <c r="AC518" s="464" t="s">
        <v>13</v>
      </c>
      <c r="AD518" s="1276" t="s">
        <v>190</v>
      </c>
      <c r="AE518" s="1440" t="s">
        <v>92</v>
      </c>
      <c r="AF518" s="1441">
        <v>1</v>
      </c>
      <c r="AG518" s="503" t="s">
        <v>210</v>
      </c>
      <c r="AH518" s="503" t="s">
        <v>983</v>
      </c>
    </row>
    <row r="519" spans="1:34" ht="25.5" outlineLevel="1" x14ac:dyDescent="0.25">
      <c r="A519" s="1821" t="s">
        <v>617</v>
      </c>
      <c r="B519" s="929" t="s">
        <v>718</v>
      </c>
      <c r="C519" s="1375" t="s">
        <v>618</v>
      </c>
      <c r="D519" s="204" t="s">
        <v>1498</v>
      </c>
      <c r="E519" s="204" t="s">
        <v>619</v>
      </c>
      <c r="F519" s="204" t="s">
        <v>619</v>
      </c>
      <c r="G519" s="930">
        <f>425 + 95 -14.43958</f>
        <v>505.56042000000002</v>
      </c>
      <c r="H519" s="934">
        <v>383.29450000000003</v>
      </c>
      <c r="I519" s="919">
        <v>122.26591999999999</v>
      </c>
      <c r="J519" s="931">
        <v>0</v>
      </c>
      <c r="K519" s="932">
        <v>0</v>
      </c>
      <c r="L519" s="735">
        <f>136.7055-14.43958</f>
        <v>122.26591999999999</v>
      </c>
      <c r="M519" s="736">
        <v>0</v>
      </c>
      <c r="N519" s="983">
        <v>0</v>
      </c>
      <c r="O519" s="935">
        <v>136.70549999999997</v>
      </c>
      <c r="P519" s="1005">
        <v>-14.439579999999999</v>
      </c>
      <c r="Q519" s="716">
        <f t="shared" si="23"/>
        <v>122.26591999999997</v>
      </c>
      <c r="R519" s="937">
        <v>0</v>
      </c>
      <c r="S519" s="937">
        <v>0</v>
      </c>
      <c r="T519" s="939">
        <v>0</v>
      </c>
      <c r="U519" s="940">
        <v>0</v>
      </c>
      <c r="V519" s="941">
        <v>0</v>
      </c>
      <c r="W519" s="919">
        <v>0</v>
      </c>
      <c r="X519" s="942">
        <v>0</v>
      </c>
      <c r="Y519" s="942">
        <v>0</v>
      </c>
      <c r="Z519" s="931">
        <v>0</v>
      </c>
      <c r="AA519" s="932">
        <v>0</v>
      </c>
      <c r="AB519" s="204" t="s">
        <v>371</v>
      </c>
      <c r="AC519" s="204" t="s">
        <v>95</v>
      </c>
      <c r="AD519" s="944" t="s">
        <v>706</v>
      </c>
      <c r="AE519" s="945" t="s">
        <v>92</v>
      </c>
      <c r="AF519" s="1232">
        <v>1</v>
      </c>
      <c r="AG519" s="718" t="s">
        <v>204</v>
      </c>
      <c r="AH519" s="718" t="s">
        <v>983</v>
      </c>
    </row>
    <row r="520" spans="1:34" ht="25.5" outlineLevel="1" x14ac:dyDescent="0.25">
      <c r="A520" s="1190" t="s">
        <v>620</v>
      </c>
      <c r="B520" s="802" t="s">
        <v>1025</v>
      </c>
      <c r="C520" s="1092" t="s">
        <v>486</v>
      </c>
      <c r="D520" s="95" t="s">
        <v>1498</v>
      </c>
      <c r="E520" s="95" t="s">
        <v>621</v>
      </c>
      <c r="F520" s="95" t="s">
        <v>621</v>
      </c>
      <c r="G520" s="924">
        <v>1500</v>
      </c>
      <c r="H520" s="461">
        <v>0</v>
      </c>
      <c r="I520" s="411">
        <v>0</v>
      </c>
      <c r="J520" s="240">
        <v>0</v>
      </c>
      <c r="K520" s="135">
        <v>0</v>
      </c>
      <c r="L520" s="698">
        <v>0</v>
      </c>
      <c r="M520" s="470">
        <v>0</v>
      </c>
      <c r="N520" s="512">
        <v>1500</v>
      </c>
      <c r="O520" s="841">
        <v>1500</v>
      </c>
      <c r="P520" s="858">
        <v>0</v>
      </c>
      <c r="Q520" s="613">
        <f t="shared" si="23"/>
        <v>1500</v>
      </c>
      <c r="R520" s="11">
        <v>0</v>
      </c>
      <c r="S520" s="11">
        <v>0</v>
      </c>
      <c r="T520" s="408">
        <v>0</v>
      </c>
      <c r="U520" s="100">
        <v>0</v>
      </c>
      <c r="V520" s="113">
        <v>0</v>
      </c>
      <c r="W520" s="411">
        <v>0</v>
      </c>
      <c r="X520" s="752">
        <v>0</v>
      </c>
      <c r="Y520" s="752">
        <v>0</v>
      </c>
      <c r="Z520" s="240">
        <v>0</v>
      </c>
      <c r="AA520" s="135">
        <v>0</v>
      </c>
      <c r="AB520" s="95" t="s">
        <v>84</v>
      </c>
      <c r="AC520" s="111" t="s">
        <v>13</v>
      </c>
      <c r="AD520" s="1277" t="s">
        <v>191</v>
      </c>
      <c r="AE520" s="925" t="s">
        <v>92</v>
      </c>
      <c r="AF520" s="523">
        <v>1</v>
      </c>
      <c r="AG520" s="514" t="s">
        <v>209</v>
      </c>
      <c r="AH520" s="514" t="s">
        <v>983</v>
      </c>
    </row>
    <row r="521" spans="1:34" ht="25.5" outlineLevel="1" x14ac:dyDescent="0.25">
      <c r="A521" s="1893" t="s">
        <v>622</v>
      </c>
      <c r="B521" s="1894" t="s">
        <v>1026</v>
      </c>
      <c r="C521" s="1895" t="s">
        <v>739</v>
      </c>
      <c r="D521" s="1228" t="s">
        <v>1498</v>
      </c>
      <c r="E521" s="1228" t="s">
        <v>500</v>
      </c>
      <c r="F521" s="1228" t="s">
        <v>501</v>
      </c>
      <c r="G521" s="1851">
        <f xml:space="preserve"> 4000+1638</f>
        <v>5638</v>
      </c>
      <c r="H521" s="1852">
        <v>0</v>
      </c>
      <c r="I521" s="1853">
        <v>0</v>
      </c>
      <c r="J521" s="1854">
        <v>0</v>
      </c>
      <c r="K521" s="1868">
        <v>0</v>
      </c>
      <c r="L521" s="1856">
        <v>0</v>
      </c>
      <c r="M521" s="1857">
        <v>0</v>
      </c>
      <c r="N521" s="1858">
        <v>2138</v>
      </c>
      <c r="O521" s="1859">
        <v>3638</v>
      </c>
      <c r="P521" s="1860">
        <v>-1500</v>
      </c>
      <c r="Q521" s="1861">
        <f t="shared" si="23"/>
        <v>2138</v>
      </c>
      <c r="R521" s="1862">
        <v>1500</v>
      </c>
      <c r="S521" s="1862">
        <v>0</v>
      </c>
      <c r="T521" s="1864">
        <v>2000</v>
      </c>
      <c r="U521" s="1865">
        <v>0</v>
      </c>
      <c r="V521" s="1866">
        <v>0</v>
      </c>
      <c r="W521" s="1853">
        <v>0</v>
      </c>
      <c r="X521" s="1867">
        <v>0</v>
      </c>
      <c r="Y521" s="1867">
        <v>0</v>
      </c>
      <c r="Z521" s="1854">
        <v>0</v>
      </c>
      <c r="AA521" s="1868">
        <v>0</v>
      </c>
      <c r="AB521" s="220" t="s">
        <v>1702</v>
      </c>
      <c r="AC521" s="1229" t="s">
        <v>13</v>
      </c>
      <c r="AD521" s="1869" t="s">
        <v>1067</v>
      </c>
      <c r="AE521" s="1870" t="s">
        <v>92</v>
      </c>
      <c r="AF521" s="1542">
        <v>1</v>
      </c>
      <c r="AG521" s="1871" t="s">
        <v>217</v>
      </c>
      <c r="AH521" s="1871" t="s">
        <v>983</v>
      </c>
    </row>
    <row r="522" spans="1:34" ht="26.25" outlineLevel="1" thickBot="1" x14ac:dyDescent="0.3">
      <c r="A522" s="579" t="s">
        <v>623</v>
      </c>
      <c r="B522" s="579" t="s">
        <v>1027</v>
      </c>
      <c r="C522" s="1154" t="s">
        <v>624</v>
      </c>
      <c r="D522" s="98" t="s">
        <v>1498</v>
      </c>
      <c r="E522" s="311" t="s">
        <v>625</v>
      </c>
      <c r="F522" s="311" t="s">
        <v>625</v>
      </c>
      <c r="G522" s="980">
        <v>17250</v>
      </c>
      <c r="H522" s="762">
        <v>0</v>
      </c>
      <c r="I522" s="1297">
        <v>0</v>
      </c>
      <c r="J522" s="763">
        <v>0</v>
      </c>
      <c r="K522" s="753">
        <v>0</v>
      </c>
      <c r="L522" s="1293">
        <v>0</v>
      </c>
      <c r="M522" s="963">
        <v>0</v>
      </c>
      <c r="N522" s="1293">
        <v>0</v>
      </c>
      <c r="O522" s="839">
        <v>0</v>
      </c>
      <c r="P522" s="1172">
        <v>0</v>
      </c>
      <c r="Q522" s="630">
        <f t="shared" si="23"/>
        <v>0</v>
      </c>
      <c r="R522" s="495">
        <v>15250</v>
      </c>
      <c r="S522" s="495">
        <v>0</v>
      </c>
      <c r="T522" s="1081">
        <v>2000</v>
      </c>
      <c r="U522" s="239">
        <v>0</v>
      </c>
      <c r="V522" s="154">
        <v>0</v>
      </c>
      <c r="W522" s="1297">
        <v>0</v>
      </c>
      <c r="X522" s="1298">
        <v>0</v>
      </c>
      <c r="Y522" s="1298">
        <v>0</v>
      </c>
      <c r="Z522" s="763">
        <v>0</v>
      </c>
      <c r="AA522" s="753">
        <v>0</v>
      </c>
      <c r="AB522" s="98" t="s">
        <v>1677</v>
      </c>
      <c r="AC522" s="496" t="s">
        <v>9</v>
      </c>
      <c r="AD522" s="1275" t="s">
        <v>191</v>
      </c>
      <c r="AE522" s="145" t="s">
        <v>91</v>
      </c>
      <c r="AF522" s="337">
        <v>3</v>
      </c>
      <c r="AG522" s="611" t="s">
        <v>211</v>
      </c>
      <c r="AH522" s="611" t="s">
        <v>983</v>
      </c>
    </row>
    <row r="523" spans="1:34" s="657" customFormat="1" ht="25.5" outlineLevel="1" x14ac:dyDescent="0.25">
      <c r="A523" s="72" t="s">
        <v>656</v>
      </c>
      <c r="B523" s="72" t="s">
        <v>798</v>
      </c>
      <c r="C523" s="1366" t="s">
        <v>657</v>
      </c>
      <c r="D523" s="30" t="s">
        <v>1617</v>
      </c>
      <c r="E523" s="30" t="s">
        <v>64</v>
      </c>
      <c r="F523" s="30" t="s">
        <v>64</v>
      </c>
      <c r="G523" s="374">
        <f>2300-200-200-50.75016</f>
        <v>1849.2498399999999</v>
      </c>
      <c r="H523" s="948">
        <v>1833.2498399999999</v>
      </c>
      <c r="I523" s="896">
        <v>16</v>
      </c>
      <c r="J523" s="897">
        <v>0</v>
      </c>
      <c r="K523" s="378">
        <v>0</v>
      </c>
      <c r="L523" s="626">
        <v>16</v>
      </c>
      <c r="M523" s="615">
        <v>0</v>
      </c>
      <c r="N523" s="14">
        <v>0</v>
      </c>
      <c r="O523" s="1367">
        <v>16.00000000000005</v>
      </c>
      <c r="P523" s="1368">
        <v>0</v>
      </c>
      <c r="Q523" s="536">
        <f t="shared" si="23"/>
        <v>16.00000000000005</v>
      </c>
      <c r="R523" s="1369">
        <v>0</v>
      </c>
      <c r="S523" s="119">
        <v>0</v>
      </c>
      <c r="T523" s="1204">
        <v>0</v>
      </c>
      <c r="U523" s="627">
        <v>0</v>
      </c>
      <c r="V523" s="142">
        <v>0</v>
      </c>
      <c r="W523" s="896">
        <v>0</v>
      </c>
      <c r="X523" s="898">
        <v>0</v>
      </c>
      <c r="Y523" s="898">
        <v>0</v>
      </c>
      <c r="Z523" s="897">
        <v>0</v>
      </c>
      <c r="AA523" s="462">
        <v>0</v>
      </c>
      <c r="AB523" s="678" t="s">
        <v>84</v>
      </c>
      <c r="AC523" s="30" t="s">
        <v>95</v>
      </c>
      <c r="AD523" s="131" t="s">
        <v>520</v>
      </c>
      <c r="AE523" s="900" t="s">
        <v>92</v>
      </c>
      <c r="AF523" s="1460">
        <v>1</v>
      </c>
      <c r="AG523" s="33" t="s">
        <v>215</v>
      </c>
      <c r="AH523" s="33" t="s">
        <v>983</v>
      </c>
    </row>
    <row r="524" spans="1:34" ht="25.5" outlineLevel="1" x14ac:dyDescent="0.25">
      <c r="A524" s="1189" t="s">
        <v>659</v>
      </c>
      <c r="B524" s="831" t="s">
        <v>1028</v>
      </c>
      <c r="C524" s="1096" t="s">
        <v>618</v>
      </c>
      <c r="D524" s="93" t="s">
        <v>1617</v>
      </c>
      <c r="E524" s="93" t="s">
        <v>660</v>
      </c>
      <c r="F524" s="93" t="s">
        <v>660</v>
      </c>
      <c r="G524" s="895">
        <v>370</v>
      </c>
      <c r="H524" s="444">
        <v>0</v>
      </c>
      <c r="I524" s="411">
        <v>0</v>
      </c>
      <c r="J524" s="240">
        <v>0</v>
      </c>
      <c r="K524" s="756">
        <v>0</v>
      </c>
      <c r="L524" s="872">
        <v>0</v>
      </c>
      <c r="M524" s="873">
        <v>0</v>
      </c>
      <c r="N524" s="499">
        <v>370</v>
      </c>
      <c r="O524" s="1170">
        <v>370</v>
      </c>
      <c r="P524" s="1171">
        <v>0</v>
      </c>
      <c r="Q524" s="612">
        <f t="shared" si="23"/>
        <v>370</v>
      </c>
      <c r="R524" s="1289">
        <v>0</v>
      </c>
      <c r="S524" s="13">
        <v>0</v>
      </c>
      <c r="T524" s="1010">
        <v>0</v>
      </c>
      <c r="U524" s="314">
        <v>0</v>
      </c>
      <c r="V524" s="109">
        <v>0</v>
      </c>
      <c r="W524" s="1012">
        <v>0</v>
      </c>
      <c r="X524" s="1410">
        <v>0</v>
      </c>
      <c r="Y524" s="1410">
        <v>0</v>
      </c>
      <c r="Z524" s="1417">
        <v>0</v>
      </c>
      <c r="AA524" s="229">
        <v>0</v>
      </c>
      <c r="AB524" s="95" t="s">
        <v>84</v>
      </c>
      <c r="AC524" s="111" t="s">
        <v>11</v>
      </c>
      <c r="AD524" s="1277" t="s">
        <v>191</v>
      </c>
      <c r="AE524" s="925" t="s">
        <v>91</v>
      </c>
      <c r="AF524" s="523">
        <v>1</v>
      </c>
      <c r="AG524" s="514" t="s">
        <v>204</v>
      </c>
      <c r="AH524" s="514" t="s">
        <v>983</v>
      </c>
    </row>
    <row r="525" spans="1:34" ht="25.5" outlineLevel="1" x14ac:dyDescent="0.25">
      <c r="A525" s="72" t="s">
        <v>661</v>
      </c>
      <c r="B525" s="72" t="s">
        <v>1029</v>
      </c>
      <c r="C525" s="1224" t="s">
        <v>662</v>
      </c>
      <c r="D525" s="30" t="s">
        <v>1617</v>
      </c>
      <c r="E525" s="30" t="s">
        <v>327</v>
      </c>
      <c r="F525" s="30" t="s">
        <v>327</v>
      </c>
      <c r="G525" s="374">
        <f>1300-256.95</f>
        <v>1043.05</v>
      </c>
      <c r="H525" s="948">
        <v>0</v>
      </c>
      <c r="I525" s="560">
        <v>1043.05</v>
      </c>
      <c r="J525" s="541">
        <v>0</v>
      </c>
      <c r="K525" s="378">
        <v>0</v>
      </c>
      <c r="L525" s="497">
        <v>1043.05</v>
      </c>
      <c r="M525" s="1168">
        <v>0</v>
      </c>
      <c r="N525" s="14">
        <v>0</v>
      </c>
      <c r="O525" s="1367">
        <v>1043.05</v>
      </c>
      <c r="P525" s="1368">
        <v>0</v>
      </c>
      <c r="Q525" s="536">
        <f t="shared" si="23"/>
        <v>1043.05</v>
      </c>
      <c r="R525" s="1369">
        <v>0</v>
      </c>
      <c r="S525" s="119">
        <v>0</v>
      </c>
      <c r="T525" s="1018">
        <v>0</v>
      </c>
      <c r="U525" s="1019">
        <v>0</v>
      </c>
      <c r="V525" s="142">
        <v>0</v>
      </c>
      <c r="W525" s="902">
        <v>0</v>
      </c>
      <c r="X525" s="905">
        <v>0</v>
      </c>
      <c r="Y525" s="905">
        <v>0</v>
      </c>
      <c r="Z525" s="903">
        <v>0</v>
      </c>
      <c r="AA525" s="462">
        <v>0</v>
      </c>
      <c r="AB525" s="30" t="s">
        <v>84</v>
      </c>
      <c r="AC525" s="27" t="s">
        <v>95</v>
      </c>
      <c r="AD525" s="132" t="s">
        <v>520</v>
      </c>
      <c r="AE525" s="906" t="s">
        <v>92</v>
      </c>
      <c r="AF525" s="1169">
        <v>1</v>
      </c>
      <c r="AG525" s="28" t="s">
        <v>796</v>
      </c>
      <c r="AH525" s="28" t="s">
        <v>983</v>
      </c>
    </row>
    <row r="526" spans="1:34" ht="25.5" outlineLevel="1" x14ac:dyDescent="0.25">
      <c r="A526" s="831" t="s">
        <v>663</v>
      </c>
      <c r="B526" s="831" t="s">
        <v>953</v>
      </c>
      <c r="C526" s="1331" t="s">
        <v>664</v>
      </c>
      <c r="D526" s="93" t="s">
        <v>1617</v>
      </c>
      <c r="E526" s="93" t="s">
        <v>625</v>
      </c>
      <c r="F526" s="93" t="s">
        <v>625</v>
      </c>
      <c r="G526" s="895">
        <v>6325</v>
      </c>
      <c r="H526" s="444">
        <v>453.99200000000002</v>
      </c>
      <c r="I526" s="411">
        <v>0</v>
      </c>
      <c r="J526" s="240">
        <v>2055.2280000000001</v>
      </c>
      <c r="K526" s="756">
        <v>2728.2588799999999</v>
      </c>
      <c r="L526" s="803">
        <v>0</v>
      </c>
      <c r="M526" s="516">
        <f>3000-944.772</f>
        <v>2055.2280000000001</v>
      </c>
      <c r="N526" s="512">
        <f>2871.008+944.772</f>
        <v>3815.7799999999997</v>
      </c>
      <c r="O526" s="838">
        <v>5871.0079999999998</v>
      </c>
      <c r="P526" s="855">
        <v>0</v>
      </c>
      <c r="Q526" s="612">
        <f t="shared" si="23"/>
        <v>5871.0079999999998</v>
      </c>
      <c r="R526" s="13">
        <v>0</v>
      </c>
      <c r="S526" s="13">
        <v>0</v>
      </c>
      <c r="T526" s="408">
        <v>0</v>
      </c>
      <c r="U526" s="100">
        <v>0</v>
      </c>
      <c r="V526" s="113">
        <v>0</v>
      </c>
      <c r="W526" s="411">
        <v>0</v>
      </c>
      <c r="X526" s="752">
        <v>0</v>
      </c>
      <c r="Y526" s="752">
        <v>0</v>
      </c>
      <c r="Z526" s="240">
        <v>0</v>
      </c>
      <c r="AA526" s="327">
        <v>0</v>
      </c>
      <c r="AB526" s="95" t="s">
        <v>84</v>
      </c>
      <c r="AC526" s="111" t="s">
        <v>13</v>
      </c>
      <c r="AD526" s="1277" t="s">
        <v>321</v>
      </c>
      <c r="AE526" s="925" t="s">
        <v>92</v>
      </c>
      <c r="AF526" s="523">
        <v>1</v>
      </c>
      <c r="AG526" s="514" t="s">
        <v>211</v>
      </c>
      <c r="AH526" s="514" t="s">
        <v>983</v>
      </c>
    </row>
    <row r="527" spans="1:34" ht="31.5" outlineLevel="1" x14ac:dyDescent="0.25">
      <c r="A527" s="831" t="s">
        <v>665</v>
      </c>
      <c r="B527" s="831" t="s">
        <v>1030</v>
      </c>
      <c r="C527" s="1331" t="s">
        <v>1435</v>
      </c>
      <c r="D527" s="93" t="s">
        <v>1617</v>
      </c>
      <c r="E527" s="93" t="s">
        <v>63</v>
      </c>
      <c r="F527" s="93" t="s">
        <v>63</v>
      </c>
      <c r="G527" s="895">
        <f>2000-1000</f>
        <v>1000</v>
      </c>
      <c r="H527" s="444">
        <v>0</v>
      </c>
      <c r="I527" s="411">
        <v>0</v>
      </c>
      <c r="J527" s="240">
        <v>0</v>
      </c>
      <c r="K527" s="950">
        <v>0</v>
      </c>
      <c r="L527" s="872">
        <v>0</v>
      </c>
      <c r="M527" s="873">
        <v>0</v>
      </c>
      <c r="N527" s="499">
        <v>1000</v>
      </c>
      <c r="O527" s="838">
        <v>1000</v>
      </c>
      <c r="P527" s="855">
        <v>0</v>
      </c>
      <c r="Q527" s="612">
        <f t="shared" si="23"/>
        <v>1000</v>
      </c>
      <c r="R527" s="13">
        <v>0</v>
      </c>
      <c r="S527" s="13">
        <v>0</v>
      </c>
      <c r="T527" s="1010">
        <v>0</v>
      </c>
      <c r="U527" s="314">
        <v>0</v>
      </c>
      <c r="V527" s="109">
        <v>0</v>
      </c>
      <c r="W527" s="1012">
        <v>0</v>
      </c>
      <c r="X527" s="1410">
        <v>0</v>
      </c>
      <c r="Y527" s="1410">
        <v>0</v>
      </c>
      <c r="Z527" s="1417">
        <v>0</v>
      </c>
      <c r="AA527" s="229">
        <v>0</v>
      </c>
      <c r="AB527" s="95" t="s">
        <v>84</v>
      </c>
      <c r="AC527" s="111" t="s">
        <v>13</v>
      </c>
      <c r="AD527" s="1277" t="s">
        <v>321</v>
      </c>
      <c r="AE527" s="925" t="s">
        <v>91</v>
      </c>
      <c r="AF527" s="523">
        <v>1</v>
      </c>
      <c r="AG527" s="514" t="s">
        <v>218</v>
      </c>
      <c r="AH527" s="514" t="s">
        <v>983</v>
      </c>
    </row>
    <row r="528" spans="1:34" ht="25.5" outlineLevel="1" x14ac:dyDescent="0.25">
      <c r="A528" s="72" t="s">
        <v>666</v>
      </c>
      <c r="B528" s="72" t="s">
        <v>965</v>
      </c>
      <c r="C528" s="1366" t="s">
        <v>667</v>
      </c>
      <c r="D528" s="30" t="s">
        <v>1617</v>
      </c>
      <c r="E528" s="30" t="s">
        <v>59</v>
      </c>
      <c r="F528" s="30" t="s">
        <v>59</v>
      </c>
      <c r="G528" s="374">
        <f xml:space="preserve"> 3500 + 1000 - 1462.64032</f>
        <v>3037.35968</v>
      </c>
      <c r="H528" s="948">
        <v>1146.0976599999999</v>
      </c>
      <c r="I528" s="561">
        <v>1891.2620199999999</v>
      </c>
      <c r="J528" s="574">
        <v>0</v>
      </c>
      <c r="K528" s="1227">
        <v>0</v>
      </c>
      <c r="L528" s="497">
        <f>0+1891.26202</f>
        <v>1891.2620199999999</v>
      </c>
      <c r="M528" s="1168">
        <v>0</v>
      </c>
      <c r="N528" s="14">
        <v>0</v>
      </c>
      <c r="O528" s="691">
        <v>1891.2620200000001</v>
      </c>
      <c r="P528" s="1459">
        <v>0</v>
      </c>
      <c r="Q528" s="536">
        <f t="shared" si="23"/>
        <v>1891.2620200000001</v>
      </c>
      <c r="R528" s="119">
        <v>0</v>
      </c>
      <c r="S528" s="119">
        <v>0</v>
      </c>
      <c r="T528" s="1018">
        <v>0</v>
      </c>
      <c r="U528" s="1019">
        <v>0</v>
      </c>
      <c r="V528" s="142">
        <v>0</v>
      </c>
      <c r="W528" s="902">
        <v>0</v>
      </c>
      <c r="X528" s="905">
        <v>0</v>
      </c>
      <c r="Y528" s="905">
        <v>0</v>
      </c>
      <c r="Z528" s="903">
        <v>0</v>
      </c>
      <c r="AA528" s="462">
        <v>0</v>
      </c>
      <c r="AB528" s="27" t="s">
        <v>84</v>
      </c>
      <c r="AC528" s="27" t="s">
        <v>95</v>
      </c>
      <c r="AD528" s="132" t="s">
        <v>526</v>
      </c>
      <c r="AE528" s="906" t="s">
        <v>92</v>
      </c>
      <c r="AF528" s="1169">
        <v>1</v>
      </c>
      <c r="AG528" s="28" t="s">
        <v>208</v>
      </c>
      <c r="AH528" s="28" t="s">
        <v>983</v>
      </c>
    </row>
    <row r="529" spans="1:34" ht="26.25" outlineLevel="1" thickBot="1" x14ac:dyDescent="0.3">
      <c r="A529" s="1442" t="s">
        <v>668</v>
      </c>
      <c r="B529" s="579" t="s">
        <v>1031</v>
      </c>
      <c r="C529" s="1154" t="s">
        <v>669</v>
      </c>
      <c r="D529" s="311" t="s">
        <v>1617</v>
      </c>
      <c r="E529" s="311" t="s">
        <v>59</v>
      </c>
      <c r="F529" s="311" t="s">
        <v>59</v>
      </c>
      <c r="G529" s="980">
        <v>302.5</v>
      </c>
      <c r="H529" s="762">
        <v>0</v>
      </c>
      <c r="I529" s="1297">
        <v>0</v>
      </c>
      <c r="J529" s="763">
        <v>0</v>
      </c>
      <c r="K529" s="1432">
        <v>0</v>
      </c>
      <c r="L529" s="870">
        <v>0</v>
      </c>
      <c r="M529" s="880">
        <v>0</v>
      </c>
      <c r="N529" s="4">
        <v>0</v>
      </c>
      <c r="O529" s="839">
        <v>0</v>
      </c>
      <c r="P529" s="1172">
        <v>0</v>
      </c>
      <c r="Q529" s="630">
        <f t="shared" si="23"/>
        <v>0</v>
      </c>
      <c r="R529" s="495">
        <v>302.5</v>
      </c>
      <c r="S529" s="495">
        <v>0</v>
      </c>
      <c r="T529" s="409">
        <v>0</v>
      </c>
      <c r="U529" s="237">
        <v>0</v>
      </c>
      <c r="V529" s="154">
        <v>0</v>
      </c>
      <c r="W529" s="862">
        <v>0</v>
      </c>
      <c r="X529" s="1288">
        <v>0</v>
      </c>
      <c r="Y529" s="1288">
        <v>0</v>
      </c>
      <c r="Z529" s="542">
        <v>0</v>
      </c>
      <c r="AA529" s="754">
        <v>0</v>
      </c>
      <c r="AB529" s="98" t="s">
        <v>84</v>
      </c>
      <c r="AC529" s="115" t="s">
        <v>11</v>
      </c>
      <c r="AD529" s="1278" t="s">
        <v>758</v>
      </c>
      <c r="AE529" s="1414" t="s">
        <v>92</v>
      </c>
      <c r="AF529" s="563">
        <v>1</v>
      </c>
      <c r="AG529" s="502" t="s">
        <v>208</v>
      </c>
      <c r="AH529" s="502" t="s">
        <v>983</v>
      </c>
    </row>
    <row r="530" spans="1:34" ht="25.5" outlineLevel="1" x14ac:dyDescent="0.25">
      <c r="A530" s="831" t="s">
        <v>740</v>
      </c>
      <c r="B530" s="831" t="s">
        <v>1032</v>
      </c>
      <c r="C530" s="1492" t="s">
        <v>741</v>
      </c>
      <c r="D530" s="93" t="s">
        <v>1594</v>
      </c>
      <c r="E530" s="93" t="s">
        <v>113</v>
      </c>
      <c r="F530" s="93" t="s">
        <v>113</v>
      </c>
      <c r="G530" s="895">
        <v>5200</v>
      </c>
      <c r="H530" s="444">
        <v>0</v>
      </c>
      <c r="I530" s="451">
        <v>0</v>
      </c>
      <c r="J530" s="452">
        <v>0</v>
      </c>
      <c r="K530" s="756">
        <v>1116.85104</v>
      </c>
      <c r="L530" s="864">
        <v>0</v>
      </c>
      <c r="M530" s="319"/>
      <c r="N530" s="499">
        <v>5200</v>
      </c>
      <c r="O530" s="838">
        <v>5200</v>
      </c>
      <c r="P530" s="855">
        <v>0</v>
      </c>
      <c r="Q530" s="612">
        <f t="shared" si="23"/>
        <v>5200</v>
      </c>
      <c r="R530" s="13">
        <v>0</v>
      </c>
      <c r="S530" s="13">
        <v>0</v>
      </c>
      <c r="T530" s="410">
        <v>0</v>
      </c>
      <c r="U530" s="238">
        <v>0</v>
      </c>
      <c r="V530" s="109">
        <v>0</v>
      </c>
      <c r="W530" s="451">
        <v>0</v>
      </c>
      <c r="X530" s="893">
        <v>0</v>
      </c>
      <c r="Y530" s="893">
        <v>0</v>
      </c>
      <c r="Z530" s="452">
        <v>0</v>
      </c>
      <c r="AA530" s="229">
        <v>0</v>
      </c>
      <c r="AB530" s="93" t="s">
        <v>84</v>
      </c>
      <c r="AC530" s="79" t="s">
        <v>13</v>
      </c>
      <c r="AD530" s="1413" t="s">
        <v>191</v>
      </c>
      <c r="AE530" s="545" t="s">
        <v>92</v>
      </c>
      <c r="AF530" s="1145">
        <v>1</v>
      </c>
      <c r="AG530" s="24" t="s">
        <v>1472</v>
      </c>
      <c r="AH530" s="1649" t="s">
        <v>983</v>
      </c>
    </row>
    <row r="531" spans="1:34" ht="25.5" outlineLevel="1" x14ac:dyDescent="0.25">
      <c r="A531" s="802" t="s">
        <v>742</v>
      </c>
      <c r="B531" s="802" t="s">
        <v>1033</v>
      </c>
      <c r="C531" s="1353" t="s">
        <v>743</v>
      </c>
      <c r="D531" s="95" t="s">
        <v>1594</v>
      </c>
      <c r="E531" s="95" t="s">
        <v>58</v>
      </c>
      <c r="F531" s="95" t="s">
        <v>58</v>
      </c>
      <c r="G531" s="924">
        <v>3000</v>
      </c>
      <c r="H531" s="461">
        <v>0</v>
      </c>
      <c r="I531" s="411">
        <v>0</v>
      </c>
      <c r="J531" s="240">
        <v>0</v>
      </c>
      <c r="K531" s="135">
        <v>0</v>
      </c>
      <c r="L531" s="803">
        <v>0</v>
      </c>
      <c r="M531" s="470">
        <v>0</v>
      </c>
      <c r="N531" s="512">
        <v>0</v>
      </c>
      <c r="O531" s="841">
        <v>0</v>
      </c>
      <c r="P531" s="858">
        <v>0</v>
      </c>
      <c r="Q531" s="613">
        <f t="shared" si="23"/>
        <v>0</v>
      </c>
      <c r="R531" s="11">
        <v>3000</v>
      </c>
      <c r="S531" s="11">
        <v>0</v>
      </c>
      <c r="T531" s="408">
        <v>0</v>
      </c>
      <c r="U531" s="100">
        <v>0</v>
      </c>
      <c r="V531" s="113">
        <v>0</v>
      </c>
      <c r="W531" s="411">
        <v>0</v>
      </c>
      <c r="X531" s="752">
        <v>0</v>
      </c>
      <c r="Y531" s="752">
        <v>0</v>
      </c>
      <c r="Z531" s="240">
        <v>0</v>
      </c>
      <c r="AA531" s="327">
        <v>0</v>
      </c>
      <c r="AB531" s="95" t="s">
        <v>84</v>
      </c>
      <c r="AC531" s="111" t="s">
        <v>11</v>
      </c>
      <c r="AD531" s="1277" t="s">
        <v>190</v>
      </c>
      <c r="AE531" s="925" t="s">
        <v>91</v>
      </c>
      <c r="AF531" s="523">
        <v>1</v>
      </c>
      <c r="AG531" s="24" t="s">
        <v>220</v>
      </c>
      <c r="AH531" s="1649" t="s">
        <v>983</v>
      </c>
    </row>
    <row r="532" spans="1:34" s="657" customFormat="1" ht="25.5" outlineLevel="1" x14ac:dyDescent="0.25">
      <c r="A532" s="57" t="s">
        <v>744</v>
      </c>
      <c r="B532" s="57" t="s">
        <v>1167</v>
      </c>
      <c r="C532" s="1458" t="s">
        <v>745</v>
      </c>
      <c r="D532" s="27" t="s">
        <v>1594</v>
      </c>
      <c r="E532" s="27" t="s">
        <v>323</v>
      </c>
      <c r="F532" s="27" t="s">
        <v>323</v>
      </c>
      <c r="G532" s="811">
        <f xml:space="preserve"> 1725+91.9721-2.576</f>
        <v>1814.3960999999999</v>
      </c>
      <c r="H532" s="688">
        <v>0</v>
      </c>
      <c r="I532" s="560">
        <v>1814.3960999999999</v>
      </c>
      <c r="J532" s="541">
        <v>0</v>
      </c>
      <c r="K532" s="136">
        <v>0</v>
      </c>
      <c r="L532" s="498">
        <f>1816.9721-2.576</f>
        <v>1814.3960999999999</v>
      </c>
      <c r="M532" s="235">
        <v>0</v>
      </c>
      <c r="N532" s="8">
        <v>0</v>
      </c>
      <c r="O532" s="712">
        <v>1814.3960999999999</v>
      </c>
      <c r="P532" s="976">
        <v>0</v>
      </c>
      <c r="Q532" s="535">
        <f t="shared" si="23"/>
        <v>1814.3960999999999</v>
      </c>
      <c r="R532" s="926">
        <v>0</v>
      </c>
      <c r="S532" s="926">
        <v>0</v>
      </c>
      <c r="T532" s="139">
        <v>0</v>
      </c>
      <c r="U532" s="118">
        <v>0</v>
      </c>
      <c r="V532" s="124">
        <v>0</v>
      </c>
      <c r="W532" s="560">
        <v>0</v>
      </c>
      <c r="X532" s="595">
        <v>0</v>
      </c>
      <c r="Y532" s="595">
        <v>0</v>
      </c>
      <c r="Z532" s="541">
        <v>0</v>
      </c>
      <c r="AA532" s="1461">
        <v>0</v>
      </c>
      <c r="AB532" s="27" t="s">
        <v>84</v>
      </c>
      <c r="AC532" s="27" t="s">
        <v>95</v>
      </c>
      <c r="AD532" s="75" t="s">
        <v>640</v>
      </c>
      <c r="AE532" s="123" t="s">
        <v>92</v>
      </c>
      <c r="AF532" s="1169">
        <v>1</v>
      </c>
      <c r="AG532" s="28" t="s">
        <v>212</v>
      </c>
      <c r="AH532" s="820" t="s">
        <v>983</v>
      </c>
    </row>
    <row r="533" spans="1:34" ht="25.5" outlineLevel="1" x14ac:dyDescent="0.25">
      <c r="A533" s="57" t="s">
        <v>746</v>
      </c>
      <c r="B533" s="57" t="s">
        <v>1035</v>
      </c>
      <c r="C533" s="1458" t="s">
        <v>747</v>
      </c>
      <c r="D533" s="27" t="s">
        <v>1594</v>
      </c>
      <c r="E533" s="27" t="s">
        <v>61</v>
      </c>
      <c r="F533" s="27" t="s">
        <v>61</v>
      </c>
      <c r="G533" s="811">
        <f>2500-2.4966</f>
        <v>2497.5034000000001</v>
      </c>
      <c r="H533" s="688">
        <v>0</v>
      </c>
      <c r="I533" s="560">
        <v>2497.5034000000001</v>
      </c>
      <c r="J533" s="541">
        <v>0</v>
      </c>
      <c r="K533" s="136">
        <v>0</v>
      </c>
      <c r="L533" s="498">
        <v>2497.5034000000001</v>
      </c>
      <c r="M533" s="235">
        <v>0</v>
      </c>
      <c r="N533" s="8">
        <v>0</v>
      </c>
      <c r="O533" s="712">
        <v>2497.5034000000001</v>
      </c>
      <c r="P533" s="976">
        <v>0</v>
      </c>
      <c r="Q533" s="535">
        <f t="shared" si="23"/>
        <v>2497.5034000000001</v>
      </c>
      <c r="R533" s="926">
        <v>0</v>
      </c>
      <c r="S533" s="926">
        <v>0</v>
      </c>
      <c r="T533" s="139">
        <v>0</v>
      </c>
      <c r="U533" s="118">
        <v>0</v>
      </c>
      <c r="V533" s="124">
        <v>0</v>
      </c>
      <c r="W533" s="560">
        <v>0</v>
      </c>
      <c r="X533" s="595">
        <v>0</v>
      </c>
      <c r="Y533" s="595">
        <v>0</v>
      </c>
      <c r="Z533" s="541">
        <v>0</v>
      </c>
      <c r="AA533" s="1461">
        <v>0</v>
      </c>
      <c r="AB533" s="27" t="s">
        <v>84</v>
      </c>
      <c r="AC533" s="27" t="s">
        <v>95</v>
      </c>
      <c r="AD533" s="75" t="s">
        <v>520</v>
      </c>
      <c r="AE533" s="123" t="s">
        <v>92</v>
      </c>
      <c r="AF533" s="1169">
        <v>1</v>
      </c>
      <c r="AG533" s="28" t="s">
        <v>212</v>
      </c>
      <c r="AH533" s="820" t="s">
        <v>983</v>
      </c>
    </row>
    <row r="534" spans="1:34" ht="26.25" outlineLevel="1" thickBot="1" x14ac:dyDescent="0.3">
      <c r="A534" s="150" t="s">
        <v>748</v>
      </c>
      <c r="B534" s="150" t="s">
        <v>1034</v>
      </c>
      <c r="C534" s="1531" t="s">
        <v>749</v>
      </c>
      <c r="D534" s="151" t="s">
        <v>1594</v>
      </c>
      <c r="E534" s="151" t="s">
        <v>61</v>
      </c>
      <c r="F534" s="151" t="s">
        <v>61</v>
      </c>
      <c r="G534" s="1403">
        <f>900-19.25026</f>
        <v>880.74973999999997</v>
      </c>
      <c r="H534" s="1076">
        <v>0</v>
      </c>
      <c r="I534" s="887">
        <v>880.74973999999997</v>
      </c>
      <c r="J534" s="633">
        <v>0</v>
      </c>
      <c r="K534" s="889">
        <v>0</v>
      </c>
      <c r="L534" s="490">
        <v>880.74973999999997</v>
      </c>
      <c r="M534" s="475">
        <v>0</v>
      </c>
      <c r="N534" s="152">
        <v>0</v>
      </c>
      <c r="O534" s="458">
        <v>880.74973999999997</v>
      </c>
      <c r="P534" s="1220">
        <v>0</v>
      </c>
      <c r="Q534" s="537">
        <f t="shared" si="23"/>
        <v>880.74973999999997</v>
      </c>
      <c r="R534" s="884">
        <v>0</v>
      </c>
      <c r="S534" s="884">
        <v>0</v>
      </c>
      <c r="T534" s="788">
        <v>0</v>
      </c>
      <c r="U534" s="885">
        <v>0</v>
      </c>
      <c r="V534" s="886">
        <v>0</v>
      </c>
      <c r="W534" s="887">
        <v>0</v>
      </c>
      <c r="X534" s="888">
        <v>0</v>
      </c>
      <c r="Y534" s="888">
        <v>0</v>
      </c>
      <c r="Z534" s="633">
        <v>0</v>
      </c>
      <c r="AA534" s="1532">
        <v>0</v>
      </c>
      <c r="AB534" s="151" t="s">
        <v>84</v>
      </c>
      <c r="AC534" s="986" t="s">
        <v>95</v>
      </c>
      <c r="AD534" s="303" t="s">
        <v>640</v>
      </c>
      <c r="AE534" s="986" t="s">
        <v>92</v>
      </c>
      <c r="AF534" s="1533">
        <v>1</v>
      </c>
      <c r="AG534" s="191" t="s">
        <v>212</v>
      </c>
      <c r="AH534" s="890" t="s">
        <v>983</v>
      </c>
    </row>
    <row r="535" spans="1:34" ht="31.5" outlineLevel="1" x14ac:dyDescent="0.25">
      <c r="A535" s="72" t="s">
        <v>816</v>
      </c>
      <c r="B535" s="72" t="s">
        <v>1036</v>
      </c>
      <c r="C535" s="1366" t="s">
        <v>817</v>
      </c>
      <c r="D535" s="30" t="s">
        <v>1593</v>
      </c>
      <c r="E535" s="30" t="s">
        <v>58</v>
      </c>
      <c r="F535" s="30" t="s">
        <v>58</v>
      </c>
      <c r="G535" s="374">
        <f>3000-3000</f>
        <v>0</v>
      </c>
      <c r="H535" s="1478">
        <v>0</v>
      </c>
      <c r="I535" s="596">
        <v>0</v>
      </c>
      <c r="J535" s="574">
        <v>0</v>
      </c>
      <c r="K535" s="1227">
        <v>0</v>
      </c>
      <c r="L535" s="491">
        <v>0</v>
      </c>
      <c r="M535" s="472">
        <v>0</v>
      </c>
      <c r="N535" s="14">
        <f>3000-3000</f>
        <v>0</v>
      </c>
      <c r="O535" s="691">
        <v>3000</v>
      </c>
      <c r="P535" s="1459">
        <v>-3000</v>
      </c>
      <c r="Q535" s="536">
        <f t="shared" si="23"/>
        <v>0</v>
      </c>
      <c r="R535" s="119">
        <v>0</v>
      </c>
      <c r="S535" s="119">
        <v>0</v>
      </c>
      <c r="T535" s="293">
        <v>0</v>
      </c>
      <c r="U535" s="241">
        <v>0</v>
      </c>
      <c r="V535" s="142">
        <v>0</v>
      </c>
      <c r="W535" s="561">
        <v>0</v>
      </c>
      <c r="X535" s="596">
        <v>0</v>
      </c>
      <c r="Y535" s="596">
        <v>0</v>
      </c>
      <c r="Z535" s="574">
        <v>0</v>
      </c>
      <c r="AA535" s="462">
        <v>0</v>
      </c>
      <c r="AB535" s="678" t="s">
        <v>1703</v>
      </c>
      <c r="AC535" s="141" t="s">
        <v>93</v>
      </c>
      <c r="AD535" s="131" t="s">
        <v>706</v>
      </c>
      <c r="AE535" s="900" t="s">
        <v>91</v>
      </c>
      <c r="AF535" s="1460">
        <v>1</v>
      </c>
      <c r="AG535" s="33" t="s">
        <v>220</v>
      </c>
      <c r="AH535" s="820" t="s">
        <v>983</v>
      </c>
    </row>
    <row r="536" spans="1:34" ht="25.5" outlineLevel="1" x14ac:dyDescent="0.25">
      <c r="A536" s="1190" t="s">
        <v>818</v>
      </c>
      <c r="B536" s="802" t="s">
        <v>1037</v>
      </c>
      <c r="C536" s="1353" t="s">
        <v>819</v>
      </c>
      <c r="D536" s="93" t="s">
        <v>1593</v>
      </c>
      <c r="E536" s="95" t="s">
        <v>58</v>
      </c>
      <c r="F536" s="95" t="s">
        <v>58</v>
      </c>
      <c r="G536" s="924">
        <v>2000</v>
      </c>
      <c r="H536" s="130">
        <v>0</v>
      </c>
      <c r="I536" s="752">
        <v>0</v>
      </c>
      <c r="J536" s="240">
        <v>0</v>
      </c>
      <c r="K536" s="950">
        <v>0</v>
      </c>
      <c r="L536" s="803">
        <v>0</v>
      </c>
      <c r="M536" s="470"/>
      <c r="N536" s="512">
        <v>2000</v>
      </c>
      <c r="O536" s="841">
        <v>2000</v>
      </c>
      <c r="P536" s="858">
        <f>2000-2000</f>
        <v>0</v>
      </c>
      <c r="Q536" s="613">
        <f t="shared" si="23"/>
        <v>2000</v>
      </c>
      <c r="R536" s="11">
        <v>0</v>
      </c>
      <c r="S536" s="11">
        <v>0</v>
      </c>
      <c r="T536" s="408">
        <v>0</v>
      </c>
      <c r="U536" s="100">
        <v>0</v>
      </c>
      <c r="V536" s="113">
        <v>0</v>
      </c>
      <c r="W536" s="411">
        <v>0</v>
      </c>
      <c r="X536" s="752">
        <v>0</v>
      </c>
      <c r="Y536" s="752">
        <v>0</v>
      </c>
      <c r="Z536" s="240">
        <v>0</v>
      </c>
      <c r="AA536" s="327">
        <v>0</v>
      </c>
      <c r="AB536" s="479" t="s">
        <v>84</v>
      </c>
      <c r="AC536" s="111" t="s">
        <v>9</v>
      </c>
      <c r="AD536" s="1277" t="s">
        <v>321</v>
      </c>
      <c r="AE536" s="925" t="s">
        <v>91</v>
      </c>
      <c r="AF536" s="523">
        <v>1</v>
      </c>
      <c r="AG536" s="514" t="s">
        <v>220</v>
      </c>
      <c r="AH536" s="1649" t="s">
        <v>983</v>
      </c>
    </row>
    <row r="537" spans="1:34" ht="31.5" outlineLevel="1" x14ac:dyDescent="0.25">
      <c r="A537" s="802" t="s">
        <v>820</v>
      </c>
      <c r="B537" s="802" t="s">
        <v>1038</v>
      </c>
      <c r="C537" s="1353" t="s">
        <v>821</v>
      </c>
      <c r="D537" s="93" t="s">
        <v>1593</v>
      </c>
      <c r="E537" s="95" t="s">
        <v>64</v>
      </c>
      <c r="F537" s="95" t="s">
        <v>64</v>
      </c>
      <c r="G537" s="924">
        <v>1800</v>
      </c>
      <c r="H537" s="130">
        <v>0</v>
      </c>
      <c r="I537" s="752">
        <v>0</v>
      </c>
      <c r="J537" s="240">
        <v>0</v>
      </c>
      <c r="K537" s="950">
        <v>0</v>
      </c>
      <c r="L537" s="803">
        <v>0</v>
      </c>
      <c r="M537" s="470">
        <v>0</v>
      </c>
      <c r="N537" s="512">
        <v>0</v>
      </c>
      <c r="O537" s="841">
        <v>0</v>
      </c>
      <c r="P537" s="858">
        <v>0</v>
      </c>
      <c r="Q537" s="613">
        <f t="shared" si="23"/>
        <v>0</v>
      </c>
      <c r="R537" s="11">
        <v>1800</v>
      </c>
      <c r="S537" s="11">
        <v>0</v>
      </c>
      <c r="T537" s="408">
        <v>0</v>
      </c>
      <c r="U537" s="100">
        <v>0</v>
      </c>
      <c r="V537" s="113">
        <v>0</v>
      </c>
      <c r="W537" s="411">
        <v>0</v>
      </c>
      <c r="X537" s="752">
        <v>0</v>
      </c>
      <c r="Y537" s="752">
        <v>0</v>
      </c>
      <c r="Z537" s="240">
        <v>0</v>
      </c>
      <c r="AA537" s="327">
        <v>0</v>
      </c>
      <c r="AB537" s="95" t="s">
        <v>84</v>
      </c>
      <c r="AC537" s="111" t="s">
        <v>11</v>
      </c>
      <c r="AD537" s="1277" t="s">
        <v>1067</v>
      </c>
      <c r="AE537" s="925" t="s">
        <v>91</v>
      </c>
      <c r="AF537" s="523">
        <v>1</v>
      </c>
      <c r="AG537" s="514" t="s">
        <v>215</v>
      </c>
      <c r="AH537" s="1649" t="s">
        <v>983</v>
      </c>
    </row>
    <row r="538" spans="1:34" ht="32.25" outlineLevel="1" thickBot="1" x14ac:dyDescent="0.3">
      <c r="A538" s="832" t="s">
        <v>823</v>
      </c>
      <c r="B538" s="832" t="s">
        <v>1039</v>
      </c>
      <c r="C538" s="1574" t="s">
        <v>822</v>
      </c>
      <c r="D538" s="98" t="s">
        <v>1593</v>
      </c>
      <c r="E538" s="98" t="s">
        <v>373</v>
      </c>
      <c r="F538" s="98" t="s">
        <v>373</v>
      </c>
      <c r="G538" s="1302">
        <v>24000</v>
      </c>
      <c r="H538" s="129">
        <v>0</v>
      </c>
      <c r="I538" s="1288">
        <v>0</v>
      </c>
      <c r="J538" s="542">
        <v>0</v>
      </c>
      <c r="K538" s="1166">
        <v>0</v>
      </c>
      <c r="L538" s="870">
        <v>0</v>
      </c>
      <c r="M538" s="880">
        <v>0</v>
      </c>
      <c r="N538" s="16">
        <v>4000</v>
      </c>
      <c r="O538" s="842">
        <v>4000</v>
      </c>
      <c r="P538" s="1086">
        <v>0</v>
      </c>
      <c r="Q538" s="531">
        <f t="shared" si="23"/>
        <v>4000</v>
      </c>
      <c r="R538" s="128">
        <v>20000</v>
      </c>
      <c r="S538" s="128">
        <v>0</v>
      </c>
      <c r="T538" s="409">
        <v>0</v>
      </c>
      <c r="U538" s="237">
        <v>0</v>
      </c>
      <c r="V538" s="232">
        <v>0</v>
      </c>
      <c r="W538" s="862">
        <v>0</v>
      </c>
      <c r="X538" s="1288">
        <v>0</v>
      </c>
      <c r="Y538" s="1288">
        <v>0</v>
      </c>
      <c r="Z538" s="542">
        <v>0</v>
      </c>
      <c r="AA538" s="684">
        <v>0</v>
      </c>
      <c r="AB538" s="98" t="s">
        <v>84</v>
      </c>
      <c r="AC538" s="115" t="s">
        <v>9</v>
      </c>
      <c r="AD538" s="1278" t="s">
        <v>321</v>
      </c>
      <c r="AE538" s="1414" t="s">
        <v>91</v>
      </c>
      <c r="AF538" s="563">
        <v>1</v>
      </c>
      <c r="AG538" s="502" t="s">
        <v>217</v>
      </c>
      <c r="AH538" s="126" t="s">
        <v>983</v>
      </c>
    </row>
    <row r="539" spans="1:34" ht="25.5" outlineLevel="1" x14ac:dyDescent="0.25">
      <c r="A539" s="831" t="s">
        <v>1040</v>
      </c>
      <c r="B539" s="831" t="s">
        <v>1455</v>
      </c>
      <c r="C539" s="1331" t="s">
        <v>1041</v>
      </c>
      <c r="D539" s="93" t="s">
        <v>1633</v>
      </c>
      <c r="E539" s="93" t="s">
        <v>1042</v>
      </c>
      <c r="F539" s="93" t="s">
        <v>1042</v>
      </c>
      <c r="G539" s="895">
        <v>3000</v>
      </c>
      <c r="H539" s="205">
        <v>0</v>
      </c>
      <c r="I539" s="893">
        <v>0</v>
      </c>
      <c r="J539" s="452">
        <v>304.04874000000001</v>
      </c>
      <c r="K539" s="1107">
        <v>0</v>
      </c>
      <c r="L539" s="452">
        <v>0</v>
      </c>
      <c r="M539" s="452">
        <f>1500-1195.95126</f>
        <v>304.04873999999995</v>
      </c>
      <c r="N539" s="1107">
        <f>1500+1195.95126</f>
        <v>2695.9512599999998</v>
      </c>
      <c r="O539" s="838">
        <v>3000</v>
      </c>
      <c r="P539" s="855">
        <v>0</v>
      </c>
      <c r="Q539" s="612">
        <f t="shared" si="23"/>
        <v>3000</v>
      </c>
      <c r="R539" s="13">
        <v>0</v>
      </c>
      <c r="S539" s="108">
        <v>0</v>
      </c>
      <c r="T539" s="410">
        <v>0</v>
      </c>
      <c r="U539" s="238">
        <v>0</v>
      </c>
      <c r="V539" s="109">
        <v>0</v>
      </c>
      <c r="W539" s="451">
        <v>0</v>
      </c>
      <c r="X539" s="893">
        <v>0</v>
      </c>
      <c r="Y539" s="893">
        <v>0</v>
      </c>
      <c r="Z539" s="452">
        <v>0</v>
      </c>
      <c r="AA539" s="229">
        <v>0</v>
      </c>
      <c r="AB539" s="479" t="s">
        <v>84</v>
      </c>
      <c r="AC539" s="79" t="s">
        <v>13</v>
      </c>
      <c r="AD539" s="1413" t="s">
        <v>191</v>
      </c>
      <c r="AE539" s="545" t="s">
        <v>92</v>
      </c>
      <c r="AF539" s="1145">
        <v>1</v>
      </c>
      <c r="AG539" s="24" t="s">
        <v>217</v>
      </c>
      <c r="AH539" s="24" t="s">
        <v>983</v>
      </c>
    </row>
    <row r="540" spans="1:34" ht="31.5" outlineLevel="1" x14ac:dyDescent="0.25">
      <c r="A540" s="1189" t="s">
        <v>1043</v>
      </c>
      <c r="B540" s="1803" t="s">
        <v>87</v>
      </c>
      <c r="C540" s="1896" t="s">
        <v>1044</v>
      </c>
      <c r="D540" s="219" t="s">
        <v>1633</v>
      </c>
      <c r="E540" s="219" t="s">
        <v>1045</v>
      </c>
      <c r="F540" s="219" t="s">
        <v>1045</v>
      </c>
      <c r="G540" s="1806">
        <v>6785</v>
      </c>
      <c r="H540" s="357">
        <v>0</v>
      </c>
      <c r="I540" s="1897">
        <v>0</v>
      </c>
      <c r="J540" s="571">
        <v>1093.4559999999999</v>
      </c>
      <c r="K540" s="1898">
        <v>0</v>
      </c>
      <c r="L540" s="571">
        <v>0</v>
      </c>
      <c r="M540" s="571">
        <f>0+1093.456</f>
        <v>1093.4559999999999</v>
      </c>
      <c r="N540" s="1898">
        <f>6785-1093.456-2000</f>
        <v>3691.5439999999999</v>
      </c>
      <c r="O540" s="1726">
        <v>6785</v>
      </c>
      <c r="P540" s="1899">
        <v>-2000</v>
      </c>
      <c r="Q540" s="1692">
        <f t="shared" si="23"/>
        <v>4785</v>
      </c>
      <c r="R540" s="270">
        <v>2000</v>
      </c>
      <c r="S540" s="1900">
        <v>0</v>
      </c>
      <c r="T540" s="1901">
        <v>0</v>
      </c>
      <c r="U540" s="352">
        <v>0</v>
      </c>
      <c r="V540" s="269">
        <v>0</v>
      </c>
      <c r="W540" s="1902">
        <v>0</v>
      </c>
      <c r="X540" s="1897">
        <v>0</v>
      </c>
      <c r="Y540" s="1897">
        <v>0</v>
      </c>
      <c r="Z540" s="571">
        <v>0</v>
      </c>
      <c r="AA540" s="1903">
        <v>0</v>
      </c>
      <c r="AB540" s="220" t="s">
        <v>1704</v>
      </c>
      <c r="AC540" s="268" t="s">
        <v>9</v>
      </c>
      <c r="AD540" s="1697" t="s">
        <v>321</v>
      </c>
      <c r="AE540" s="1904" t="s">
        <v>91</v>
      </c>
      <c r="AF540" s="1139">
        <v>1</v>
      </c>
      <c r="AG540" s="1686" t="s">
        <v>208</v>
      </c>
      <c r="AH540" s="1686" t="s">
        <v>983</v>
      </c>
    </row>
    <row r="541" spans="1:34" ht="25.5" outlineLevel="1" x14ac:dyDescent="0.25">
      <c r="A541" s="1189" t="s">
        <v>1046</v>
      </c>
      <c r="B541" s="831" t="s">
        <v>87</v>
      </c>
      <c r="C541" s="1331" t="s">
        <v>1047</v>
      </c>
      <c r="D541" s="93" t="s">
        <v>1633</v>
      </c>
      <c r="E541" s="93" t="s">
        <v>324</v>
      </c>
      <c r="F541" s="93" t="s">
        <v>324</v>
      </c>
      <c r="G541" s="895">
        <f xml:space="preserve"> 4000 - 800</f>
        <v>3200</v>
      </c>
      <c r="H541" s="130">
        <v>0</v>
      </c>
      <c r="I541" s="752">
        <v>0</v>
      </c>
      <c r="J541" s="240">
        <v>0</v>
      </c>
      <c r="K541" s="950">
        <v>0</v>
      </c>
      <c r="L541" s="240">
        <v>0</v>
      </c>
      <c r="M541" s="240">
        <v>0</v>
      </c>
      <c r="N541" s="950">
        <v>3200</v>
      </c>
      <c r="O541" s="841">
        <v>3200</v>
      </c>
      <c r="P541" s="858">
        <v>0</v>
      </c>
      <c r="Q541" s="613">
        <f t="shared" si="23"/>
        <v>3200</v>
      </c>
      <c r="R541" s="11">
        <v>0</v>
      </c>
      <c r="S541" s="12">
        <v>0</v>
      </c>
      <c r="T541" s="408">
        <v>0</v>
      </c>
      <c r="U541" s="100">
        <v>0</v>
      </c>
      <c r="V541" s="113">
        <v>0</v>
      </c>
      <c r="W541" s="411">
        <v>0</v>
      </c>
      <c r="X541" s="752">
        <v>0</v>
      </c>
      <c r="Y541" s="752">
        <v>0</v>
      </c>
      <c r="Z541" s="240">
        <v>0</v>
      </c>
      <c r="AA541" s="327">
        <v>0</v>
      </c>
      <c r="AB541" s="95" t="s">
        <v>84</v>
      </c>
      <c r="AC541" s="111" t="s">
        <v>13</v>
      </c>
      <c r="AD541" s="1277" t="s">
        <v>191</v>
      </c>
      <c r="AE541" s="925" t="s">
        <v>92</v>
      </c>
      <c r="AF541" s="523">
        <v>1</v>
      </c>
      <c r="AG541" s="514" t="s">
        <v>217</v>
      </c>
      <c r="AH541" s="514" t="s">
        <v>983</v>
      </c>
    </row>
    <row r="542" spans="1:34" ht="31.5" outlineLevel="1" x14ac:dyDescent="0.25">
      <c r="A542" s="1189" t="s">
        <v>1048</v>
      </c>
      <c r="B542" s="831" t="s">
        <v>1388</v>
      </c>
      <c r="C542" s="1092" t="s">
        <v>1049</v>
      </c>
      <c r="D542" s="93" t="s">
        <v>1633</v>
      </c>
      <c r="E542" s="93" t="s">
        <v>500</v>
      </c>
      <c r="F542" s="93" t="s">
        <v>501</v>
      </c>
      <c r="G542" s="895">
        <f>1300</f>
        <v>1300</v>
      </c>
      <c r="H542" s="130">
        <v>0</v>
      </c>
      <c r="I542" s="752">
        <v>604.35900000000004</v>
      </c>
      <c r="J542" s="240">
        <v>0</v>
      </c>
      <c r="K542" s="950">
        <v>0</v>
      </c>
      <c r="L542" s="240">
        <v>604.35900000000004</v>
      </c>
      <c r="M542" s="240">
        <v>0</v>
      </c>
      <c r="N542" s="950">
        <v>695.64099999999996</v>
      </c>
      <c r="O542" s="841">
        <v>1300</v>
      </c>
      <c r="P542" s="858">
        <v>0</v>
      </c>
      <c r="Q542" s="613">
        <f t="shared" si="23"/>
        <v>1300</v>
      </c>
      <c r="R542" s="11">
        <v>0</v>
      </c>
      <c r="S542" s="12">
        <v>0</v>
      </c>
      <c r="T542" s="408">
        <v>0</v>
      </c>
      <c r="U542" s="100">
        <v>0</v>
      </c>
      <c r="V542" s="113">
        <v>0</v>
      </c>
      <c r="W542" s="411">
        <v>0</v>
      </c>
      <c r="X542" s="752">
        <v>0</v>
      </c>
      <c r="Y542" s="752">
        <v>0</v>
      </c>
      <c r="Z542" s="240">
        <v>0</v>
      </c>
      <c r="AA542" s="327">
        <v>0</v>
      </c>
      <c r="AB542" s="95" t="s">
        <v>84</v>
      </c>
      <c r="AC542" s="111" t="s">
        <v>13</v>
      </c>
      <c r="AD542" s="1277" t="s">
        <v>191</v>
      </c>
      <c r="AE542" s="925" t="s">
        <v>92</v>
      </c>
      <c r="AF542" s="523">
        <v>1</v>
      </c>
      <c r="AG542" s="514" t="s">
        <v>217</v>
      </c>
      <c r="AH542" s="514" t="s">
        <v>983</v>
      </c>
    </row>
    <row r="543" spans="1:34" ht="25.5" outlineLevel="1" x14ac:dyDescent="0.25">
      <c r="A543" s="831" t="s">
        <v>1050</v>
      </c>
      <c r="B543" s="831" t="s">
        <v>1454</v>
      </c>
      <c r="C543" s="1463" t="s">
        <v>1051</v>
      </c>
      <c r="D543" s="93" t="s">
        <v>1633</v>
      </c>
      <c r="E543" s="93" t="s">
        <v>306</v>
      </c>
      <c r="F543" s="93" t="s">
        <v>306</v>
      </c>
      <c r="G543" s="895">
        <f>4500+1500</f>
        <v>6000</v>
      </c>
      <c r="H543" s="130">
        <v>0</v>
      </c>
      <c r="I543" s="752">
        <v>0</v>
      </c>
      <c r="J543" s="240">
        <v>1984.0810899999999</v>
      </c>
      <c r="K543" s="950">
        <v>1515.9189100000001</v>
      </c>
      <c r="L543" s="240">
        <v>0</v>
      </c>
      <c r="M543" s="240">
        <v>1984.0810899999999</v>
      </c>
      <c r="N543" s="950">
        <v>1515.9189100000001</v>
      </c>
      <c r="O543" s="841">
        <v>3500</v>
      </c>
      <c r="P543" s="858">
        <v>0</v>
      </c>
      <c r="Q543" s="613">
        <f t="shared" si="23"/>
        <v>3500</v>
      </c>
      <c r="R543" s="11">
        <v>0</v>
      </c>
      <c r="S543" s="12">
        <v>0</v>
      </c>
      <c r="T543" s="408">
        <v>2500</v>
      </c>
      <c r="U543" s="100">
        <v>0</v>
      </c>
      <c r="V543" s="113">
        <v>0</v>
      </c>
      <c r="W543" s="411">
        <v>0</v>
      </c>
      <c r="X543" s="752">
        <v>0</v>
      </c>
      <c r="Y543" s="752">
        <v>0</v>
      </c>
      <c r="Z543" s="240">
        <v>0</v>
      </c>
      <c r="AA543" s="327">
        <v>0</v>
      </c>
      <c r="AB543" s="95" t="s">
        <v>84</v>
      </c>
      <c r="AC543" s="95" t="s">
        <v>186</v>
      </c>
      <c r="AD543" s="1277" t="s">
        <v>321</v>
      </c>
      <c r="AE543" s="925" t="s">
        <v>92</v>
      </c>
      <c r="AF543" s="523">
        <v>1</v>
      </c>
      <c r="AG543" s="514" t="s">
        <v>203</v>
      </c>
      <c r="AH543" s="514" t="s">
        <v>983</v>
      </c>
    </row>
    <row r="544" spans="1:34" ht="25.5" outlineLevel="1" x14ac:dyDescent="0.25">
      <c r="A544" s="1189" t="s">
        <v>1052</v>
      </c>
      <c r="B544" s="831" t="s">
        <v>87</v>
      </c>
      <c r="C544" s="1463" t="s">
        <v>1053</v>
      </c>
      <c r="D544" s="93" t="s">
        <v>1633</v>
      </c>
      <c r="E544" s="93" t="s">
        <v>1054</v>
      </c>
      <c r="F544" s="93" t="s">
        <v>1054</v>
      </c>
      <c r="G544" s="895">
        <v>2810</v>
      </c>
      <c r="H544" s="130">
        <v>0</v>
      </c>
      <c r="I544" s="752">
        <v>0</v>
      </c>
      <c r="J544" s="240">
        <v>493.06992000000002</v>
      </c>
      <c r="K544" s="950">
        <v>0</v>
      </c>
      <c r="L544" s="240">
        <v>0</v>
      </c>
      <c r="M544" s="240">
        <v>493.06992000000002</v>
      </c>
      <c r="N544" s="950">
        <v>2316.9300800000001</v>
      </c>
      <c r="O544" s="841">
        <v>2810</v>
      </c>
      <c r="P544" s="858">
        <v>0</v>
      </c>
      <c r="Q544" s="613">
        <f t="shared" si="23"/>
        <v>2810</v>
      </c>
      <c r="R544" s="11">
        <v>0</v>
      </c>
      <c r="S544" s="12">
        <v>0</v>
      </c>
      <c r="T544" s="408">
        <v>0</v>
      </c>
      <c r="U544" s="100">
        <v>0</v>
      </c>
      <c r="V544" s="113">
        <v>0</v>
      </c>
      <c r="W544" s="411">
        <v>0</v>
      </c>
      <c r="X544" s="752">
        <v>0</v>
      </c>
      <c r="Y544" s="752">
        <v>0</v>
      </c>
      <c r="Z544" s="240">
        <v>0</v>
      </c>
      <c r="AA544" s="327">
        <v>0</v>
      </c>
      <c r="AB544" s="95" t="s">
        <v>84</v>
      </c>
      <c r="AC544" s="111" t="s">
        <v>13</v>
      </c>
      <c r="AD544" s="1277" t="s">
        <v>191</v>
      </c>
      <c r="AE544" s="925" t="s">
        <v>92</v>
      </c>
      <c r="AF544" s="523">
        <v>1</v>
      </c>
      <c r="AG544" s="514" t="s">
        <v>204</v>
      </c>
      <c r="AH544" s="514" t="s">
        <v>983</v>
      </c>
    </row>
    <row r="545" spans="1:34" ht="25.5" outlineLevel="1" x14ac:dyDescent="0.25">
      <c r="A545" s="831" t="s">
        <v>1055</v>
      </c>
      <c r="B545" s="831" t="s">
        <v>87</v>
      </c>
      <c r="C545" s="1463" t="s">
        <v>1056</v>
      </c>
      <c r="D545" s="93" t="s">
        <v>1633</v>
      </c>
      <c r="E545" s="93" t="s">
        <v>1054</v>
      </c>
      <c r="F545" s="93" t="s">
        <v>1054</v>
      </c>
      <c r="G545" s="895">
        <v>2200</v>
      </c>
      <c r="H545" s="130">
        <v>0</v>
      </c>
      <c r="I545" s="752">
        <v>0</v>
      </c>
      <c r="J545" s="240">
        <v>0</v>
      </c>
      <c r="K545" s="950">
        <v>0</v>
      </c>
      <c r="L545" s="240">
        <v>0</v>
      </c>
      <c r="M545" s="240">
        <v>0</v>
      </c>
      <c r="N545" s="950">
        <v>2200</v>
      </c>
      <c r="O545" s="841">
        <v>2200</v>
      </c>
      <c r="P545" s="858">
        <v>0</v>
      </c>
      <c r="Q545" s="613">
        <f t="shared" si="23"/>
        <v>2200</v>
      </c>
      <c r="R545" s="11">
        <v>0</v>
      </c>
      <c r="S545" s="12">
        <v>0</v>
      </c>
      <c r="T545" s="408">
        <v>0</v>
      </c>
      <c r="U545" s="100">
        <v>0</v>
      </c>
      <c r="V545" s="113">
        <v>0</v>
      </c>
      <c r="W545" s="411">
        <v>0</v>
      </c>
      <c r="X545" s="752">
        <v>0</v>
      </c>
      <c r="Y545" s="752">
        <v>0</v>
      </c>
      <c r="Z545" s="240">
        <v>0</v>
      </c>
      <c r="AA545" s="327">
        <v>0</v>
      </c>
      <c r="AB545" s="591" t="s">
        <v>84</v>
      </c>
      <c r="AC545" s="111" t="s">
        <v>11</v>
      </c>
      <c r="AD545" s="1277" t="s">
        <v>191</v>
      </c>
      <c r="AE545" s="925" t="s">
        <v>91</v>
      </c>
      <c r="AF545" s="523">
        <v>1</v>
      </c>
      <c r="AG545" s="514" t="s">
        <v>204</v>
      </c>
      <c r="AH545" s="514" t="s">
        <v>983</v>
      </c>
    </row>
    <row r="546" spans="1:34" ht="25.5" outlineLevel="1" x14ac:dyDescent="0.25">
      <c r="A546" s="1189" t="s">
        <v>1057</v>
      </c>
      <c r="B546" s="831" t="s">
        <v>1412</v>
      </c>
      <c r="C546" s="1464" t="s">
        <v>1058</v>
      </c>
      <c r="D546" s="93" t="s">
        <v>1633</v>
      </c>
      <c r="E546" s="93" t="s">
        <v>63</v>
      </c>
      <c r="F546" s="93" t="s">
        <v>63</v>
      </c>
      <c r="G546" s="895">
        <v>1000</v>
      </c>
      <c r="H546" s="130">
        <v>0</v>
      </c>
      <c r="I546" s="752">
        <v>0</v>
      </c>
      <c r="J546" s="240">
        <v>278</v>
      </c>
      <c r="K546" s="950">
        <v>531.19000000000005</v>
      </c>
      <c r="L546" s="240">
        <v>0</v>
      </c>
      <c r="M546" s="240">
        <v>278</v>
      </c>
      <c r="N546" s="950">
        <v>722</v>
      </c>
      <c r="O546" s="841">
        <v>1000</v>
      </c>
      <c r="P546" s="858">
        <v>0</v>
      </c>
      <c r="Q546" s="613">
        <f t="shared" si="23"/>
        <v>1000</v>
      </c>
      <c r="R546" s="11">
        <v>0</v>
      </c>
      <c r="S546" s="12">
        <v>0</v>
      </c>
      <c r="T546" s="408">
        <v>0</v>
      </c>
      <c r="U546" s="100">
        <v>0</v>
      </c>
      <c r="V546" s="113">
        <v>0</v>
      </c>
      <c r="W546" s="411">
        <v>0</v>
      </c>
      <c r="X546" s="752">
        <v>0</v>
      </c>
      <c r="Y546" s="752">
        <v>0</v>
      </c>
      <c r="Z546" s="240">
        <v>0</v>
      </c>
      <c r="AA546" s="327">
        <v>0</v>
      </c>
      <c r="AB546" s="95" t="s">
        <v>84</v>
      </c>
      <c r="AC546" s="111" t="s">
        <v>13</v>
      </c>
      <c r="AD546" s="1277" t="s">
        <v>191</v>
      </c>
      <c r="AE546" s="925" t="s">
        <v>92</v>
      </c>
      <c r="AF546" s="523">
        <v>1</v>
      </c>
      <c r="AG546" s="514" t="s">
        <v>218</v>
      </c>
      <c r="AH546" s="514" t="s">
        <v>983</v>
      </c>
    </row>
    <row r="547" spans="1:34" ht="25.5" outlineLevel="1" x14ac:dyDescent="0.25">
      <c r="A547" s="1189" t="s">
        <v>1059</v>
      </c>
      <c r="B547" s="831" t="s">
        <v>1389</v>
      </c>
      <c r="C547" s="1464" t="s">
        <v>1060</v>
      </c>
      <c r="D547" s="93" t="s">
        <v>1633</v>
      </c>
      <c r="E547" s="93" t="s">
        <v>1061</v>
      </c>
      <c r="F547" s="93" t="s">
        <v>1061</v>
      </c>
      <c r="G547" s="895">
        <f>1500+800</f>
        <v>2300</v>
      </c>
      <c r="H547" s="130">
        <v>0</v>
      </c>
      <c r="I547" s="752">
        <v>489.35529999999994</v>
      </c>
      <c r="J547" s="240">
        <v>145</v>
      </c>
      <c r="K547" s="950">
        <v>61.15</v>
      </c>
      <c r="L547" s="752">
        <f>281.02167+208.33363</f>
        <v>489.35529999999994</v>
      </c>
      <c r="M547" s="240">
        <v>145</v>
      </c>
      <c r="N547" s="950">
        <v>1665.6447000000001</v>
      </c>
      <c r="O547" s="841">
        <v>2300</v>
      </c>
      <c r="P547" s="858">
        <v>0</v>
      </c>
      <c r="Q547" s="613">
        <f t="shared" si="23"/>
        <v>2300</v>
      </c>
      <c r="R547" s="11">
        <v>0</v>
      </c>
      <c r="S547" s="12">
        <v>0</v>
      </c>
      <c r="T547" s="408">
        <v>0</v>
      </c>
      <c r="U547" s="100">
        <v>0</v>
      </c>
      <c r="V547" s="113">
        <v>0</v>
      </c>
      <c r="W547" s="411">
        <v>0</v>
      </c>
      <c r="X547" s="752">
        <v>0</v>
      </c>
      <c r="Y547" s="752">
        <v>0</v>
      </c>
      <c r="Z547" s="240">
        <v>0</v>
      </c>
      <c r="AA547" s="327">
        <v>0</v>
      </c>
      <c r="AB547" s="95" t="s">
        <v>84</v>
      </c>
      <c r="AC547" s="111" t="s">
        <v>13</v>
      </c>
      <c r="AD547" s="1277" t="s">
        <v>321</v>
      </c>
      <c r="AE547" s="925" t="s">
        <v>92</v>
      </c>
      <c r="AF547" s="523">
        <v>1</v>
      </c>
      <c r="AG547" s="514" t="s">
        <v>208</v>
      </c>
      <c r="AH547" s="514" t="s">
        <v>983</v>
      </c>
    </row>
    <row r="548" spans="1:34" ht="26.25" outlineLevel="1" thickBot="1" x14ac:dyDescent="0.3">
      <c r="A548" s="832" t="s">
        <v>1062</v>
      </c>
      <c r="B548" s="832" t="s">
        <v>87</v>
      </c>
      <c r="C548" s="1465" t="s">
        <v>1063</v>
      </c>
      <c r="D548" s="98" t="s">
        <v>1633</v>
      </c>
      <c r="E548" s="98" t="s">
        <v>1064</v>
      </c>
      <c r="F548" s="98" t="s">
        <v>658</v>
      </c>
      <c r="G548" s="1302">
        <v>2300</v>
      </c>
      <c r="H548" s="129">
        <v>0</v>
      </c>
      <c r="I548" s="1288">
        <v>0</v>
      </c>
      <c r="J548" s="542">
        <v>0</v>
      </c>
      <c r="K548" s="1166">
        <v>0</v>
      </c>
      <c r="L548" s="542">
        <v>0</v>
      </c>
      <c r="M548" s="542">
        <v>0</v>
      </c>
      <c r="N548" s="1166">
        <v>2300</v>
      </c>
      <c r="O548" s="842">
        <v>2300</v>
      </c>
      <c r="P548" s="1086">
        <v>0</v>
      </c>
      <c r="Q548" s="531">
        <f t="shared" si="23"/>
        <v>2300</v>
      </c>
      <c r="R548" s="128">
        <v>0</v>
      </c>
      <c r="S548" s="1312">
        <v>0</v>
      </c>
      <c r="T548" s="409">
        <v>0</v>
      </c>
      <c r="U548" s="237">
        <v>0</v>
      </c>
      <c r="V548" s="232">
        <v>0</v>
      </c>
      <c r="W548" s="862">
        <v>0</v>
      </c>
      <c r="X548" s="1288">
        <v>0</v>
      </c>
      <c r="Y548" s="1288">
        <v>0</v>
      </c>
      <c r="Z548" s="542">
        <v>0</v>
      </c>
      <c r="AA548" s="684">
        <v>0</v>
      </c>
      <c r="AB548" s="98" t="s">
        <v>84</v>
      </c>
      <c r="AC548" s="115" t="s">
        <v>13</v>
      </c>
      <c r="AD548" s="1278" t="s">
        <v>191</v>
      </c>
      <c r="AE548" s="1414" t="s">
        <v>92</v>
      </c>
      <c r="AF548" s="563">
        <v>1</v>
      </c>
      <c r="AG548" s="502" t="s">
        <v>224</v>
      </c>
      <c r="AH548" s="502" t="s">
        <v>983</v>
      </c>
    </row>
    <row r="549" spans="1:34" ht="25.5" outlineLevel="1" x14ac:dyDescent="0.25">
      <c r="A549" s="1189" t="s">
        <v>1301</v>
      </c>
      <c r="B549" s="831" t="s">
        <v>1411</v>
      </c>
      <c r="C549" s="1464" t="s">
        <v>1320</v>
      </c>
      <c r="D549" s="93" t="s">
        <v>1592</v>
      </c>
      <c r="E549" s="93" t="s">
        <v>658</v>
      </c>
      <c r="F549" s="93" t="s">
        <v>658</v>
      </c>
      <c r="G549" s="895">
        <v>2000</v>
      </c>
      <c r="H549" s="205">
        <v>0</v>
      </c>
      <c r="I549" s="893">
        <v>0</v>
      </c>
      <c r="J549" s="452">
        <v>845.79</v>
      </c>
      <c r="K549" s="1107">
        <v>0</v>
      </c>
      <c r="L549" s="893"/>
      <c r="M549" s="452">
        <v>845.79</v>
      </c>
      <c r="N549" s="756">
        <v>1154.21</v>
      </c>
      <c r="O549" s="838">
        <v>2000</v>
      </c>
      <c r="P549" s="855">
        <v>0</v>
      </c>
      <c r="Q549" s="612">
        <f t="shared" si="23"/>
        <v>2000</v>
      </c>
      <c r="R549" s="13">
        <v>0</v>
      </c>
      <c r="S549" s="108">
        <v>0</v>
      </c>
      <c r="T549" s="410">
        <v>0</v>
      </c>
      <c r="U549" s="238">
        <v>0</v>
      </c>
      <c r="V549" s="109">
        <v>0</v>
      </c>
      <c r="W549" s="451">
        <v>0</v>
      </c>
      <c r="X549" s="893">
        <v>0</v>
      </c>
      <c r="Y549" s="893">
        <v>0</v>
      </c>
      <c r="Z549" s="452">
        <v>0</v>
      </c>
      <c r="AA549" s="229">
        <v>0</v>
      </c>
      <c r="AB549" s="93" t="s">
        <v>84</v>
      </c>
      <c r="AC549" s="79" t="s">
        <v>13</v>
      </c>
      <c r="AD549" s="1413" t="s">
        <v>321</v>
      </c>
      <c r="AE549" s="545" t="s">
        <v>92</v>
      </c>
      <c r="AF549" s="1145">
        <v>1</v>
      </c>
      <c r="AG549" s="24" t="s">
        <v>224</v>
      </c>
      <c r="AH549" s="24" t="s">
        <v>983</v>
      </c>
    </row>
    <row r="550" spans="1:34" ht="25.5" outlineLevel="1" x14ac:dyDescent="0.25">
      <c r="A550" s="1905" t="s">
        <v>1302</v>
      </c>
      <c r="B550" s="1905" t="s">
        <v>1723</v>
      </c>
      <c r="C550" s="1906" t="s">
        <v>1303</v>
      </c>
      <c r="D550" s="223" t="s">
        <v>1592</v>
      </c>
      <c r="E550" s="655" t="s">
        <v>62</v>
      </c>
      <c r="F550" s="655" t="s">
        <v>62</v>
      </c>
      <c r="G550" s="1907">
        <f>2500-461.50032</f>
        <v>2038.4996799999999</v>
      </c>
      <c r="H550" s="1908">
        <v>0</v>
      </c>
      <c r="I550" s="758">
        <v>0</v>
      </c>
      <c r="J550" s="654">
        <v>0</v>
      </c>
      <c r="K550" s="1909">
        <v>2038.4996799999999</v>
      </c>
      <c r="L550" s="758">
        <v>0</v>
      </c>
      <c r="M550" s="654">
        <v>0</v>
      </c>
      <c r="N550" s="666">
        <v>2038.4996799999999</v>
      </c>
      <c r="O550" s="1910">
        <v>2500</v>
      </c>
      <c r="P550" s="1911">
        <v>-461.50031999999999</v>
      </c>
      <c r="Q550" s="719">
        <f t="shared" si="23"/>
        <v>2038.4996799999999</v>
      </c>
      <c r="R550" s="662">
        <v>0</v>
      </c>
      <c r="S550" s="1912">
        <v>0</v>
      </c>
      <c r="T550" s="660">
        <v>0</v>
      </c>
      <c r="U550" s="650">
        <v>0</v>
      </c>
      <c r="V550" s="651">
        <v>0</v>
      </c>
      <c r="W550" s="1913">
        <v>0</v>
      </c>
      <c r="X550" s="758">
        <v>0</v>
      </c>
      <c r="Y550" s="758">
        <v>0</v>
      </c>
      <c r="Z550" s="654">
        <v>0</v>
      </c>
      <c r="AA550" s="1914">
        <v>0</v>
      </c>
      <c r="AB550" s="655" t="s">
        <v>1705</v>
      </c>
      <c r="AC550" s="655" t="s">
        <v>186</v>
      </c>
      <c r="AD550" s="1915" t="s">
        <v>321</v>
      </c>
      <c r="AE550" s="1916" t="s">
        <v>92</v>
      </c>
      <c r="AF550" s="1138">
        <v>1</v>
      </c>
      <c r="AG550" s="773" t="s">
        <v>209</v>
      </c>
      <c r="AH550" s="773" t="s">
        <v>983</v>
      </c>
    </row>
    <row r="551" spans="1:34" ht="25.5" outlineLevel="1" x14ac:dyDescent="0.25">
      <c r="A551" s="1905" t="s">
        <v>1304</v>
      </c>
      <c r="B551" s="1905" t="s">
        <v>2073</v>
      </c>
      <c r="C551" s="1906" t="s">
        <v>1305</v>
      </c>
      <c r="D551" s="223" t="s">
        <v>1592</v>
      </c>
      <c r="E551" s="655" t="s">
        <v>326</v>
      </c>
      <c r="F551" s="655" t="s">
        <v>326</v>
      </c>
      <c r="G551" s="1907">
        <f>1600-80.42634</f>
        <v>1519.57366</v>
      </c>
      <c r="H551" s="1908">
        <v>0</v>
      </c>
      <c r="I551" s="758">
        <v>0</v>
      </c>
      <c r="J551" s="654">
        <v>0</v>
      </c>
      <c r="K551" s="1909">
        <v>1519.57366</v>
      </c>
      <c r="L551" s="758">
        <v>0</v>
      </c>
      <c r="M551" s="654">
        <v>0</v>
      </c>
      <c r="N551" s="666">
        <v>1519.57366</v>
      </c>
      <c r="O551" s="1910">
        <v>1600</v>
      </c>
      <c r="P551" s="1911">
        <v>-80.426339999999996</v>
      </c>
      <c r="Q551" s="719">
        <f t="shared" si="23"/>
        <v>1519.57366</v>
      </c>
      <c r="R551" s="662">
        <v>0</v>
      </c>
      <c r="S551" s="1912">
        <v>0</v>
      </c>
      <c r="T551" s="660">
        <v>0</v>
      </c>
      <c r="U551" s="650">
        <v>0</v>
      </c>
      <c r="V551" s="651">
        <v>0</v>
      </c>
      <c r="W551" s="1913">
        <v>0</v>
      </c>
      <c r="X551" s="758">
        <v>0</v>
      </c>
      <c r="Y551" s="758">
        <v>0</v>
      </c>
      <c r="Z551" s="654">
        <v>0</v>
      </c>
      <c r="AA551" s="1914">
        <v>0</v>
      </c>
      <c r="AB551" s="674" t="s">
        <v>1706</v>
      </c>
      <c r="AC551" s="655" t="s">
        <v>186</v>
      </c>
      <c r="AD551" s="1915" t="s">
        <v>321</v>
      </c>
      <c r="AE551" s="1916" t="s">
        <v>92</v>
      </c>
      <c r="AF551" s="1138">
        <v>1</v>
      </c>
      <c r="AG551" s="773" t="s">
        <v>217</v>
      </c>
      <c r="AH551" s="773" t="s">
        <v>983</v>
      </c>
    </row>
    <row r="552" spans="1:34" ht="25.5" outlineLevel="1" x14ac:dyDescent="0.25">
      <c r="A552" s="1190" t="s">
        <v>1306</v>
      </c>
      <c r="B552" s="802" t="s">
        <v>2071</v>
      </c>
      <c r="C552" s="1463" t="s">
        <v>1307</v>
      </c>
      <c r="D552" s="93" t="s">
        <v>1592</v>
      </c>
      <c r="E552" s="95" t="s">
        <v>326</v>
      </c>
      <c r="F552" s="95" t="s">
        <v>326</v>
      </c>
      <c r="G552" s="924">
        <v>2000</v>
      </c>
      <c r="H552" s="130">
        <v>0</v>
      </c>
      <c r="I552" s="752">
        <v>0</v>
      </c>
      <c r="J552" s="240">
        <v>0</v>
      </c>
      <c r="K552" s="950">
        <v>550.54999999999995</v>
      </c>
      <c r="L552" s="752">
        <v>0</v>
      </c>
      <c r="M552" s="240">
        <v>0</v>
      </c>
      <c r="N552" s="135">
        <v>2000</v>
      </c>
      <c r="O552" s="841">
        <v>2000</v>
      </c>
      <c r="P552" s="858">
        <v>0</v>
      </c>
      <c r="Q552" s="613">
        <f t="shared" si="23"/>
        <v>2000</v>
      </c>
      <c r="R552" s="11">
        <v>0</v>
      </c>
      <c r="S552" s="12">
        <v>0</v>
      </c>
      <c r="T552" s="408">
        <v>0</v>
      </c>
      <c r="U552" s="100">
        <v>0</v>
      </c>
      <c r="V552" s="113">
        <v>0</v>
      </c>
      <c r="W552" s="411">
        <v>0</v>
      </c>
      <c r="X552" s="752">
        <v>0</v>
      </c>
      <c r="Y552" s="752">
        <v>0</v>
      </c>
      <c r="Z552" s="240">
        <v>0</v>
      </c>
      <c r="AA552" s="327">
        <v>0</v>
      </c>
      <c r="AB552" s="95" t="s">
        <v>84</v>
      </c>
      <c r="AC552" s="111" t="s">
        <v>13</v>
      </c>
      <c r="AD552" s="1277" t="s">
        <v>191</v>
      </c>
      <c r="AE552" s="925" t="s">
        <v>92</v>
      </c>
      <c r="AF552" s="523">
        <v>1</v>
      </c>
      <c r="AG552" s="514" t="s">
        <v>217</v>
      </c>
      <c r="AH552" s="514" t="s">
        <v>983</v>
      </c>
    </row>
    <row r="553" spans="1:34" ht="25.5" outlineLevel="1" x14ac:dyDescent="0.25">
      <c r="A553" s="1190" t="s">
        <v>1308</v>
      </c>
      <c r="B553" s="802" t="s">
        <v>87</v>
      </c>
      <c r="C553" s="1463" t="s">
        <v>1309</v>
      </c>
      <c r="D553" s="93" t="s">
        <v>1592</v>
      </c>
      <c r="E553" s="95" t="s">
        <v>616</v>
      </c>
      <c r="F553" s="95" t="s">
        <v>616</v>
      </c>
      <c r="G553" s="924">
        <f>7056+500</f>
        <v>7556</v>
      </c>
      <c r="H553" s="130">
        <v>0</v>
      </c>
      <c r="I553" s="752">
        <v>0</v>
      </c>
      <c r="J553" s="240">
        <v>0</v>
      </c>
      <c r="K553" s="950">
        <v>0</v>
      </c>
      <c r="L553" s="752">
        <v>0</v>
      </c>
      <c r="M553" s="240">
        <v>0</v>
      </c>
      <c r="N553" s="135">
        <v>3056</v>
      </c>
      <c r="O553" s="841">
        <v>3056</v>
      </c>
      <c r="P553" s="858">
        <v>0</v>
      </c>
      <c r="Q553" s="613">
        <f t="shared" si="23"/>
        <v>3056</v>
      </c>
      <c r="R553" s="11">
        <v>4500</v>
      </c>
      <c r="S553" s="12">
        <v>0</v>
      </c>
      <c r="T553" s="408">
        <v>0</v>
      </c>
      <c r="U553" s="100">
        <v>0</v>
      </c>
      <c r="V553" s="113">
        <v>0</v>
      </c>
      <c r="W553" s="411">
        <v>0</v>
      </c>
      <c r="X553" s="752">
        <v>0</v>
      </c>
      <c r="Y553" s="752">
        <v>0</v>
      </c>
      <c r="Z553" s="240">
        <v>0</v>
      </c>
      <c r="AA553" s="327">
        <v>0</v>
      </c>
      <c r="AB553" s="95" t="s">
        <v>84</v>
      </c>
      <c r="AC553" s="111" t="s">
        <v>13</v>
      </c>
      <c r="AD553" s="1277" t="s">
        <v>561</v>
      </c>
      <c r="AE553" s="925" t="s">
        <v>92</v>
      </c>
      <c r="AF553" s="523">
        <v>1</v>
      </c>
      <c r="AG553" s="514" t="s">
        <v>210</v>
      </c>
      <c r="AH553" s="514" t="s">
        <v>983</v>
      </c>
    </row>
    <row r="554" spans="1:34" ht="25.5" outlineLevel="1" x14ac:dyDescent="0.25">
      <c r="A554" s="1190" t="s">
        <v>1310</v>
      </c>
      <c r="B554" s="802" t="s">
        <v>1596</v>
      </c>
      <c r="C554" s="1463" t="s">
        <v>1311</v>
      </c>
      <c r="D554" s="93" t="s">
        <v>1592</v>
      </c>
      <c r="E554" s="95" t="s">
        <v>323</v>
      </c>
      <c r="F554" s="95" t="s">
        <v>323</v>
      </c>
      <c r="G554" s="924">
        <f>1300+22.7689</f>
        <v>1322.7689</v>
      </c>
      <c r="H554" s="130">
        <v>0</v>
      </c>
      <c r="I554" s="752">
        <v>0</v>
      </c>
      <c r="J554" s="240">
        <v>1300</v>
      </c>
      <c r="K554" s="950">
        <v>22.768900000000002</v>
      </c>
      <c r="L554" s="752">
        <v>0</v>
      </c>
      <c r="M554" s="240">
        <v>1300</v>
      </c>
      <c r="N554" s="135">
        <v>22.768899999999999</v>
      </c>
      <c r="O554" s="841">
        <v>1322.7689</v>
      </c>
      <c r="P554" s="858">
        <v>0</v>
      </c>
      <c r="Q554" s="613">
        <f t="shared" si="23"/>
        <v>1322.7689</v>
      </c>
      <c r="R554" s="11">
        <v>0</v>
      </c>
      <c r="S554" s="12">
        <v>0</v>
      </c>
      <c r="T554" s="408">
        <v>0</v>
      </c>
      <c r="U554" s="100">
        <v>0</v>
      </c>
      <c r="V554" s="113">
        <v>0</v>
      </c>
      <c r="W554" s="411">
        <v>0</v>
      </c>
      <c r="X554" s="752">
        <v>0</v>
      </c>
      <c r="Y554" s="752">
        <v>0</v>
      </c>
      <c r="Z554" s="240">
        <v>0</v>
      </c>
      <c r="AA554" s="327">
        <v>0</v>
      </c>
      <c r="AB554" s="95" t="s">
        <v>84</v>
      </c>
      <c r="AC554" s="95" t="s">
        <v>186</v>
      </c>
      <c r="AD554" s="1277" t="s">
        <v>321</v>
      </c>
      <c r="AE554" s="925" t="s">
        <v>92</v>
      </c>
      <c r="AF554" s="523">
        <v>1</v>
      </c>
      <c r="AG554" s="514" t="s">
        <v>212</v>
      </c>
      <c r="AH554" s="514" t="s">
        <v>983</v>
      </c>
    </row>
    <row r="555" spans="1:34" ht="26.25" outlineLevel="1" thickBot="1" x14ac:dyDescent="0.3">
      <c r="A555" s="1473" t="s">
        <v>1312</v>
      </c>
      <c r="B555" s="832" t="s">
        <v>87</v>
      </c>
      <c r="C555" s="1465" t="s">
        <v>1313</v>
      </c>
      <c r="D555" s="98" t="s">
        <v>1592</v>
      </c>
      <c r="E555" s="98" t="s">
        <v>660</v>
      </c>
      <c r="F555" s="98" t="s">
        <v>660</v>
      </c>
      <c r="G555" s="1302">
        <v>4000</v>
      </c>
      <c r="H555" s="129">
        <v>0</v>
      </c>
      <c r="I555" s="1288">
        <v>0</v>
      </c>
      <c r="J555" s="542">
        <v>0</v>
      </c>
      <c r="K555" s="1166">
        <v>0</v>
      </c>
      <c r="L555" s="1288">
        <v>0</v>
      </c>
      <c r="M555" s="542">
        <v>0</v>
      </c>
      <c r="N555" s="137">
        <v>0</v>
      </c>
      <c r="O555" s="842">
        <v>0</v>
      </c>
      <c r="P555" s="1086">
        <v>0</v>
      </c>
      <c r="Q555" s="531">
        <f t="shared" si="23"/>
        <v>0</v>
      </c>
      <c r="R555" s="128">
        <v>4000</v>
      </c>
      <c r="S555" s="1312">
        <v>0</v>
      </c>
      <c r="T555" s="409">
        <v>0</v>
      </c>
      <c r="U555" s="237">
        <v>0</v>
      </c>
      <c r="V555" s="232">
        <v>0</v>
      </c>
      <c r="W555" s="862">
        <v>0</v>
      </c>
      <c r="X555" s="1288">
        <v>0</v>
      </c>
      <c r="Y555" s="1288">
        <v>0</v>
      </c>
      <c r="Z555" s="542">
        <v>0</v>
      </c>
      <c r="AA555" s="684">
        <v>0</v>
      </c>
      <c r="AB555" s="98" t="s">
        <v>84</v>
      </c>
      <c r="AC555" s="115" t="s">
        <v>11</v>
      </c>
      <c r="AD555" s="1278" t="s">
        <v>190</v>
      </c>
      <c r="AE555" s="1414" t="s">
        <v>91</v>
      </c>
      <c r="AF555" s="563">
        <v>1</v>
      </c>
      <c r="AG555" s="502" t="s">
        <v>204</v>
      </c>
      <c r="AH555" s="502" t="s">
        <v>983</v>
      </c>
    </row>
    <row r="556" spans="1:34" ht="25.5" outlineLevel="1" x14ac:dyDescent="0.25">
      <c r="A556" s="1189" t="s">
        <v>1340</v>
      </c>
      <c r="B556" s="831" t="s">
        <v>87</v>
      </c>
      <c r="C556" s="1464" t="s">
        <v>1341</v>
      </c>
      <c r="D556" s="93" t="s">
        <v>1603</v>
      </c>
      <c r="E556" s="93" t="s">
        <v>61</v>
      </c>
      <c r="F556" s="93" t="s">
        <v>61</v>
      </c>
      <c r="G556" s="895">
        <v>300</v>
      </c>
      <c r="H556" s="205">
        <v>0</v>
      </c>
      <c r="I556" s="893">
        <v>0</v>
      </c>
      <c r="J556" s="893">
        <v>0</v>
      </c>
      <c r="K556" s="756">
        <v>0</v>
      </c>
      <c r="L556" s="893">
        <v>0</v>
      </c>
      <c r="M556" s="452">
        <v>0</v>
      </c>
      <c r="N556" s="756">
        <v>300</v>
      </c>
      <c r="O556" s="838">
        <v>300</v>
      </c>
      <c r="P556" s="855">
        <v>0</v>
      </c>
      <c r="Q556" s="612">
        <f t="shared" si="23"/>
        <v>300</v>
      </c>
      <c r="R556" s="13">
        <v>0</v>
      </c>
      <c r="S556" s="108">
        <v>0</v>
      </c>
      <c r="T556" s="410">
        <v>0</v>
      </c>
      <c r="U556" s="238">
        <v>0</v>
      </c>
      <c r="V556" s="109">
        <v>0</v>
      </c>
      <c r="W556" s="451">
        <v>0</v>
      </c>
      <c r="X556" s="893">
        <v>0</v>
      </c>
      <c r="Y556" s="893">
        <v>0</v>
      </c>
      <c r="Z556" s="452">
        <v>0</v>
      </c>
      <c r="AA556" s="229">
        <v>0</v>
      </c>
      <c r="AB556" s="1671" t="s">
        <v>84</v>
      </c>
      <c r="AC556" s="79" t="s">
        <v>13</v>
      </c>
      <c r="AD556" s="1413" t="s">
        <v>191</v>
      </c>
      <c r="AE556" s="545" t="s">
        <v>92</v>
      </c>
      <c r="AF556" s="1145">
        <v>1</v>
      </c>
      <c r="AG556" s="24" t="s">
        <v>212</v>
      </c>
      <c r="AH556" s="24" t="s">
        <v>1342</v>
      </c>
    </row>
    <row r="557" spans="1:34" ht="25.5" outlineLevel="1" x14ac:dyDescent="0.25">
      <c r="A557" s="802" t="s">
        <v>1343</v>
      </c>
      <c r="B557" s="802" t="s">
        <v>87</v>
      </c>
      <c r="C557" s="1463" t="s">
        <v>1344</v>
      </c>
      <c r="D557" s="93" t="s">
        <v>1603</v>
      </c>
      <c r="E557" s="95" t="s">
        <v>61</v>
      </c>
      <c r="F557" s="95" t="s">
        <v>61</v>
      </c>
      <c r="G557" s="924">
        <v>1680</v>
      </c>
      <c r="H557" s="130">
        <v>0</v>
      </c>
      <c r="I557" s="752">
        <v>0</v>
      </c>
      <c r="J557" s="752">
        <v>0</v>
      </c>
      <c r="K557" s="135">
        <v>0</v>
      </c>
      <c r="L557" s="752">
        <v>0</v>
      </c>
      <c r="M557" s="240">
        <v>0</v>
      </c>
      <c r="N557" s="135">
        <v>1680</v>
      </c>
      <c r="O557" s="841">
        <v>1680</v>
      </c>
      <c r="P557" s="858">
        <v>0</v>
      </c>
      <c r="Q557" s="613">
        <f t="shared" si="23"/>
        <v>1680</v>
      </c>
      <c r="R557" s="11">
        <v>0</v>
      </c>
      <c r="S557" s="12">
        <v>0</v>
      </c>
      <c r="T557" s="408">
        <v>0</v>
      </c>
      <c r="U557" s="100">
        <v>0</v>
      </c>
      <c r="V557" s="113">
        <v>0</v>
      </c>
      <c r="W557" s="411">
        <v>0</v>
      </c>
      <c r="X557" s="752">
        <v>0</v>
      </c>
      <c r="Y557" s="752">
        <v>0</v>
      </c>
      <c r="Z557" s="240">
        <v>0</v>
      </c>
      <c r="AA557" s="327">
        <v>0</v>
      </c>
      <c r="AB557" s="1672" t="s">
        <v>84</v>
      </c>
      <c r="AC557" s="111" t="s">
        <v>13</v>
      </c>
      <c r="AD557" s="1277" t="s">
        <v>191</v>
      </c>
      <c r="AE557" s="925" t="s">
        <v>92</v>
      </c>
      <c r="AF557" s="523">
        <v>1</v>
      </c>
      <c r="AG557" s="514" t="s">
        <v>212</v>
      </c>
      <c r="AH557" s="514" t="s">
        <v>1342</v>
      </c>
    </row>
    <row r="558" spans="1:34" ht="26.25" outlineLevel="1" thickBot="1" x14ac:dyDescent="0.3">
      <c r="A558" s="832" t="s">
        <v>1345</v>
      </c>
      <c r="B558" s="832" t="s">
        <v>87</v>
      </c>
      <c r="C558" s="1465" t="s">
        <v>1346</v>
      </c>
      <c r="D558" s="98" t="s">
        <v>1603</v>
      </c>
      <c r="E558" s="98" t="s">
        <v>61</v>
      </c>
      <c r="F558" s="98" t="s">
        <v>61</v>
      </c>
      <c r="G558" s="1302">
        <v>1500</v>
      </c>
      <c r="H558" s="129">
        <v>0</v>
      </c>
      <c r="I558" s="1288">
        <v>0</v>
      </c>
      <c r="J558" s="1288">
        <v>0</v>
      </c>
      <c r="K558" s="137">
        <v>0</v>
      </c>
      <c r="L558" s="1288">
        <v>0</v>
      </c>
      <c r="M558" s="542">
        <v>0</v>
      </c>
      <c r="N558" s="137">
        <v>1500</v>
      </c>
      <c r="O558" s="842">
        <v>1500</v>
      </c>
      <c r="P558" s="1086">
        <v>0</v>
      </c>
      <c r="Q558" s="531">
        <f t="shared" si="23"/>
        <v>1500</v>
      </c>
      <c r="R558" s="128">
        <v>0</v>
      </c>
      <c r="S558" s="1312">
        <v>0</v>
      </c>
      <c r="T558" s="409">
        <v>0</v>
      </c>
      <c r="U558" s="237">
        <v>0</v>
      </c>
      <c r="V558" s="232">
        <v>0</v>
      </c>
      <c r="W558" s="862">
        <v>0</v>
      </c>
      <c r="X558" s="1288">
        <v>0</v>
      </c>
      <c r="Y558" s="1288">
        <v>0</v>
      </c>
      <c r="Z558" s="542">
        <v>0</v>
      </c>
      <c r="AA558" s="684">
        <v>0</v>
      </c>
      <c r="AB558" s="1682" t="s">
        <v>84</v>
      </c>
      <c r="AC558" s="115" t="s">
        <v>13</v>
      </c>
      <c r="AD558" s="1278" t="s">
        <v>191</v>
      </c>
      <c r="AE558" s="1414" t="s">
        <v>92</v>
      </c>
      <c r="AF558" s="563">
        <v>1</v>
      </c>
      <c r="AG558" s="502" t="s">
        <v>212</v>
      </c>
      <c r="AH558" s="502" t="s">
        <v>1342</v>
      </c>
    </row>
    <row r="559" spans="1:34" ht="25.5" outlineLevel="1" x14ac:dyDescent="0.25">
      <c r="A559" s="1543" t="s">
        <v>1436</v>
      </c>
      <c r="B559" s="750" t="s">
        <v>87</v>
      </c>
      <c r="C559" s="1565" t="s">
        <v>618</v>
      </c>
      <c r="D559" s="93" t="s">
        <v>1722</v>
      </c>
      <c r="E559" s="479" t="s">
        <v>64</v>
      </c>
      <c r="F559" s="479" t="s">
        <v>64</v>
      </c>
      <c r="G559" s="1566">
        <v>135</v>
      </c>
      <c r="H559" s="520">
        <v>0</v>
      </c>
      <c r="I559" s="1408">
        <v>0</v>
      </c>
      <c r="J559" s="1408">
        <v>0</v>
      </c>
      <c r="K559" s="757">
        <v>0</v>
      </c>
      <c r="L559" s="1408">
        <v>0</v>
      </c>
      <c r="M559" s="522">
        <v>0</v>
      </c>
      <c r="N559" s="757">
        <v>135</v>
      </c>
      <c r="O559" s="1581">
        <v>135</v>
      </c>
      <c r="P559" s="1576">
        <v>0</v>
      </c>
      <c r="Q559" s="613">
        <f t="shared" si="23"/>
        <v>135</v>
      </c>
      <c r="R559" s="71">
        <v>0</v>
      </c>
      <c r="S559" s="188">
        <v>0</v>
      </c>
      <c r="T559" s="765">
        <v>0</v>
      </c>
      <c r="U559" s="236">
        <v>0</v>
      </c>
      <c r="V559" s="149">
        <v>0</v>
      </c>
      <c r="W559" s="521">
        <v>0</v>
      </c>
      <c r="X559" s="1408">
        <v>0</v>
      </c>
      <c r="Y559" s="1408">
        <v>0</v>
      </c>
      <c r="Z559" s="522">
        <v>0</v>
      </c>
      <c r="AA559" s="62">
        <v>0</v>
      </c>
      <c r="AB559" s="1191" t="s">
        <v>84</v>
      </c>
      <c r="AC559" s="111" t="s">
        <v>13</v>
      </c>
      <c r="AD559" s="74" t="s">
        <v>191</v>
      </c>
      <c r="AE559" s="925" t="s">
        <v>92</v>
      </c>
      <c r="AF559" s="523">
        <v>1</v>
      </c>
      <c r="AG559" s="514" t="s">
        <v>215</v>
      </c>
      <c r="AH559" s="514" t="s">
        <v>1342</v>
      </c>
    </row>
    <row r="560" spans="1:34" ht="25.5" outlineLevel="1" x14ac:dyDescent="0.25">
      <c r="A560" s="802" t="s">
        <v>1437</v>
      </c>
      <c r="B560" s="802" t="s">
        <v>2091</v>
      </c>
      <c r="C560" s="1463" t="s">
        <v>1441</v>
      </c>
      <c r="D560" s="95" t="s">
        <v>1722</v>
      </c>
      <c r="E560" s="95" t="s">
        <v>80</v>
      </c>
      <c r="F560" s="95" t="s">
        <v>80</v>
      </c>
      <c r="G560" s="924">
        <v>1800</v>
      </c>
      <c r="H560" s="130">
        <v>0</v>
      </c>
      <c r="I560" s="411">
        <v>0</v>
      </c>
      <c r="J560" s="752">
        <v>0</v>
      </c>
      <c r="K560" s="135">
        <v>375.952</v>
      </c>
      <c r="L560" s="411">
        <v>0</v>
      </c>
      <c r="M560" s="752">
        <v>0</v>
      </c>
      <c r="N560" s="135">
        <v>800</v>
      </c>
      <c r="O560" s="841">
        <v>800</v>
      </c>
      <c r="P560" s="851">
        <v>0</v>
      </c>
      <c r="Q560" s="613">
        <f t="shared" ref="Q560:Q569" si="24">O560+P560</f>
        <v>800</v>
      </c>
      <c r="R560" s="11">
        <v>1000</v>
      </c>
      <c r="S560" s="11">
        <v>0</v>
      </c>
      <c r="T560" s="408">
        <v>0</v>
      </c>
      <c r="U560" s="100">
        <v>0</v>
      </c>
      <c r="V560" s="12">
        <v>0</v>
      </c>
      <c r="W560" s="411">
        <v>0</v>
      </c>
      <c r="X560" s="240">
        <v>0</v>
      </c>
      <c r="Y560" s="240">
        <v>0</v>
      </c>
      <c r="Z560" s="240">
        <v>0</v>
      </c>
      <c r="AA560" s="327">
        <v>0</v>
      </c>
      <c r="AB560" s="1539" t="s">
        <v>84</v>
      </c>
      <c r="AC560" s="111" t="s">
        <v>13</v>
      </c>
      <c r="AD560" s="74" t="s">
        <v>707</v>
      </c>
      <c r="AE560" s="925" t="s">
        <v>92</v>
      </c>
      <c r="AF560" s="523">
        <v>1</v>
      </c>
      <c r="AG560" s="514" t="s">
        <v>213</v>
      </c>
      <c r="AH560" s="514" t="s">
        <v>1342</v>
      </c>
    </row>
    <row r="561" spans="1:34" ht="25.5" outlineLevel="1" x14ac:dyDescent="0.25">
      <c r="A561" s="802" t="s">
        <v>1438</v>
      </c>
      <c r="B561" s="802" t="s">
        <v>87</v>
      </c>
      <c r="C561" s="1463" t="s">
        <v>1443</v>
      </c>
      <c r="D561" s="95" t="s">
        <v>1722</v>
      </c>
      <c r="E561" s="95" t="s">
        <v>80</v>
      </c>
      <c r="F561" s="95" t="s">
        <v>80</v>
      </c>
      <c r="G561" s="924">
        <v>1500</v>
      </c>
      <c r="H561" s="130">
        <v>0</v>
      </c>
      <c r="I561" s="411">
        <v>0</v>
      </c>
      <c r="J561" s="752">
        <v>0</v>
      </c>
      <c r="K561" s="135">
        <v>0</v>
      </c>
      <c r="L561" s="411">
        <v>0</v>
      </c>
      <c r="M561" s="752">
        <v>0</v>
      </c>
      <c r="N561" s="135">
        <v>1500</v>
      </c>
      <c r="O561" s="841">
        <v>1500</v>
      </c>
      <c r="P561" s="851">
        <v>0</v>
      </c>
      <c r="Q561" s="613">
        <f t="shared" si="24"/>
        <v>1500</v>
      </c>
      <c r="R561" s="11">
        <v>0</v>
      </c>
      <c r="S561" s="11">
        <v>0</v>
      </c>
      <c r="T561" s="408">
        <v>0</v>
      </c>
      <c r="U561" s="100">
        <v>0</v>
      </c>
      <c r="V561" s="12">
        <v>0</v>
      </c>
      <c r="W561" s="411">
        <v>0</v>
      </c>
      <c r="X561" s="240">
        <v>0</v>
      </c>
      <c r="Y561" s="240">
        <v>0</v>
      </c>
      <c r="Z561" s="240">
        <v>0</v>
      </c>
      <c r="AA561" s="327">
        <v>0</v>
      </c>
      <c r="AB561" s="1539" t="s">
        <v>84</v>
      </c>
      <c r="AC561" s="111" t="s">
        <v>13</v>
      </c>
      <c r="AD561" s="74" t="s">
        <v>191</v>
      </c>
      <c r="AE561" s="925" t="s">
        <v>92</v>
      </c>
      <c r="AF561" s="523">
        <v>1</v>
      </c>
      <c r="AG561" s="514" t="s">
        <v>213</v>
      </c>
      <c r="AH561" s="514" t="s">
        <v>1342</v>
      </c>
    </row>
    <row r="562" spans="1:34" ht="25.5" outlineLevel="1" x14ac:dyDescent="0.25">
      <c r="A562" s="1543" t="s">
        <v>1439</v>
      </c>
      <c r="B562" s="802" t="s">
        <v>87</v>
      </c>
      <c r="C562" s="1463" t="s">
        <v>1445</v>
      </c>
      <c r="D562" s="95" t="s">
        <v>1722</v>
      </c>
      <c r="E562" s="95" t="s">
        <v>80</v>
      </c>
      <c r="F562" s="95" t="s">
        <v>80</v>
      </c>
      <c r="G562" s="924">
        <v>1400</v>
      </c>
      <c r="H562" s="130">
        <v>0</v>
      </c>
      <c r="I562" s="411">
        <v>0</v>
      </c>
      <c r="J562" s="752">
        <v>0</v>
      </c>
      <c r="K562" s="135">
        <v>0</v>
      </c>
      <c r="L562" s="411">
        <v>0</v>
      </c>
      <c r="M562" s="752">
        <v>0</v>
      </c>
      <c r="N562" s="135">
        <v>1400</v>
      </c>
      <c r="O562" s="841">
        <v>1400</v>
      </c>
      <c r="P562" s="851">
        <v>0</v>
      </c>
      <c r="Q562" s="613">
        <f t="shared" si="24"/>
        <v>1400</v>
      </c>
      <c r="R562" s="11">
        <v>0</v>
      </c>
      <c r="S562" s="11">
        <v>0</v>
      </c>
      <c r="T562" s="408">
        <v>0</v>
      </c>
      <c r="U562" s="100">
        <v>0</v>
      </c>
      <c r="V562" s="12">
        <v>0</v>
      </c>
      <c r="W562" s="411">
        <v>0</v>
      </c>
      <c r="X562" s="240">
        <v>0</v>
      </c>
      <c r="Y562" s="240">
        <v>0</v>
      </c>
      <c r="Z562" s="240">
        <v>0</v>
      </c>
      <c r="AA562" s="327">
        <v>0</v>
      </c>
      <c r="AB562" s="1539" t="s">
        <v>84</v>
      </c>
      <c r="AC562" s="111" t="s">
        <v>13</v>
      </c>
      <c r="AD562" s="74" t="s">
        <v>191</v>
      </c>
      <c r="AE562" s="925" t="s">
        <v>92</v>
      </c>
      <c r="AF562" s="523">
        <v>1</v>
      </c>
      <c r="AG562" s="514" t="s">
        <v>213</v>
      </c>
      <c r="AH562" s="514" t="s">
        <v>1342</v>
      </c>
    </row>
    <row r="563" spans="1:34" ht="25.5" outlineLevel="1" x14ac:dyDescent="0.25">
      <c r="A563" s="802" t="s">
        <v>1440</v>
      </c>
      <c r="B563" s="802" t="s">
        <v>2092</v>
      </c>
      <c r="C563" s="1463" t="s">
        <v>1447</v>
      </c>
      <c r="D563" s="95" t="s">
        <v>1722</v>
      </c>
      <c r="E563" s="95" t="s">
        <v>80</v>
      </c>
      <c r="F563" s="95" t="s">
        <v>80</v>
      </c>
      <c r="G563" s="924">
        <v>800</v>
      </c>
      <c r="H563" s="130">
        <v>0</v>
      </c>
      <c r="I563" s="411">
        <v>0</v>
      </c>
      <c r="J563" s="752">
        <v>0</v>
      </c>
      <c r="K563" s="135">
        <v>717.47199999999998</v>
      </c>
      <c r="L563" s="411">
        <v>0</v>
      </c>
      <c r="M563" s="752">
        <v>0</v>
      </c>
      <c r="N563" s="135">
        <v>800</v>
      </c>
      <c r="O563" s="841">
        <v>800</v>
      </c>
      <c r="P563" s="851">
        <v>0</v>
      </c>
      <c r="Q563" s="613">
        <f t="shared" si="24"/>
        <v>800</v>
      </c>
      <c r="R563" s="11">
        <v>0</v>
      </c>
      <c r="S563" s="11">
        <v>0</v>
      </c>
      <c r="T563" s="408">
        <v>0</v>
      </c>
      <c r="U563" s="100">
        <v>0</v>
      </c>
      <c r="V563" s="12">
        <v>0</v>
      </c>
      <c r="W563" s="411">
        <v>0</v>
      </c>
      <c r="X563" s="240">
        <v>0</v>
      </c>
      <c r="Y563" s="240">
        <v>0</v>
      </c>
      <c r="Z563" s="240">
        <v>0</v>
      </c>
      <c r="AA563" s="327">
        <v>0</v>
      </c>
      <c r="AB563" s="1539" t="s">
        <v>84</v>
      </c>
      <c r="AC563" s="111" t="s">
        <v>13</v>
      </c>
      <c r="AD563" s="74" t="s">
        <v>191</v>
      </c>
      <c r="AE563" s="111" t="s">
        <v>92</v>
      </c>
      <c r="AF563" s="523">
        <v>1</v>
      </c>
      <c r="AG563" s="514" t="s">
        <v>213</v>
      </c>
      <c r="AH563" s="514" t="s">
        <v>1342</v>
      </c>
    </row>
    <row r="564" spans="1:34" ht="25.5" outlineLevel="1" x14ac:dyDescent="0.25">
      <c r="A564" s="1190" t="s">
        <v>1442</v>
      </c>
      <c r="B564" s="802" t="s">
        <v>2072</v>
      </c>
      <c r="C564" s="1463" t="s">
        <v>1449</v>
      </c>
      <c r="D564" s="93" t="s">
        <v>1722</v>
      </c>
      <c r="E564" s="95" t="s">
        <v>1042</v>
      </c>
      <c r="F564" s="95" t="s">
        <v>1042</v>
      </c>
      <c r="G564" s="924">
        <v>185</v>
      </c>
      <c r="H564" s="130">
        <v>0</v>
      </c>
      <c r="I564" s="411">
        <v>0</v>
      </c>
      <c r="J564" s="752">
        <v>0</v>
      </c>
      <c r="K564" s="135">
        <v>181.45760000000001</v>
      </c>
      <c r="L564" s="411">
        <v>0</v>
      </c>
      <c r="M564" s="752">
        <v>0</v>
      </c>
      <c r="N564" s="135">
        <v>185</v>
      </c>
      <c r="O564" s="841">
        <v>185</v>
      </c>
      <c r="P564" s="851">
        <v>0</v>
      </c>
      <c r="Q564" s="613">
        <f t="shared" si="24"/>
        <v>185</v>
      </c>
      <c r="R564" s="11">
        <v>0</v>
      </c>
      <c r="S564" s="11">
        <v>0</v>
      </c>
      <c r="T564" s="408">
        <v>0</v>
      </c>
      <c r="U564" s="100">
        <v>0</v>
      </c>
      <c r="V564" s="12">
        <v>0</v>
      </c>
      <c r="W564" s="411">
        <v>0</v>
      </c>
      <c r="X564" s="240">
        <v>0</v>
      </c>
      <c r="Y564" s="240">
        <v>0</v>
      </c>
      <c r="Z564" s="240">
        <v>0</v>
      </c>
      <c r="AA564" s="327">
        <v>0</v>
      </c>
      <c r="AB564" s="1539" t="s">
        <v>84</v>
      </c>
      <c r="AC564" s="111" t="s">
        <v>13</v>
      </c>
      <c r="AD564" s="74" t="s">
        <v>191</v>
      </c>
      <c r="AE564" s="111" t="s">
        <v>92</v>
      </c>
      <c r="AF564" s="523">
        <v>1</v>
      </c>
      <c r="AG564" s="514" t="s">
        <v>217</v>
      </c>
      <c r="AH564" s="514" t="s">
        <v>1342</v>
      </c>
    </row>
    <row r="565" spans="1:34" ht="45" outlineLevel="1" x14ac:dyDescent="0.25">
      <c r="A565" s="1849" t="s">
        <v>1444</v>
      </c>
      <c r="B565" s="1849" t="s">
        <v>87</v>
      </c>
      <c r="C565" s="1917" t="s">
        <v>1450</v>
      </c>
      <c r="D565" s="1228" t="s">
        <v>1722</v>
      </c>
      <c r="E565" s="1228" t="s">
        <v>328</v>
      </c>
      <c r="F565" s="1228" t="s">
        <v>328</v>
      </c>
      <c r="G565" s="1851">
        <v>17900</v>
      </c>
      <c r="H565" s="1918">
        <v>0</v>
      </c>
      <c r="I565" s="1853">
        <v>0</v>
      </c>
      <c r="J565" s="1867">
        <v>0</v>
      </c>
      <c r="K565" s="1868">
        <v>0</v>
      </c>
      <c r="L565" s="1853">
        <v>0</v>
      </c>
      <c r="M565" s="1867">
        <v>0</v>
      </c>
      <c r="N565" s="1868">
        <v>0</v>
      </c>
      <c r="O565" s="1859">
        <v>1000</v>
      </c>
      <c r="P565" s="1861">
        <v>-1000</v>
      </c>
      <c r="Q565" s="1861">
        <f t="shared" si="24"/>
        <v>0</v>
      </c>
      <c r="R565" s="1862">
        <v>10900</v>
      </c>
      <c r="S565" s="1862">
        <v>0</v>
      </c>
      <c r="T565" s="1864">
        <v>0</v>
      </c>
      <c r="U565" s="1865">
        <v>0</v>
      </c>
      <c r="V565" s="1919">
        <v>7000</v>
      </c>
      <c r="W565" s="1853">
        <v>0</v>
      </c>
      <c r="X565" s="1854">
        <v>0</v>
      </c>
      <c r="Y565" s="1854">
        <v>0</v>
      </c>
      <c r="Z565" s="1854">
        <v>0</v>
      </c>
      <c r="AA565" s="1920">
        <v>0</v>
      </c>
      <c r="AB565" s="2082" t="s">
        <v>1707</v>
      </c>
      <c r="AC565" s="1229" t="s">
        <v>11</v>
      </c>
      <c r="AD565" s="1921" t="s">
        <v>190</v>
      </c>
      <c r="AE565" s="1229" t="s">
        <v>91</v>
      </c>
      <c r="AF565" s="1542">
        <v>1</v>
      </c>
      <c r="AG565" s="1871" t="s">
        <v>210</v>
      </c>
      <c r="AH565" s="1871" t="s">
        <v>1451</v>
      </c>
    </row>
    <row r="566" spans="1:34" ht="25.5" outlineLevel="1" x14ac:dyDescent="0.25">
      <c r="A566" s="1190" t="s">
        <v>1446</v>
      </c>
      <c r="B566" s="802" t="s">
        <v>87</v>
      </c>
      <c r="C566" s="1463" t="s">
        <v>1452</v>
      </c>
      <c r="D566" s="95" t="s">
        <v>1722</v>
      </c>
      <c r="E566" s="95" t="s">
        <v>59</v>
      </c>
      <c r="F566" s="95" t="s">
        <v>59</v>
      </c>
      <c r="G566" s="924">
        <v>6300</v>
      </c>
      <c r="H566" s="130">
        <v>0</v>
      </c>
      <c r="I566" s="411">
        <v>0</v>
      </c>
      <c r="J566" s="752">
        <v>0</v>
      </c>
      <c r="K566" s="135">
        <v>0</v>
      </c>
      <c r="L566" s="411">
        <v>0</v>
      </c>
      <c r="M566" s="752">
        <v>0</v>
      </c>
      <c r="N566" s="135">
        <v>1500</v>
      </c>
      <c r="O566" s="841">
        <v>1500</v>
      </c>
      <c r="P566" s="851">
        <v>0</v>
      </c>
      <c r="Q566" s="613">
        <f t="shared" si="24"/>
        <v>1500</v>
      </c>
      <c r="R566" s="11">
        <v>4800</v>
      </c>
      <c r="S566" s="11">
        <v>0</v>
      </c>
      <c r="T566" s="408">
        <v>0</v>
      </c>
      <c r="U566" s="100">
        <v>0</v>
      </c>
      <c r="V566" s="12">
        <v>0</v>
      </c>
      <c r="W566" s="411">
        <v>0</v>
      </c>
      <c r="X566" s="240">
        <v>0</v>
      </c>
      <c r="Y566" s="240">
        <v>0</v>
      </c>
      <c r="Z566" s="240">
        <v>0</v>
      </c>
      <c r="AA566" s="327">
        <v>0</v>
      </c>
      <c r="AB566" s="1539" t="s">
        <v>84</v>
      </c>
      <c r="AC566" s="111" t="s">
        <v>9</v>
      </c>
      <c r="AD566" s="74" t="s">
        <v>321</v>
      </c>
      <c r="AE566" s="111" t="s">
        <v>91</v>
      </c>
      <c r="AF566" s="523">
        <v>1</v>
      </c>
      <c r="AG566" s="514" t="s">
        <v>208</v>
      </c>
      <c r="AH566" s="514" t="s">
        <v>1451</v>
      </c>
    </row>
    <row r="567" spans="1:34" ht="30.75" outlineLevel="1" thickBot="1" x14ac:dyDescent="0.3">
      <c r="A567" s="1824" t="s">
        <v>1448</v>
      </c>
      <c r="B567" s="1824" t="s">
        <v>2090</v>
      </c>
      <c r="C567" s="1922" t="s">
        <v>1453</v>
      </c>
      <c r="D567" s="643" t="s">
        <v>1722</v>
      </c>
      <c r="E567" s="643" t="s">
        <v>328</v>
      </c>
      <c r="F567" s="643" t="s">
        <v>328</v>
      </c>
      <c r="G567" s="1826">
        <f>1500+66.47</f>
        <v>1566.47</v>
      </c>
      <c r="H567" s="1923">
        <v>0</v>
      </c>
      <c r="I567" s="1828">
        <v>0</v>
      </c>
      <c r="J567" s="1841">
        <v>0</v>
      </c>
      <c r="K567" s="1924">
        <v>1500</v>
      </c>
      <c r="L567" s="1828">
        <v>0</v>
      </c>
      <c r="M567" s="1841">
        <v>0</v>
      </c>
      <c r="N567" s="1924">
        <v>1500</v>
      </c>
      <c r="O567" s="1833">
        <v>1500</v>
      </c>
      <c r="P567" s="1925">
        <v>0</v>
      </c>
      <c r="Q567" s="1835">
        <f t="shared" si="24"/>
        <v>1500</v>
      </c>
      <c r="R567" s="1836">
        <v>0</v>
      </c>
      <c r="S567" s="1836">
        <v>0</v>
      </c>
      <c r="T567" s="1838">
        <v>0</v>
      </c>
      <c r="U567" s="1839">
        <v>0</v>
      </c>
      <c r="V567" s="1926">
        <v>66.47</v>
      </c>
      <c r="W567" s="1828">
        <v>0</v>
      </c>
      <c r="X567" s="1829">
        <v>0</v>
      </c>
      <c r="Y567" s="1829">
        <v>0</v>
      </c>
      <c r="Z567" s="1829">
        <v>0</v>
      </c>
      <c r="AA567" s="1927">
        <v>0</v>
      </c>
      <c r="AB567" s="1928" t="s">
        <v>1708</v>
      </c>
      <c r="AC567" s="1842" t="s">
        <v>13</v>
      </c>
      <c r="AD567" s="1843" t="s">
        <v>321</v>
      </c>
      <c r="AE567" s="1844" t="s">
        <v>92</v>
      </c>
      <c r="AF567" s="1163">
        <v>1</v>
      </c>
      <c r="AG567" s="1845" t="s">
        <v>210</v>
      </c>
      <c r="AH567" s="1845" t="s">
        <v>1451</v>
      </c>
    </row>
    <row r="568" spans="1:34" ht="30" outlineLevel="1" x14ac:dyDescent="0.25">
      <c r="A568" s="1929" t="s">
        <v>1709</v>
      </c>
      <c r="B568" s="1929" t="s">
        <v>87</v>
      </c>
      <c r="C568" s="1930" t="s">
        <v>1710</v>
      </c>
      <c r="D568" s="197" t="s">
        <v>84</v>
      </c>
      <c r="E568" s="197" t="s">
        <v>499</v>
      </c>
      <c r="F568" s="197" t="s">
        <v>499</v>
      </c>
      <c r="G568" s="1931">
        <v>300</v>
      </c>
      <c r="H568" s="1932">
        <v>0</v>
      </c>
      <c r="I568" s="1933">
        <v>0</v>
      </c>
      <c r="J568" s="1934">
        <v>0</v>
      </c>
      <c r="K568" s="1935">
        <v>0</v>
      </c>
      <c r="L568" s="1933">
        <v>0</v>
      </c>
      <c r="M568" s="1934">
        <v>0</v>
      </c>
      <c r="N568" s="1935">
        <v>300</v>
      </c>
      <c r="O568" s="1936">
        <v>0</v>
      </c>
      <c r="P568" s="1937">
        <v>300</v>
      </c>
      <c r="Q568" s="1937">
        <f t="shared" si="24"/>
        <v>300</v>
      </c>
      <c r="R568" s="1938">
        <v>0</v>
      </c>
      <c r="S568" s="368">
        <v>0</v>
      </c>
      <c r="T568" s="1939">
        <v>0</v>
      </c>
      <c r="U568" s="363">
        <v>0</v>
      </c>
      <c r="V568" s="368">
        <v>0</v>
      </c>
      <c r="W568" s="1933">
        <v>0</v>
      </c>
      <c r="X568" s="1940">
        <v>0</v>
      </c>
      <c r="Y568" s="1940">
        <v>0</v>
      </c>
      <c r="Z568" s="1940">
        <v>0</v>
      </c>
      <c r="AA568" s="1941">
        <v>0</v>
      </c>
      <c r="AB568" s="1942" t="s">
        <v>1711</v>
      </c>
      <c r="AC568" s="644" t="s">
        <v>9</v>
      </c>
      <c r="AD568" s="1943" t="s">
        <v>191</v>
      </c>
      <c r="AE568" s="1944" t="s">
        <v>91</v>
      </c>
      <c r="AF568" s="1140">
        <v>1</v>
      </c>
      <c r="AG568" s="1945" t="s">
        <v>220</v>
      </c>
      <c r="AH568" s="1945" t="s">
        <v>1451</v>
      </c>
    </row>
    <row r="569" spans="1:34" ht="31.5" outlineLevel="1" x14ac:dyDescent="0.25">
      <c r="A569" s="1700" t="s">
        <v>1712</v>
      </c>
      <c r="B569" s="1700" t="s">
        <v>87</v>
      </c>
      <c r="C569" s="1946" t="s">
        <v>476</v>
      </c>
      <c r="D569" s="195" t="s">
        <v>84</v>
      </c>
      <c r="E569" s="195" t="s">
        <v>326</v>
      </c>
      <c r="F569" s="195" t="s">
        <v>326</v>
      </c>
      <c r="G569" s="1947">
        <v>2200</v>
      </c>
      <c r="H569" s="1948">
        <v>0</v>
      </c>
      <c r="I569" s="1949">
        <v>0</v>
      </c>
      <c r="J569" s="1950">
        <v>0</v>
      </c>
      <c r="K569" s="1951">
        <v>0</v>
      </c>
      <c r="L569" s="1949">
        <v>0</v>
      </c>
      <c r="M569" s="1950">
        <v>0</v>
      </c>
      <c r="N569" s="1951">
        <v>2200</v>
      </c>
      <c r="O569" s="1702">
        <v>0</v>
      </c>
      <c r="P569" s="1703">
        <v>2200</v>
      </c>
      <c r="Q569" s="1703">
        <f t="shared" si="24"/>
        <v>2200</v>
      </c>
      <c r="R569" s="272">
        <v>0</v>
      </c>
      <c r="S569" s="1952">
        <v>0</v>
      </c>
      <c r="T569" s="1953">
        <v>0</v>
      </c>
      <c r="U569" s="604">
        <v>0</v>
      </c>
      <c r="V569" s="1952">
        <v>0</v>
      </c>
      <c r="W569" s="1949">
        <v>0</v>
      </c>
      <c r="X569" s="1954">
        <v>0</v>
      </c>
      <c r="Y569" s="1954">
        <v>0</v>
      </c>
      <c r="Z569" s="1954">
        <v>0</v>
      </c>
      <c r="AA569" s="1955">
        <v>0</v>
      </c>
      <c r="AB569" s="212" t="s">
        <v>1713</v>
      </c>
      <c r="AC569" s="646" t="s">
        <v>9</v>
      </c>
      <c r="AD569" s="1706" t="s">
        <v>191</v>
      </c>
      <c r="AE569" s="1956" t="s">
        <v>91</v>
      </c>
      <c r="AF569" s="951">
        <v>1</v>
      </c>
      <c r="AG569" s="1701" t="s">
        <v>217</v>
      </c>
      <c r="AH569" s="1701" t="s">
        <v>1714</v>
      </c>
    </row>
    <row r="570" spans="1:34" ht="21.75" customHeight="1" outlineLevel="1" x14ac:dyDescent="0.25">
      <c r="A570" s="1190" t="s">
        <v>1715</v>
      </c>
      <c r="B570" s="1700" t="s">
        <v>87</v>
      </c>
      <c r="C570" s="1151" t="s">
        <v>1716</v>
      </c>
      <c r="D570" s="195" t="s">
        <v>84</v>
      </c>
      <c r="E570" s="195" t="s">
        <v>306</v>
      </c>
      <c r="F570" s="195" t="s">
        <v>306</v>
      </c>
      <c r="G570" s="1947">
        <v>1600</v>
      </c>
      <c r="H570" s="1948">
        <v>0</v>
      </c>
      <c r="I570" s="1949">
        <v>0</v>
      </c>
      <c r="J570" s="1950">
        <v>0</v>
      </c>
      <c r="K570" s="1951">
        <v>0</v>
      </c>
      <c r="L570" s="1949">
        <v>0</v>
      </c>
      <c r="M570" s="1950">
        <v>0</v>
      </c>
      <c r="N570" s="1951">
        <v>0</v>
      </c>
      <c r="O570" s="1702">
        <v>0</v>
      </c>
      <c r="P570" s="1703">
        <v>0</v>
      </c>
      <c r="Q570" s="1703">
        <v>0</v>
      </c>
      <c r="R570" s="272">
        <v>1600</v>
      </c>
      <c r="S570" s="1952">
        <v>0</v>
      </c>
      <c r="T570" s="1953">
        <v>0</v>
      </c>
      <c r="U570" s="604">
        <v>0</v>
      </c>
      <c r="V570" s="1952">
        <v>0</v>
      </c>
      <c r="W570" s="1949">
        <v>0</v>
      </c>
      <c r="X570" s="1954">
        <v>0</v>
      </c>
      <c r="Y570" s="1954">
        <v>0</v>
      </c>
      <c r="Z570" s="1954">
        <v>0</v>
      </c>
      <c r="AA570" s="1955">
        <v>0</v>
      </c>
      <c r="AB570" s="1957" t="s">
        <v>1717</v>
      </c>
      <c r="AC570" s="646" t="s">
        <v>11</v>
      </c>
      <c r="AD570" s="1706" t="s">
        <v>190</v>
      </c>
      <c r="AE570" s="1956" t="s">
        <v>91</v>
      </c>
      <c r="AF570" s="951">
        <v>1</v>
      </c>
      <c r="AG570" s="1701" t="s">
        <v>203</v>
      </c>
      <c r="AH570" s="1701" t="s">
        <v>1718</v>
      </c>
    </row>
    <row r="571" spans="1:34" ht="23.25" customHeight="1" outlineLevel="1" x14ac:dyDescent="0.25">
      <c r="A571" s="1700" t="s">
        <v>1719</v>
      </c>
      <c r="B571" s="1700" t="s">
        <v>87</v>
      </c>
      <c r="C571" s="1151" t="s">
        <v>1720</v>
      </c>
      <c r="D571" s="195" t="s">
        <v>84</v>
      </c>
      <c r="E571" s="195" t="s">
        <v>306</v>
      </c>
      <c r="F571" s="195" t="s">
        <v>306</v>
      </c>
      <c r="G571" s="1947">
        <v>1500</v>
      </c>
      <c r="H571" s="1948">
        <v>0</v>
      </c>
      <c r="I571" s="1949">
        <v>0</v>
      </c>
      <c r="J571" s="1950">
        <v>0</v>
      </c>
      <c r="K571" s="1951">
        <v>0</v>
      </c>
      <c r="L571" s="1949">
        <v>0</v>
      </c>
      <c r="M571" s="1950">
        <v>0</v>
      </c>
      <c r="N571" s="1951">
        <v>0</v>
      </c>
      <c r="O571" s="1702">
        <v>0</v>
      </c>
      <c r="P571" s="1703">
        <v>0</v>
      </c>
      <c r="Q571" s="1703">
        <v>0</v>
      </c>
      <c r="R571" s="272">
        <v>1500</v>
      </c>
      <c r="S571" s="1952">
        <v>0</v>
      </c>
      <c r="T571" s="1953">
        <v>0</v>
      </c>
      <c r="U571" s="604">
        <v>0</v>
      </c>
      <c r="V571" s="1952">
        <v>0</v>
      </c>
      <c r="W571" s="1949">
        <v>0</v>
      </c>
      <c r="X571" s="1954">
        <v>0</v>
      </c>
      <c r="Y571" s="1954">
        <v>0</v>
      </c>
      <c r="Z571" s="1954">
        <v>0</v>
      </c>
      <c r="AA571" s="1955">
        <v>0</v>
      </c>
      <c r="AB571" s="1957" t="s">
        <v>1721</v>
      </c>
      <c r="AC571" s="646" t="s">
        <v>11</v>
      </c>
      <c r="AD571" s="1706" t="s">
        <v>190</v>
      </c>
      <c r="AE571" s="1956" t="s">
        <v>91</v>
      </c>
      <c r="AF571" s="951">
        <v>1</v>
      </c>
      <c r="AG571" s="1701" t="s">
        <v>203</v>
      </c>
      <c r="AH571" s="1701" t="s">
        <v>1718</v>
      </c>
    </row>
    <row r="572" spans="1:34" ht="16.5" outlineLevel="1" thickBot="1" x14ac:dyDescent="0.3">
      <c r="A572" s="311" t="s">
        <v>96</v>
      </c>
      <c r="B572" s="311" t="s">
        <v>96</v>
      </c>
      <c r="C572" s="1153" t="s">
        <v>96</v>
      </c>
      <c r="D572" s="311" t="s">
        <v>96</v>
      </c>
      <c r="E572" s="311" t="s">
        <v>96</v>
      </c>
      <c r="F572" s="311" t="s">
        <v>96</v>
      </c>
      <c r="G572" s="311" t="s">
        <v>96</v>
      </c>
      <c r="H572" s="311" t="s">
        <v>96</v>
      </c>
      <c r="I572" s="1347" t="s">
        <v>96</v>
      </c>
      <c r="J572" s="1474" t="s">
        <v>96</v>
      </c>
      <c r="K572" s="486" t="s">
        <v>96</v>
      </c>
      <c r="L572" s="1347" t="s">
        <v>96</v>
      </c>
      <c r="M572" s="1348" t="s">
        <v>96</v>
      </c>
      <c r="N572" s="486" t="s">
        <v>96</v>
      </c>
      <c r="O572" s="311" t="s">
        <v>96</v>
      </c>
      <c r="P572" s="215" t="s">
        <v>96</v>
      </c>
      <c r="Q572" s="311" t="s">
        <v>96</v>
      </c>
      <c r="R572" s="311" t="s">
        <v>96</v>
      </c>
      <c r="S572" s="486" t="s">
        <v>96</v>
      </c>
      <c r="T572" s="1347" t="s">
        <v>96</v>
      </c>
      <c r="U572" s="1348" t="s">
        <v>96</v>
      </c>
      <c r="V572" s="486" t="s">
        <v>96</v>
      </c>
      <c r="W572" s="1347" t="s">
        <v>96</v>
      </c>
      <c r="X572" s="1348" t="s">
        <v>96</v>
      </c>
      <c r="Y572" s="1348" t="s">
        <v>96</v>
      </c>
      <c r="Z572" s="1348" t="s">
        <v>96</v>
      </c>
      <c r="AA572" s="86" t="s">
        <v>96</v>
      </c>
      <c r="AB572" s="98" t="s">
        <v>96</v>
      </c>
      <c r="AC572" s="337" t="s">
        <v>96</v>
      </c>
      <c r="AD572" s="1418" t="s">
        <v>96</v>
      </c>
      <c r="AE572" s="1418" t="s">
        <v>96</v>
      </c>
      <c r="AF572" s="337" t="s">
        <v>96</v>
      </c>
      <c r="AG572" s="337" t="s">
        <v>96</v>
      </c>
      <c r="AH572" s="337" t="s">
        <v>96</v>
      </c>
    </row>
    <row r="573" spans="1:34" s="1495" customFormat="1" ht="26.25" thickBot="1" x14ac:dyDescent="0.3">
      <c r="A573" s="1078" t="s">
        <v>104</v>
      </c>
      <c r="B573" s="1079"/>
      <c r="C573" s="1093"/>
      <c r="D573" s="38" t="s">
        <v>84</v>
      </c>
      <c r="E573" s="1493" t="s">
        <v>84</v>
      </c>
      <c r="F573" s="1493" t="s">
        <v>84</v>
      </c>
      <c r="G573" s="504">
        <f>SUM(G496:G572)</f>
        <v>628715.65486000001</v>
      </c>
      <c r="H573" s="504">
        <f t="shared" ref="H573:AA573" si="25">SUM(H496:H572)</f>
        <v>28981.834580000002</v>
      </c>
      <c r="I573" s="504">
        <f t="shared" si="25"/>
        <v>24407.32847</v>
      </c>
      <c r="J573" s="504">
        <f t="shared" si="25"/>
        <v>47879.191480000009</v>
      </c>
      <c r="K573" s="504">
        <v>16685.428899999999</v>
      </c>
      <c r="L573" s="504">
        <f t="shared" si="25"/>
        <v>24407.32847</v>
      </c>
      <c r="M573" s="504">
        <f t="shared" si="25"/>
        <v>47879.191480000009</v>
      </c>
      <c r="N573" s="504">
        <f t="shared" si="25"/>
        <v>96456.015509999997</v>
      </c>
      <c r="O573" s="504">
        <f t="shared" si="25"/>
        <v>187389.66331999996</v>
      </c>
      <c r="P573" s="504">
        <f t="shared" si="25"/>
        <v>-18647.127860000004</v>
      </c>
      <c r="Q573" s="504">
        <f t="shared" si="25"/>
        <v>168742.53546000001</v>
      </c>
      <c r="R573" s="504">
        <f t="shared" si="25"/>
        <v>382853.38499999995</v>
      </c>
      <c r="S573" s="504">
        <f t="shared" si="25"/>
        <v>7000</v>
      </c>
      <c r="T573" s="504">
        <f t="shared" si="25"/>
        <v>27720.37557</v>
      </c>
      <c r="U573" s="504">
        <f t="shared" si="25"/>
        <v>6351.0542500000001</v>
      </c>
      <c r="V573" s="504">
        <f t="shared" si="25"/>
        <v>7066.47</v>
      </c>
      <c r="W573" s="504">
        <f t="shared" si="25"/>
        <v>238045</v>
      </c>
      <c r="X573" s="504">
        <f t="shared" si="25"/>
        <v>3155.6150000000002</v>
      </c>
      <c r="Y573" s="504">
        <v>0</v>
      </c>
      <c r="Z573" s="504">
        <f t="shared" si="25"/>
        <v>8544</v>
      </c>
      <c r="AA573" s="504">
        <f t="shared" si="25"/>
        <v>226345.38500000001</v>
      </c>
      <c r="AB573" s="1389" t="s">
        <v>1668</v>
      </c>
      <c r="AC573" s="38" t="s">
        <v>84</v>
      </c>
      <c r="AD573" s="1496" t="s">
        <v>84</v>
      </c>
      <c r="AE573" s="41" t="s">
        <v>84</v>
      </c>
      <c r="AF573" s="41" t="s">
        <v>84</v>
      </c>
      <c r="AG573" s="1493" t="s">
        <v>84</v>
      </c>
      <c r="AH573" s="1493" t="s">
        <v>84</v>
      </c>
    </row>
    <row r="574" spans="1:34" ht="39" outlineLevel="1" thickBot="1" x14ac:dyDescent="0.3">
      <c r="A574" s="2125" t="s">
        <v>273</v>
      </c>
      <c r="B574" s="2148" t="s">
        <v>458</v>
      </c>
      <c r="C574" s="2155" t="s">
        <v>65</v>
      </c>
      <c r="D574" s="275" t="s">
        <v>1634</v>
      </c>
      <c r="E574" s="1127" t="s">
        <v>7</v>
      </c>
      <c r="F574" s="1127" t="s">
        <v>7</v>
      </c>
      <c r="G574" s="2127">
        <v>31100</v>
      </c>
      <c r="H574" s="2128">
        <v>4855.1123799999996</v>
      </c>
      <c r="I574" s="2129">
        <v>0</v>
      </c>
      <c r="J574" s="2130">
        <v>0</v>
      </c>
      <c r="K574" s="2130">
        <v>0</v>
      </c>
      <c r="L574" s="2132">
        <v>0</v>
      </c>
      <c r="M574" s="1516">
        <v>0</v>
      </c>
      <c r="N574" s="2131">
        <f>16245-0.11238</f>
        <v>16244.88762</v>
      </c>
      <c r="O574" s="1791">
        <v>26244.887620000001</v>
      </c>
      <c r="P574" s="1792">
        <v>-10000</v>
      </c>
      <c r="Q574" s="1792">
        <f>O574+P574</f>
        <v>16244.887620000001</v>
      </c>
      <c r="R574" s="2156">
        <v>10000</v>
      </c>
      <c r="S574" s="2156">
        <v>0</v>
      </c>
      <c r="T574" s="2132">
        <v>0</v>
      </c>
      <c r="U574" s="1516">
        <v>0</v>
      </c>
      <c r="V574" s="2134">
        <v>0</v>
      </c>
      <c r="W574" s="2046">
        <v>0</v>
      </c>
      <c r="X574" s="1541">
        <v>0</v>
      </c>
      <c r="Y574" s="1541">
        <v>0</v>
      </c>
      <c r="Z574" s="1541">
        <v>0</v>
      </c>
      <c r="AA574" s="2157">
        <v>0</v>
      </c>
      <c r="AB574" s="528" t="s">
        <v>1775</v>
      </c>
      <c r="AC574" s="275" t="s">
        <v>13</v>
      </c>
      <c r="AD574" s="577" t="s">
        <v>85</v>
      </c>
      <c r="AE574" s="577" t="s">
        <v>92</v>
      </c>
      <c r="AF574" s="577" t="s">
        <v>101</v>
      </c>
      <c r="AG574" s="1127" t="s">
        <v>87</v>
      </c>
      <c r="AH574" s="1127" t="s">
        <v>971</v>
      </c>
    </row>
    <row r="575" spans="1:34" ht="47.25" outlineLevel="1" x14ac:dyDescent="0.25">
      <c r="A575" s="1803" t="s">
        <v>274</v>
      </c>
      <c r="B575" s="1804" t="s">
        <v>459</v>
      </c>
      <c r="C575" s="2113" t="s">
        <v>8</v>
      </c>
      <c r="D575" s="219" t="s">
        <v>1635</v>
      </c>
      <c r="E575" s="383" t="s">
        <v>7</v>
      </c>
      <c r="F575" s="383" t="s">
        <v>7</v>
      </c>
      <c r="G575" s="248">
        <v>12253.684719999999</v>
      </c>
      <c r="H575" s="322">
        <v>1989.24</v>
      </c>
      <c r="I575" s="1687">
        <v>0</v>
      </c>
      <c r="J575" s="1688">
        <v>0</v>
      </c>
      <c r="K575" s="1688">
        <v>0</v>
      </c>
      <c r="L575" s="348">
        <v>0</v>
      </c>
      <c r="M575" s="2135">
        <v>0</v>
      </c>
      <c r="N575" s="1812">
        <f>4264+0.44472</f>
        <v>4264.4447200000004</v>
      </c>
      <c r="O575" s="421">
        <v>6264.4447199999995</v>
      </c>
      <c r="P575" s="1691">
        <v>-2000</v>
      </c>
      <c r="Q575" s="1691">
        <f>O575+P575</f>
        <v>4264.4447199999995</v>
      </c>
      <c r="R575" s="2158">
        <v>4000</v>
      </c>
      <c r="S575" s="467">
        <v>2000</v>
      </c>
      <c r="T575" s="348">
        <v>0</v>
      </c>
      <c r="U575" s="349">
        <v>0</v>
      </c>
      <c r="V575" s="1812">
        <v>0</v>
      </c>
      <c r="W575" s="2136">
        <v>0</v>
      </c>
      <c r="X575" s="1694">
        <v>0</v>
      </c>
      <c r="Y575" s="1694">
        <v>0</v>
      </c>
      <c r="Z575" s="1694">
        <v>0</v>
      </c>
      <c r="AA575" s="2138">
        <v>0</v>
      </c>
      <c r="AB575" s="468" t="s">
        <v>1776</v>
      </c>
      <c r="AC575" s="219" t="s">
        <v>13</v>
      </c>
      <c r="AD575" s="377" t="s">
        <v>85</v>
      </c>
      <c r="AE575" s="379" t="s">
        <v>92</v>
      </c>
      <c r="AF575" s="379" t="s">
        <v>101</v>
      </c>
      <c r="AG575" s="383" t="s">
        <v>87</v>
      </c>
      <c r="AH575" s="383" t="s">
        <v>971</v>
      </c>
    </row>
    <row r="576" spans="1:34" ht="16.5" outlineLevel="1" thickBot="1" x14ac:dyDescent="0.3">
      <c r="A576" s="84" t="s">
        <v>96</v>
      </c>
      <c r="B576" s="1066" t="s">
        <v>96</v>
      </c>
      <c r="C576" s="1094" t="s">
        <v>96</v>
      </c>
      <c r="D576" s="311" t="s">
        <v>96</v>
      </c>
      <c r="E576" s="611" t="s">
        <v>96</v>
      </c>
      <c r="F576" s="611" t="s">
        <v>96</v>
      </c>
      <c r="G576" s="492" t="s">
        <v>96</v>
      </c>
      <c r="H576" s="1650" t="s">
        <v>96</v>
      </c>
      <c r="I576" s="1651" t="s">
        <v>96</v>
      </c>
      <c r="J576" s="1652" t="s">
        <v>96</v>
      </c>
      <c r="K576" s="1652" t="s">
        <v>96</v>
      </c>
      <c r="L576" s="403" t="s">
        <v>96</v>
      </c>
      <c r="M576" s="333" t="s">
        <v>96</v>
      </c>
      <c r="N576" s="318" t="s">
        <v>96</v>
      </c>
      <c r="O576" s="215" t="s">
        <v>96</v>
      </c>
      <c r="P576" s="318" t="s">
        <v>96</v>
      </c>
      <c r="Q576" s="391" t="s">
        <v>96</v>
      </c>
      <c r="R576" s="215" t="s">
        <v>96</v>
      </c>
      <c r="S576" s="332" t="s">
        <v>96</v>
      </c>
      <c r="T576" s="388" t="s">
        <v>96</v>
      </c>
      <c r="U576" s="334" t="s">
        <v>96</v>
      </c>
      <c r="V576" s="332" t="s">
        <v>96</v>
      </c>
      <c r="W576" s="388" t="s">
        <v>96</v>
      </c>
      <c r="X576" s="336" t="s">
        <v>96</v>
      </c>
      <c r="Y576" s="336" t="s">
        <v>96</v>
      </c>
      <c r="Z576" s="336" t="s">
        <v>96</v>
      </c>
      <c r="AA576" s="318" t="s">
        <v>96</v>
      </c>
      <c r="AB576" s="215" t="s">
        <v>96</v>
      </c>
      <c r="AC576" s="311" t="s">
        <v>96</v>
      </c>
      <c r="AD576" s="90" t="s">
        <v>96</v>
      </c>
      <c r="AE576" s="84" t="s">
        <v>96</v>
      </c>
      <c r="AF576" s="84" t="s">
        <v>96</v>
      </c>
      <c r="AG576" s="611" t="s">
        <v>96</v>
      </c>
      <c r="AH576" s="611" t="s">
        <v>96</v>
      </c>
    </row>
    <row r="577" spans="1:34" s="1495" customFormat="1" ht="18.75" thickBot="1" x14ac:dyDescent="0.3">
      <c r="A577" s="1078" t="s">
        <v>198</v>
      </c>
      <c r="B577" s="1079"/>
      <c r="C577" s="1093"/>
      <c r="D577" s="38" t="s">
        <v>84</v>
      </c>
      <c r="E577" s="1493" t="s">
        <v>84</v>
      </c>
      <c r="F577" s="1493" t="s">
        <v>84</v>
      </c>
      <c r="G577" s="504">
        <f>SUM(G574:G576)</f>
        <v>43353.684719999997</v>
      </c>
      <c r="H577" s="504">
        <f t="shared" ref="H577:AA577" si="26">SUM(H574:H576)</f>
        <v>6844.3523799999994</v>
      </c>
      <c r="I577" s="504">
        <f t="shared" si="26"/>
        <v>0</v>
      </c>
      <c r="J577" s="504">
        <f t="shared" si="26"/>
        <v>0</v>
      </c>
      <c r="K577" s="504">
        <v>0</v>
      </c>
      <c r="L577" s="504">
        <f t="shared" si="26"/>
        <v>0</v>
      </c>
      <c r="M577" s="504">
        <f t="shared" si="26"/>
        <v>0</v>
      </c>
      <c r="N577" s="504">
        <f t="shared" si="26"/>
        <v>20509.332340000001</v>
      </c>
      <c r="O577" s="504">
        <f t="shared" si="26"/>
        <v>32509.332340000001</v>
      </c>
      <c r="P577" s="504">
        <f t="shared" si="26"/>
        <v>-12000</v>
      </c>
      <c r="Q577" s="504">
        <f t="shared" si="26"/>
        <v>20509.332340000001</v>
      </c>
      <c r="R577" s="504">
        <f t="shared" si="26"/>
        <v>14000</v>
      </c>
      <c r="S577" s="504">
        <f t="shared" si="26"/>
        <v>2000</v>
      </c>
      <c r="T577" s="504">
        <f t="shared" si="26"/>
        <v>0</v>
      </c>
      <c r="U577" s="504">
        <f t="shared" si="26"/>
        <v>0</v>
      </c>
      <c r="V577" s="504">
        <f t="shared" si="26"/>
        <v>0</v>
      </c>
      <c r="W577" s="504">
        <f t="shared" si="26"/>
        <v>0</v>
      </c>
      <c r="X577" s="504">
        <f t="shared" si="26"/>
        <v>0</v>
      </c>
      <c r="Y577" s="504">
        <v>0</v>
      </c>
      <c r="Z577" s="504">
        <f t="shared" si="26"/>
        <v>0</v>
      </c>
      <c r="AA577" s="504">
        <f t="shared" si="26"/>
        <v>0</v>
      </c>
      <c r="AB577" s="38" t="s">
        <v>1669</v>
      </c>
      <c r="AC577" s="40" t="s">
        <v>84</v>
      </c>
      <c r="AD577" s="1494" t="s">
        <v>84</v>
      </c>
      <c r="AE577" s="44" t="s">
        <v>84</v>
      </c>
      <c r="AF577" s="44" t="s">
        <v>84</v>
      </c>
      <c r="AG577" s="1485" t="s">
        <v>84</v>
      </c>
      <c r="AH577" s="1485" t="s">
        <v>84</v>
      </c>
    </row>
    <row r="578" spans="1:34" ht="26.25" outlineLevel="1" thickBot="1" x14ac:dyDescent="0.3">
      <c r="A578" s="1355" t="s">
        <v>275</v>
      </c>
      <c r="B578" s="866" t="s">
        <v>460</v>
      </c>
      <c r="C578" s="1958" t="s">
        <v>20</v>
      </c>
      <c r="D578" s="20" t="s">
        <v>1636</v>
      </c>
      <c r="E578" s="20" t="s">
        <v>19</v>
      </c>
      <c r="F578" s="1616" t="s">
        <v>19</v>
      </c>
      <c r="G578" s="1959">
        <v>3828.72</v>
      </c>
      <c r="H578" s="1960">
        <v>3690.95</v>
      </c>
      <c r="I578" s="1596">
        <v>0</v>
      </c>
      <c r="J578" s="1597">
        <v>0</v>
      </c>
      <c r="K578" s="1598">
        <v>0</v>
      </c>
      <c r="L578" s="874">
        <v>0</v>
      </c>
      <c r="M578" s="868">
        <v>0</v>
      </c>
      <c r="N578" s="1961">
        <f>138-0.23</f>
        <v>137.77000000000001</v>
      </c>
      <c r="O578" s="840">
        <v>137.76999999999998</v>
      </c>
      <c r="P578" s="850">
        <v>0</v>
      </c>
      <c r="Q578" s="533">
        <f t="shared" ref="Q578:Q590" si="27">O578+P578</f>
        <v>137.76999999999998</v>
      </c>
      <c r="R578" s="442">
        <v>0</v>
      </c>
      <c r="S578" s="442">
        <v>0</v>
      </c>
      <c r="T578" s="867">
        <v>0</v>
      </c>
      <c r="U578" s="868">
        <v>0</v>
      </c>
      <c r="V578" s="819">
        <v>0</v>
      </c>
      <c r="W578" s="1291">
        <v>0</v>
      </c>
      <c r="X578" s="874">
        <v>0</v>
      </c>
      <c r="Y578" s="874">
        <v>0</v>
      </c>
      <c r="Z578" s="874">
        <v>0</v>
      </c>
      <c r="AA578" s="819">
        <v>0</v>
      </c>
      <c r="AB578" s="246" t="s">
        <v>84</v>
      </c>
      <c r="AC578" s="20" t="s">
        <v>13</v>
      </c>
      <c r="AD578" s="387" t="s">
        <v>191</v>
      </c>
      <c r="AE578" s="433" t="s">
        <v>92</v>
      </c>
      <c r="AF578" s="387" t="s">
        <v>100</v>
      </c>
      <c r="AG578" s="158" t="s">
        <v>87</v>
      </c>
      <c r="AH578" s="158" t="s">
        <v>971</v>
      </c>
    </row>
    <row r="579" spans="1:34" ht="26.25" outlineLevel="1" thickBot="1" x14ac:dyDescent="0.3">
      <c r="A579" s="2616" t="s">
        <v>276</v>
      </c>
      <c r="B579" s="1256" t="s">
        <v>1724</v>
      </c>
      <c r="C579" s="2617" t="s">
        <v>329</v>
      </c>
      <c r="D579" s="677" t="s">
        <v>1637</v>
      </c>
      <c r="E579" s="1257" t="s">
        <v>19</v>
      </c>
      <c r="F579" s="2618" t="s">
        <v>19</v>
      </c>
      <c r="G579" s="1258">
        <v>226.27</v>
      </c>
      <c r="H579" s="2619">
        <v>0</v>
      </c>
      <c r="I579" s="2620">
        <v>0</v>
      </c>
      <c r="J579" s="2621">
        <v>0</v>
      </c>
      <c r="K579" s="2712">
        <v>226.27</v>
      </c>
      <c r="L579" s="1262">
        <v>0</v>
      </c>
      <c r="M579" s="2713">
        <v>0</v>
      </c>
      <c r="N579" s="2714">
        <v>226.27</v>
      </c>
      <c r="O579" s="1259">
        <v>700</v>
      </c>
      <c r="P579" s="1260">
        <v>-473.73</v>
      </c>
      <c r="Q579" s="1261">
        <f t="shared" si="27"/>
        <v>226.26999999999998</v>
      </c>
      <c r="R579" s="1965">
        <v>0</v>
      </c>
      <c r="S579" s="1965">
        <v>0</v>
      </c>
      <c r="T579" s="1966">
        <v>0</v>
      </c>
      <c r="U579" s="1964">
        <v>0</v>
      </c>
      <c r="V579" s="1967">
        <v>0</v>
      </c>
      <c r="W579" s="1968">
        <v>0</v>
      </c>
      <c r="X579" s="1963">
        <v>0</v>
      </c>
      <c r="Y579" s="1963">
        <v>0</v>
      </c>
      <c r="Z579" s="1963">
        <v>0</v>
      </c>
      <c r="AA579" s="1967">
        <v>0</v>
      </c>
      <c r="AB579" s="2306" t="s">
        <v>1725</v>
      </c>
      <c r="AC579" s="677" t="s">
        <v>95</v>
      </c>
      <c r="AD579" s="1969" t="s">
        <v>706</v>
      </c>
      <c r="AE579" s="289" t="s">
        <v>92</v>
      </c>
      <c r="AF579" s="1969" t="s">
        <v>103</v>
      </c>
      <c r="AG579" s="1962" t="s">
        <v>87</v>
      </c>
      <c r="AH579" s="1962" t="s">
        <v>971</v>
      </c>
    </row>
    <row r="580" spans="1:34" s="657" customFormat="1" ht="31.5" outlineLevel="1" x14ac:dyDescent="0.25">
      <c r="A580" s="1534" t="s">
        <v>293</v>
      </c>
      <c r="B580" s="1194" t="s">
        <v>1169</v>
      </c>
      <c r="C580" s="1327" t="s">
        <v>294</v>
      </c>
      <c r="D580" s="501" t="s">
        <v>1612</v>
      </c>
      <c r="E580" s="503" t="s">
        <v>18</v>
      </c>
      <c r="F580" s="1654" t="s">
        <v>18</v>
      </c>
      <c r="G580" s="480">
        <v>567</v>
      </c>
      <c r="H580" s="1970">
        <v>0</v>
      </c>
      <c r="I580" s="1582">
        <v>195</v>
      </c>
      <c r="J580" s="1673">
        <v>0</v>
      </c>
      <c r="K580" s="1619">
        <v>0</v>
      </c>
      <c r="L580" s="800">
        <v>195</v>
      </c>
      <c r="M580" s="1540">
        <v>0</v>
      </c>
      <c r="N580" s="1667">
        <v>372</v>
      </c>
      <c r="O580" s="837">
        <v>567</v>
      </c>
      <c r="P580" s="853">
        <v>0</v>
      </c>
      <c r="Q580" s="534">
        <f t="shared" si="27"/>
        <v>567</v>
      </c>
      <c r="R580" s="443">
        <v>0</v>
      </c>
      <c r="S580" s="443">
        <v>0</v>
      </c>
      <c r="T580" s="1285">
        <v>0</v>
      </c>
      <c r="U580" s="801">
        <v>0</v>
      </c>
      <c r="V580" s="746">
        <v>0</v>
      </c>
      <c r="W580" s="1535">
        <v>0</v>
      </c>
      <c r="X580" s="800">
        <v>0</v>
      </c>
      <c r="Y580" s="800">
        <v>0</v>
      </c>
      <c r="Z580" s="800">
        <v>0</v>
      </c>
      <c r="AA580" s="746">
        <v>0</v>
      </c>
      <c r="AB580" s="87" t="s">
        <v>84</v>
      </c>
      <c r="AC580" s="501" t="s">
        <v>13</v>
      </c>
      <c r="AD580" s="45" t="s">
        <v>321</v>
      </c>
      <c r="AE580" s="45" t="s">
        <v>91</v>
      </c>
      <c r="AF580" s="45" t="s">
        <v>101</v>
      </c>
      <c r="AG580" s="503" t="s">
        <v>295</v>
      </c>
      <c r="AH580" s="503" t="s">
        <v>971</v>
      </c>
    </row>
    <row r="581" spans="1:34" ht="38.25" outlineLevel="1" x14ac:dyDescent="0.25">
      <c r="A581" s="1971" t="s">
        <v>296</v>
      </c>
      <c r="B581" s="1684" t="s">
        <v>87</v>
      </c>
      <c r="C581" s="1972" t="s">
        <v>297</v>
      </c>
      <c r="D581" s="220" t="s">
        <v>1612</v>
      </c>
      <c r="E581" s="1686" t="s">
        <v>18</v>
      </c>
      <c r="F581" s="1973" t="s">
        <v>18</v>
      </c>
      <c r="G581" s="251">
        <v>115</v>
      </c>
      <c r="H581" s="1974">
        <v>0</v>
      </c>
      <c r="I581" s="1975">
        <v>0</v>
      </c>
      <c r="J581" s="1976">
        <v>0</v>
      </c>
      <c r="K581" s="1977">
        <v>0</v>
      </c>
      <c r="L581" s="1695">
        <v>0</v>
      </c>
      <c r="M581" s="1728">
        <v>0</v>
      </c>
      <c r="N581" s="1978">
        <v>0</v>
      </c>
      <c r="O581" s="1726">
        <v>115</v>
      </c>
      <c r="P581" s="1692">
        <v>-115</v>
      </c>
      <c r="Q581" s="1692">
        <f t="shared" si="27"/>
        <v>0</v>
      </c>
      <c r="R581" s="1726">
        <v>115</v>
      </c>
      <c r="S581" s="1726">
        <v>0</v>
      </c>
      <c r="T581" s="1693">
        <v>0</v>
      </c>
      <c r="U581" s="1728">
        <v>0</v>
      </c>
      <c r="V581" s="1696">
        <v>0</v>
      </c>
      <c r="W581" s="1979">
        <v>0</v>
      </c>
      <c r="X581" s="1695">
        <v>0</v>
      </c>
      <c r="Y581" s="1695">
        <v>0</v>
      </c>
      <c r="Z581" s="1695">
        <v>0</v>
      </c>
      <c r="AA581" s="1696">
        <v>0</v>
      </c>
      <c r="AB581" s="264" t="s">
        <v>1726</v>
      </c>
      <c r="AC581" s="220" t="s">
        <v>11</v>
      </c>
      <c r="AD581" s="252" t="s">
        <v>190</v>
      </c>
      <c r="AE581" s="252" t="s">
        <v>91</v>
      </c>
      <c r="AF581" s="252" t="s">
        <v>100</v>
      </c>
      <c r="AG581" s="1686" t="s">
        <v>298</v>
      </c>
      <c r="AH581" s="1686" t="s">
        <v>971</v>
      </c>
    </row>
    <row r="582" spans="1:34" s="657" customFormat="1" ht="26.25" outlineLevel="1" thickBot="1" x14ac:dyDescent="0.3">
      <c r="A582" s="2690" t="s">
        <v>299</v>
      </c>
      <c r="B582" s="56" t="s">
        <v>1168</v>
      </c>
      <c r="C582" s="1668" t="s">
        <v>300</v>
      </c>
      <c r="D582" s="98" t="s">
        <v>1612</v>
      </c>
      <c r="E582" s="502" t="s">
        <v>7</v>
      </c>
      <c r="F582" s="1612" t="s">
        <v>18</v>
      </c>
      <c r="G582" s="15">
        <v>294</v>
      </c>
      <c r="H582" s="2691">
        <v>0</v>
      </c>
      <c r="I582" s="1600">
        <v>80</v>
      </c>
      <c r="J582" s="2692">
        <v>193.37615</v>
      </c>
      <c r="K582" s="1602">
        <v>0</v>
      </c>
      <c r="L582" s="697">
        <f>100-20</f>
        <v>80</v>
      </c>
      <c r="M582" s="880">
        <f>194+20-20.62385</f>
        <v>193.37615</v>
      </c>
      <c r="N582" s="1295">
        <f>0+20.62385</f>
        <v>20.623850000000001</v>
      </c>
      <c r="O582" s="842">
        <v>294</v>
      </c>
      <c r="P582" s="825">
        <v>0</v>
      </c>
      <c r="Q582" s="531">
        <f t="shared" si="27"/>
        <v>294</v>
      </c>
      <c r="R582" s="391">
        <v>0</v>
      </c>
      <c r="S582" s="391">
        <v>0</v>
      </c>
      <c r="T582" s="870">
        <v>0</v>
      </c>
      <c r="U582" s="880">
        <v>0</v>
      </c>
      <c r="V582" s="217">
        <v>0</v>
      </c>
      <c r="W582" s="2693">
        <v>0</v>
      </c>
      <c r="X582" s="697">
        <v>0</v>
      </c>
      <c r="Y582" s="697">
        <v>0</v>
      </c>
      <c r="Z582" s="697">
        <v>0</v>
      </c>
      <c r="AA582" s="217">
        <v>0</v>
      </c>
      <c r="AB582" s="88" t="s">
        <v>1727</v>
      </c>
      <c r="AC582" s="98" t="s">
        <v>186</v>
      </c>
      <c r="AD582" s="58" t="s">
        <v>191</v>
      </c>
      <c r="AE582" s="58" t="s">
        <v>92</v>
      </c>
      <c r="AF582" s="58" t="s">
        <v>101</v>
      </c>
      <c r="AG582" s="502" t="s">
        <v>301</v>
      </c>
      <c r="AH582" s="502" t="s">
        <v>971</v>
      </c>
    </row>
    <row r="583" spans="1:34" ht="26.25" outlineLevel="1" thickBot="1" x14ac:dyDescent="0.3">
      <c r="A583" s="1980" t="s">
        <v>330</v>
      </c>
      <c r="B583" s="1981" t="s">
        <v>467</v>
      </c>
      <c r="C583" s="1982" t="s">
        <v>331</v>
      </c>
      <c r="D583" s="427" t="s">
        <v>1614</v>
      </c>
      <c r="E583" s="1983" t="s">
        <v>18</v>
      </c>
      <c r="F583" s="1984" t="s">
        <v>18</v>
      </c>
      <c r="G583" s="392">
        <v>500</v>
      </c>
      <c r="H583" s="1985">
        <v>31.883500000000002</v>
      </c>
      <c r="I583" s="1986">
        <v>0</v>
      </c>
      <c r="J583" s="1987">
        <v>0</v>
      </c>
      <c r="K583" s="1988">
        <v>0</v>
      </c>
      <c r="L583" s="1989">
        <v>0</v>
      </c>
      <c r="M583" s="1990">
        <v>0</v>
      </c>
      <c r="N583" s="1991">
        <v>0</v>
      </c>
      <c r="O583" s="1992">
        <v>468.11649999999997</v>
      </c>
      <c r="P583" s="1993">
        <v>-468.11649999999997</v>
      </c>
      <c r="Q583" s="1993">
        <f t="shared" si="27"/>
        <v>0</v>
      </c>
      <c r="R583" s="1992">
        <v>468.11649999999997</v>
      </c>
      <c r="S583" s="1992">
        <v>0</v>
      </c>
      <c r="T583" s="1994">
        <v>0</v>
      </c>
      <c r="U583" s="1990">
        <v>0</v>
      </c>
      <c r="V583" s="1995">
        <v>0</v>
      </c>
      <c r="W583" s="1996">
        <v>0</v>
      </c>
      <c r="X583" s="1989">
        <v>0</v>
      </c>
      <c r="Y583" s="1989">
        <v>0</v>
      </c>
      <c r="Z583" s="1989">
        <v>0</v>
      </c>
      <c r="AA583" s="1995">
        <v>0</v>
      </c>
      <c r="AB583" s="711" t="s">
        <v>1728</v>
      </c>
      <c r="AC583" s="427" t="s">
        <v>11</v>
      </c>
      <c r="AD583" s="570" t="s">
        <v>1023</v>
      </c>
      <c r="AE583" s="570" t="s">
        <v>91</v>
      </c>
      <c r="AF583" s="570" t="s">
        <v>103</v>
      </c>
      <c r="AG583" s="1983" t="s">
        <v>796</v>
      </c>
      <c r="AH583" s="1983" t="s">
        <v>972</v>
      </c>
    </row>
    <row r="584" spans="1:34" ht="26.25" outlineLevel="1" thickBot="1" x14ac:dyDescent="0.3">
      <c r="A584" s="1355" t="s">
        <v>368</v>
      </c>
      <c r="B584" s="866" t="s">
        <v>87</v>
      </c>
      <c r="C584" s="1958" t="s">
        <v>369</v>
      </c>
      <c r="D584" s="20" t="s">
        <v>1615</v>
      </c>
      <c r="E584" s="158" t="s">
        <v>18</v>
      </c>
      <c r="F584" s="1616" t="s">
        <v>18</v>
      </c>
      <c r="G584" s="59">
        <v>5600</v>
      </c>
      <c r="H584" s="1997">
        <v>0</v>
      </c>
      <c r="I584" s="1596">
        <v>0</v>
      </c>
      <c r="J584" s="1597">
        <v>0</v>
      </c>
      <c r="K584" s="1598">
        <v>0</v>
      </c>
      <c r="L584" s="874">
        <v>0</v>
      </c>
      <c r="M584" s="963">
        <v>0</v>
      </c>
      <c r="N584" s="1286">
        <v>1600</v>
      </c>
      <c r="O584" s="840">
        <v>1600</v>
      </c>
      <c r="P584" s="850">
        <v>0</v>
      </c>
      <c r="Q584" s="533">
        <f t="shared" si="27"/>
        <v>1600</v>
      </c>
      <c r="R584" s="442">
        <v>4000</v>
      </c>
      <c r="S584" s="442">
        <v>0</v>
      </c>
      <c r="T584" s="867">
        <v>0</v>
      </c>
      <c r="U584" s="868">
        <v>0</v>
      </c>
      <c r="V584" s="819">
        <v>0</v>
      </c>
      <c r="W584" s="1291">
        <v>0</v>
      </c>
      <c r="X584" s="874">
        <v>0</v>
      </c>
      <c r="Y584" s="874">
        <v>0</v>
      </c>
      <c r="Z584" s="874">
        <v>0</v>
      </c>
      <c r="AA584" s="819">
        <v>0</v>
      </c>
      <c r="AB584" s="246" t="s">
        <v>84</v>
      </c>
      <c r="AC584" s="20" t="s">
        <v>13</v>
      </c>
      <c r="AD584" s="387" t="s">
        <v>321</v>
      </c>
      <c r="AE584" s="387" t="s">
        <v>91</v>
      </c>
      <c r="AF584" s="387" t="s">
        <v>100</v>
      </c>
      <c r="AG584" s="158" t="s">
        <v>87</v>
      </c>
      <c r="AH584" s="158" t="s">
        <v>971</v>
      </c>
    </row>
    <row r="585" spans="1:34" ht="25.5" outlineLevel="1" x14ac:dyDescent="0.25">
      <c r="A585" s="1421" t="s">
        <v>630</v>
      </c>
      <c r="B585" s="804" t="s">
        <v>87</v>
      </c>
      <c r="C585" s="1327" t="s">
        <v>631</v>
      </c>
      <c r="D585" s="501" t="s">
        <v>1729</v>
      </c>
      <c r="E585" s="501" t="s">
        <v>19</v>
      </c>
      <c r="F585" s="438" t="s">
        <v>19</v>
      </c>
      <c r="G585" s="538">
        <v>1200</v>
      </c>
      <c r="H585" s="1998">
        <v>0</v>
      </c>
      <c r="I585" s="1450">
        <v>0</v>
      </c>
      <c r="J585" s="1451">
        <v>0</v>
      </c>
      <c r="K585" s="1452">
        <v>0</v>
      </c>
      <c r="L585" s="1453">
        <v>0</v>
      </c>
      <c r="M585" s="1451">
        <v>0</v>
      </c>
      <c r="N585" s="1999">
        <v>1200</v>
      </c>
      <c r="O585" s="837">
        <v>1200</v>
      </c>
      <c r="P585" s="853">
        <v>0</v>
      </c>
      <c r="Q585" s="1445">
        <f t="shared" si="27"/>
        <v>1200</v>
      </c>
      <c r="R585" s="1423">
        <v>0</v>
      </c>
      <c r="S585" s="1423">
        <v>0</v>
      </c>
      <c r="T585" s="1450">
        <v>0</v>
      </c>
      <c r="U585" s="1451">
        <v>0</v>
      </c>
      <c r="V585" s="1452">
        <v>0</v>
      </c>
      <c r="W585" s="1450">
        <v>0</v>
      </c>
      <c r="X585" s="1451">
        <v>0</v>
      </c>
      <c r="Y585" s="1451">
        <v>0</v>
      </c>
      <c r="Z585" s="1451">
        <v>0</v>
      </c>
      <c r="AA585" s="1452">
        <v>0</v>
      </c>
      <c r="AB585" s="87" t="s">
        <v>84</v>
      </c>
      <c r="AC585" s="501" t="s">
        <v>13</v>
      </c>
      <c r="AD585" s="45" t="s">
        <v>191</v>
      </c>
      <c r="AE585" s="501" t="s">
        <v>91</v>
      </c>
      <c r="AF585" s="501">
        <v>3</v>
      </c>
      <c r="AG585" s="501" t="s">
        <v>87</v>
      </c>
      <c r="AH585" s="501" t="s">
        <v>973</v>
      </c>
    </row>
    <row r="586" spans="1:34" ht="26.25" outlineLevel="1" thickBot="1" x14ac:dyDescent="0.3">
      <c r="A586" s="2000" t="s">
        <v>632</v>
      </c>
      <c r="B586" s="2001" t="s">
        <v>87</v>
      </c>
      <c r="C586" s="1982" t="s">
        <v>633</v>
      </c>
      <c r="D586" s="427" t="s">
        <v>1617</v>
      </c>
      <c r="E586" s="427" t="s">
        <v>7</v>
      </c>
      <c r="F586" s="569" t="s">
        <v>7</v>
      </c>
      <c r="G586" s="1993">
        <v>100</v>
      </c>
      <c r="H586" s="2002">
        <v>0</v>
      </c>
      <c r="I586" s="2003">
        <v>0</v>
      </c>
      <c r="J586" s="2004">
        <v>0</v>
      </c>
      <c r="K586" s="2005">
        <v>0</v>
      </c>
      <c r="L586" s="2006">
        <v>0</v>
      </c>
      <c r="M586" s="2622">
        <v>0</v>
      </c>
      <c r="N586" s="2007">
        <v>0</v>
      </c>
      <c r="O586" s="1992">
        <v>80</v>
      </c>
      <c r="P586" s="1993">
        <v>-80</v>
      </c>
      <c r="Q586" s="2008">
        <f t="shared" si="27"/>
        <v>0</v>
      </c>
      <c r="R586" s="2009">
        <v>100</v>
      </c>
      <c r="S586" s="2009">
        <v>0</v>
      </c>
      <c r="T586" s="2003">
        <v>0</v>
      </c>
      <c r="U586" s="2004">
        <v>0</v>
      </c>
      <c r="V586" s="2005">
        <v>0</v>
      </c>
      <c r="W586" s="2003">
        <v>0</v>
      </c>
      <c r="X586" s="2004">
        <v>0</v>
      </c>
      <c r="Y586" s="2004">
        <v>0</v>
      </c>
      <c r="Z586" s="2004">
        <v>0</v>
      </c>
      <c r="AA586" s="2005">
        <v>0</v>
      </c>
      <c r="AB586" s="711" t="s">
        <v>1730</v>
      </c>
      <c r="AC586" s="427" t="s">
        <v>11</v>
      </c>
      <c r="AD586" s="570" t="s">
        <v>750</v>
      </c>
      <c r="AE586" s="427" t="s">
        <v>91</v>
      </c>
      <c r="AF586" s="427">
        <v>3</v>
      </c>
      <c r="AG586" s="427" t="s">
        <v>87</v>
      </c>
      <c r="AH586" s="427" t="s">
        <v>971</v>
      </c>
    </row>
    <row r="587" spans="1:34" ht="25.5" outlineLevel="1" x14ac:dyDescent="0.25">
      <c r="A587" s="1067" t="s">
        <v>1008</v>
      </c>
      <c r="B587" s="875" t="s">
        <v>1430</v>
      </c>
      <c r="C587" s="1370" t="s">
        <v>1009</v>
      </c>
      <c r="D587" s="30" t="s">
        <v>1602</v>
      </c>
      <c r="E587" s="678" t="s">
        <v>7</v>
      </c>
      <c r="F587" s="828" t="s">
        <v>7</v>
      </c>
      <c r="G587" s="2010">
        <f>55-4.764</f>
        <v>50.235999999999997</v>
      </c>
      <c r="H587" s="2011">
        <v>0</v>
      </c>
      <c r="I587" s="1674">
        <v>0</v>
      </c>
      <c r="J587" s="1675">
        <v>50.235999999999997</v>
      </c>
      <c r="K587" s="1676">
        <v>0</v>
      </c>
      <c r="L587" s="1680">
        <v>0</v>
      </c>
      <c r="M587" s="1675">
        <f>55-4.764</f>
        <v>50.235999999999997</v>
      </c>
      <c r="N587" s="2012">
        <v>0</v>
      </c>
      <c r="O587" s="808">
        <v>50.235999999999997</v>
      </c>
      <c r="P587" s="861">
        <v>0</v>
      </c>
      <c r="Q587" s="1677">
        <f t="shared" si="27"/>
        <v>50.235999999999997</v>
      </c>
      <c r="R587" s="1678">
        <v>0</v>
      </c>
      <c r="S587" s="1678">
        <v>0</v>
      </c>
      <c r="T587" s="1674">
        <v>0</v>
      </c>
      <c r="U587" s="1679">
        <v>0</v>
      </c>
      <c r="V587" s="1676">
        <v>0</v>
      </c>
      <c r="W587" s="1674">
        <v>0</v>
      </c>
      <c r="X587" s="1679">
        <v>0</v>
      </c>
      <c r="Y587" s="1679">
        <v>0</v>
      </c>
      <c r="Z587" s="1679">
        <v>0</v>
      </c>
      <c r="AA587" s="1676">
        <v>0</v>
      </c>
      <c r="AB587" s="1072" t="s">
        <v>84</v>
      </c>
      <c r="AC587" s="678" t="s">
        <v>95</v>
      </c>
      <c r="AD587" s="679" t="s">
        <v>526</v>
      </c>
      <c r="AE587" s="678" t="s">
        <v>92</v>
      </c>
      <c r="AF587" s="678">
        <v>1</v>
      </c>
      <c r="AG587" s="28" t="s">
        <v>1472</v>
      </c>
      <c r="AH587" s="678" t="s">
        <v>971</v>
      </c>
    </row>
    <row r="588" spans="1:34" ht="25.5" outlineLevel="1" x14ac:dyDescent="0.25">
      <c r="A588" s="1424" t="s">
        <v>1010</v>
      </c>
      <c r="B588" s="831" t="s">
        <v>87</v>
      </c>
      <c r="C588" s="1092" t="s">
        <v>1011</v>
      </c>
      <c r="D588" s="93" t="s">
        <v>1602</v>
      </c>
      <c r="E588" s="95" t="s">
        <v>19</v>
      </c>
      <c r="F588" s="60" t="s">
        <v>19</v>
      </c>
      <c r="G588" s="25">
        <v>7260</v>
      </c>
      <c r="H588" s="2013">
        <v>0</v>
      </c>
      <c r="I588" s="1426">
        <v>0</v>
      </c>
      <c r="J588" s="1427">
        <v>0</v>
      </c>
      <c r="K588" s="1425">
        <v>0</v>
      </c>
      <c r="L588" s="1429">
        <v>0</v>
      </c>
      <c r="M588" s="1427">
        <v>0</v>
      </c>
      <c r="N588" s="2014">
        <v>7260</v>
      </c>
      <c r="O588" s="841">
        <v>7260</v>
      </c>
      <c r="P588" s="851">
        <v>0</v>
      </c>
      <c r="Q588" s="1446">
        <f t="shared" si="27"/>
        <v>7260</v>
      </c>
      <c r="R588" s="1428">
        <v>0</v>
      </c>
      <c r="S588" s="1428">
        <v>0</v>
      </c>
      <c r="T588" s="1426">
        <v>0</v>
      </c>
      <c r="U588" s="1427">
        <v>0</v>
      </c>
      <c r="V588" s="1425">
        <v>0</v>
      </c>
      <c r="W588" s="1426">
        <v>0</v>
      </c>
      <c r="X588" s="1427">
        <v>0</v>
      </c>
      <c r="Y588" s="1427">
        <v>0</v>
      </c>
      <c r="Z588" s="1427">
        <v>0</v>
      </c>
      <c r="AA588" s="1425">
        <v>0</v>
      </c>
      <c r="AB588" s="29" t="s">
        <v>84</v>
      </c>
      <c r="AC588" s="95" t="s">
        <v>11</v>
      </c>
      <c r="AD588" s="515" t="s">
        <v>190</v>
      </c>
      <c r="AE588" s="95" t="s">
        <v>91</v>
      </c>
      <c r="AF588" s="95">
        <v>2</v>
      </c>
      <c r="AG588" s="95" t="s">
        <v>87</v>
      </c>
      <c r="AH588" s="95" t="s">
        <v>971</v>
      </c>
    </row>
    <row r="589" spans="1:34" ht="32.25" outlineLevel="1" thickBot="1" x14ac:dyDescent="0.3">
      <c r="A589" s="2015" t="s">
        <v>1012</v>
      </c>
      <c r="B589" s="832" t="s">
        <v>87</v>
      </c>
      <c r="C589" s="1668" t="s">
        <v>1013</v>
      </c>
      <c r="D589" s="311" t="s">
        <v>1602</v>
      </c>
      <c r="E589" s="98" t="s">
        <v>19</v>
      </c>
      <c r="F589" s="156" t="s">
        <v>19</v>
      </c>
      <c r="G589" s="117">
        <v>545</v>
      </c>
      <c r="H589" s="2016">
        <v>0</v>
      </c>
      <c r="I589" s="2017">
        <v>0</v>
      </c>
      <c r="J589" s="2018">
        <v>0</v>
      </c>
      <c r="K589" s="2019">
        <v>0</v>
      </c>
      <c r="L589" s="2020">
        <v>0</v>
      </c>
      <c r="M589" s="2018">
        <v>0</v>
      </c>
      <c r="N589" s="2021">
        <v>545</v>
      </c>
      <c r="O589" s="842">
        <v>545</v>
      </c>
      <c r="P589" s="825">
        <v>0</v>
      </c>
      <c r="Q589" s="2022">
        <f t="shared" si="27"/>
        <v>545</v>
      </c>
      <c r="R589" s="2023">
        <v>0</v>
      </c>
      <c r="S589" s="2023">
        <v>0</v>
      </c>
      <c r="T589" s="2017">
        <v>0</v>
      </c>
      <c r="U589" s="2018">
        <v>0</v>
      </c>
      <c r="V589" s="2019">
        <v>0</v>
      </c>
      <c r="W589" s="2017">
        <v>0</v>
      </c>
      <c r="X589" s="2018">
        <v>0</v>
      </c>
      <c r="Y589" s="2018">
        <v>0</v>
      </c>
      <c r="Z589" s="2018">
        <v>0</v>
      </c>
      <c r="AA589" s="2019">
        <v>0</v>
      </c>
      <c r="AB589" s="88" t="s">
        <v>84</v>
      </c>
      <c r="AC589" s="98" t="s">
        <v>11</v>
      </c>
      <c r="AD589" s="58" t="s">
        <v>190</v>
      </c>
      <c r="AE589" s="98" t="s">
        <v>91</v>
      </c>
      <c r="AF589" s="98">
        <v>2</v>
      </c>
      <c r="AG589" s="98" t="s">
        <v>87</v>
      </c>
      <c r="AH589" s="98" t="s">
        <v>971</v>
      </c>
    </row>
    <row r="590" spans="1:34" ht="25.5" outlineLevel="1" x14ac:dyDescent="0.25">
      <c r="A590" s="2024" t="s">
        <v>1731</v>
      </c>
      <c r="B590" s="1929" t="s">
        <v>87</v>
      </c>
      <c r="C590" s="2305" t="s">
        <v>1732</v>
      </c>
      <c r="D590" s="197" t="s">
        <v>84</v>
      </c>
      <c r="E590" s="1945" t="s">
        <v>18</v>
      </c>
      <c r="F590" s="2025" t="s">
        <v>18</v>
      </c>
      <c r="G590" s="2026">
        <v>21278</v>
      </c>
      <c r="H590" s="2027">
        <v>0</v>
      </c>
      <c r="I590" s="2028">
        <v>0</v>
      </c>
      <c r="J590" s="2029">
        <v>0</v>
      </c>
      <c r="K590" s="2030">
        <v>0</v>
      </c>
      <c r="L590" s="2031">
        <v>0</v>
      </c>
      <c r="M590" s="2029">
        <v>0</v>
      </c>
      <c r="N590" s="2032">
        <v>0</v>
      </c>
      <c r="O590" s="1936">
        <v>0</v>
      </c>
      <c r="P590" s="1937">
        <v>0</v>
      </c>
      <c r="Q590" s="1937">
        <f t="shared" si="27"/>
        <v>0</v>
      </c>
      <c r="R590" s="1936">
        <v>21278</v>
      </c>
      <c r="S590" s="1936">
        <v>0</v>
      </c>
      <c r="T590" s="2028">
        <v>0</v>
      </c>
      <c r="U590" s="2029">
        <v>0</v>
      </c>
      <c r="V590" s="2030">
        <v>0</v>
      </c>
      <c r="W590" s="2028">
        <v>0</v>
      </c>
      <c r="X590" s="2029">
        <v>0</v>
      </c>
      <c r="Y590" s="2029">
        <v>0</v>
      </c>
      <c r="Z590" s="2029">
        <v>0</v>
      </c>
      <c r="AA590" s="2030">
        <v>0</v>
      </c>
      <c r="AB590" s="197" t="s">
        <v>1733</v>
      </c>
      <c r="AC590" s="197" t="s">
        <v>11</v>
      </c>
      <c r="AD590" s="369" t="s">
        <v>190</v>
      </c>
      <c r="AE590" s="197" t="s">
        <v>91</v>
      </c>
      <c r="AF590" s="197">
        <v>1</v>
      </c>
      <c r="AG590" s="197" t="s">
        <v>796</v>
      </c>
      <c r="AH590" s="197" t="s">
        <v>971</v>
      </c>
    </row>
    <row r="591" spans="1:34" ht="25.5" outlineLevel="1" x14ac:dyDescent="0.25">
      <c r="A591" s="2033" t="s">
        <v>1734</v>
      </c>
      <c r="B591" s="1700" t="s">
        <v>87</v>
      </c>
      <c r="C591" s="1151" t="s">
        <v>1841</v>
      </c>
      <c r="D591" s="195" t="s">
        <v>84</v>
      </c>
      <c r="E591" s="1701" t="s">
        <v>19</v>
      </c>
      <c r="F591" s="2034" t="s">
        <v>19</v>
      </c>
      <c r="G591" s="2035">
        <v>200</v>
      </c>
      <c r="H591" s="2036">
        <v>0</v>
      </c>
      <c r="I591" s="1704">
        <v>0</v>
      </c>
      <c r="J591" s="2037">
        <v>0</v>
      </c>
      <c r="K591" s="2038">
        <v>0</v>
      </c>
      <c r="L591" s="1705">
        <v>0</v>
      </c>
      <c r="M591" s="2037">
        <v>0</v>
      </c>
      <c r="N591" s="2039">
        <v>0</v>
      </c>
      <c r="O591" s="1702">
        <v>0</v>
      </c>
      <c r="P591" s="1703">
        <v>0</v>
      </c>
      <c r="Q591" s="1703">
        <v>0</v>
      </c>
      <c r="R591" s="1702">
        <v>200</v>
      </c>
      <c r="S591" s="1702">
        <v>0</v>
      </c>
      <c r="T591" s="1704">
        <v>0</v>
      </c>
      <c r="U591" s="2037">
        <v>0</v>
      </c>
      <c r="V591" s="2038">
        <v>0</v>
      </c>
      <c r="W591" s="1704">
        <v>0</v>
      </c>
      <c r="X591" s="2037">
        <v>0</v>
      </c>
      <c r="Y591" s="2037">
        <v>0</v>
      </c>
      <c r="Z591" s="2037">
        <v>0</v>
      </c>
      <c r="AA591" s="2038">
        <v>0</v>
      </c>
      <c r="AB591" s="195" t="s">
        <v>1735</v>
      </c>
      <c r="AC591" s="195" t="s">
        <v>11</v>
      </c>
      <c r="AD591" s="320" t="s">
        <v>750</v>
      </c>
      <c r="AE591" s="195" t="s">
        <v>91</v>
      </c>
      <c r="AF591" s="195">
        <v>2</v>
      </c>
      <c r="AG591" s="195" t="s">
        <v>87</v>
      </c>
      <c r="AH591" s="195" t="s">
        <v>971</v>
      </c>
    </row>
    <row r="592" spans="1:34" ht="25.5" outlineLevel="1" x14ac:dyDescent="0.25">
      <c r="A592" s="2033" t="s">
        <v>1736</v>
      </c>
      <c r="B592" s="1700" t="s">
        <v>87</v>
      </c>
      <c r="C592" s="1151" t="s">
        <v>1842</v>
      </c>
      <c r="D592" s="195" t="s">
        <v>84</v>
      </c>
      <c r="E592" s="1701" t="s">
        <v>19</v>
      </c>
      <c r="F592" s="2034" t="s">
        <v>19</v>
      </c>
      <c r="G592" s="2035">
        <v>1224</v>
      </c>
      <c r="H592" s="2036">
        <v>0</v>
      </c>
      <c r="I592" s="1704">
        <v>0</v>
      </c>
      <c r="J592" s="2037">
        <v>0</v>
      </c>
      <c r="K592" s="2038">
        <v>0</v>
      </c>
      <c r="L592" s="1705">
        <v>0</v>
      </c>
      <c r="M592" s="2037">
        <v>0</v>
      </c>
      <c r="N592" s="2039">
        <v>0</v>
      </c>
      <c r="O592" s="1702">
        <v>0</v>
      </c>
      <c r="P592" s="1703">
        <v>0</v>
      </c>
      <c r="Q592" s="1703">
        <v>0</v>
      </c>
      <c r="R592" s="1702">
        <v>1224</v>
      </c>
      <c r="S592" s="1702">
        <v>0</v>
      </c>
      <c r="T592" s="1704">
        <v>0</v>
      </c>
      <c r="U592" s="2037">
        <v>0</v>
      </c>
      <c r="V592" s="2038">
        <v>0</v>
      </c>
      <c r="W592" s="1704">
        <v>0</v>
      </c>
      <c r="X592" s="2037">
        <v>0</v>
      </c>
      <c r="Y592" s="2037">
        <v>0</v>
      </c>
      <c r="Z592" s="2037">
        <v>0</v>
      </c>
      <c r="AA592" s="2038">
        <v>0</v>
      </c>
      <c r="AB592" s="195" t="s">
        <v>1737</v>
      </c>
      <c r="AC592" s="195" t="s">
        <v>11</v>
      </c>
      <c r="AD592" s="320" t="s">
        <v>750</v>
      </c>
      <c r="AE592" s="195" t="s">
        <v>91</v>
      </c>
      <c r="AF592" s="195">
        <v>2</v>
      </c>
      <c r="AG592" s="195" t="s">
        <v>87</v>
      </c>
      <c r="AH592" s="195" t="s">
        <v>971</v>
      </c>
    </row>
    <row r="593" spans="1:34" outlineLevel="1" x14ac:dyDescent="0.25">
      <c r="A593" s="2033" t="s">
        <v>1738</v>
      </c>
      <c r="B593" s="1700" t="s">
        <v>87</v>
      </c>
      <c r="C593" s="1151" t="s">
        <v>1739</v>
      </c>
      <c r="D593" s="195" t="s">
        <v>84</v>
      </c>
      <c r="E593" s="1701" t="s">
        <v>19</v>
      </c>
      <c r="F593" s="2034" t="s">
        <v>19</v>
      </c>
      <c r="G593" s="2035">
        <v>900</v>
      </c>
      <c r="H593" s="2036">
        <v>0</v>
      </c>
      <c r="I593" s="1704">
        <v>0</v>
      </c>
      <c r="J593" s="2037">
        <v>0</v>
      </c>
      <c r="K593" s="2038">
        <v>0</v>
      </c>
      <c r="L593" s="1705">
        <v>0</v>
      </c>
      <c r="M593" s="2037">
        <v>0</v>
      </c>
      <c r="N593" s="2039">
        <v>0</v>
      </c>
      <c r="O593" s="1702">
        <v>0</v>
      </c>
      <c r="P593" s="1703">
        <v>0</v>
      </c>
      <c r="Q593" s="1703">
        <v>0</v>
      </c>
      <c r="R593" s="1702">
        <v>900</v>
      </c>
      <c r="S593" s="1702">
        <v>0</v>
      </c>
      <c r="T593" s="1704">
        <v>0</v>
      </c>
      <c r="U593" s="2037">
        <v>0</v>
      </c>
      <c r="V593" s="2038">
        <v>0</v>
      </c>
      <c r="W593" s="1704">
        <v>0</v>
      </c>
      <c r="X593" s="2037">
        <v>0</v>
      </c>
      <c r="Y593" s="2037">
        <v>0</v>
      </c>
      <c r="Z593" s="2037">
        <v>0</v>
      </c>
      <c r="AA593" s="2038">
        <v>0</v>
      </c>
      <c r="AB593" s="195" t="s">
        <v>1740</v>
      </c>
      <c r="AC593" s="195" t="s">
        <v>11</v>
      </c>
      <c r="AD593" s="320" t="s">
        <v>561</v>
      </c>
      <c r="AE593" s="195" t="s">
        <v>91</v>
      </c>
      <c r="AF593" s="195">
        <v>3</v>
      </c>
      <c r="AG593" s="195" t="s">
        <v>87</v>
      </c>
      <c r="AH593" s="195" t="s">
        <v>971</v>
      </c>
    </row>
    <row r="594" spans="1:34" ht="25.5" outlineLevel="1" x14ac:dyDescent="0.25">
      <c r="A594" s="2033" t="s">
        <v>1741</v>
      </c>
      <c r="B594" s="1700" t="s">
        <v>87</v>
      </c>
      <c r="C594" s="1151" t="s">
        <v>1742</v>
      </c>
      <c r="D594" s="195" t="s">
        <v>84</v>
      </c>
      <c r="E594" s="1701" t="s">
        <v>19</v>
      </c>
      <c r="F594" s="2034" t="s">
        <v>19</v>
      </c>
      <c r="G594" s="2035">
        <v>1000</v>
      </c>
      <c r="H594" s="2036">
        <v>0</v>
      </c>
      <c r="I594" s="1704">
        <v>0</v>
      </c>
      <c r="J594" s="2037">
        <v>0</v>
      </c>
      <c r="K594" s="2038">
        <v>0</v>
      </c>
      <c r="L594" s="1705">
        <v>0</v>
      </c>
      <c r="M594" s="2037">
        <v>0</v>
      </c>
      <c r="N594" s="2039">
        <v>0</v>
      </c>
      <c r="O594" s="1702">
        <v>0</v>
      </c>
      <c r="P594" s="1703">
        <v>0</v>
      </c>
      <c r="Q594" s="1703">
        <v>0</v>
      </c>
      <c r="R594" s="1702">
        <v>1000</v>
      </c>
      <c r="S594" s="1702">
        <v>0</v>
      </c>
      <c r="T594" s="1704">
        <v>0</v>
      </c>
      <c r="U594" s="2037">
        <v>0</v>
      </c>
      <c r="V594" s="2038">
        <v>0</v>
      </c>
      <c r="W594" s="1704">
        <v>0</v>
      </c>
      <c r="X594" s="2037">
        <v>0</v>
      </c>
      <c r="Y594" s="2037">
        <v>0</v>
      </c>
      <c r="Z594" s="2037">
        <v>0</v>
      </c>
      <c r="AA594" s="2038">
        <v>0</v>
      </c>
      <c r="AB594" s="195" t="s">
        <v>1743</v>
      </c>
      <c r="AC594" s="195" t="s">
        <v>11</v>
      </c>
      <c r="AD594" s="320" t="s">
        <v>627</v>
      </c>
      <c r="AE594" s="195" t="s">
        <v>91</v>
      </c>
      <c r="AF594" s="195">
        <v>2</v>
      </c>
      <c r="AG594" s="195" t="s">
        <v>87</v>
      </c>
      <c r="AH594" s="195" t="s">
        <v>971</v>
      </c>
    </row>
    <row r="595" spans="1:34" ht="25.5" outlineLevel="1" x14ac:dyDescent="0.25">
      <c r="A595" s="2033" t="s">
        <v>1744</v>
      </c>
      <c r="B595" s="1700" t="s">
        <v>87</v>
      </c>
      <c r="C595" s="1151" t="s">
        <v>1745</v>
      </c>
      <c r="D595" s="195" t="s">
        <v>84</v>
      </c>
      <c r="E595" s="1701" t="s">
        <v>19</v>
      </c>
      <c r="F595" s="2034" t="s">
        <v>19</v>
      </c>
      <c r="G595" s="2035">
        <v>1000</v>
      </c>
      <c r="H595" s="2036">
        <v>0</v>
      </c>
      <c r="I595" s="1704">
        <v>0</v>
      </c>
      <c r="J595" s="2037">
        <v>0</v>
      </c>
      <c r="K595" s="2038">
        <v>0</v>
      </c>
      <c r="L595" s="1705">
        <v>0</v>
      </c>
      <c r="M595" s="2037">
        <v>0</v>
      </c>
      <c r="N595" s="2039">
        <v>0</v>
      </c>
      <c r="O595" s="1702">
        <v>0</v>
      </c>
      <c r="P595" s="1703">
        <v>0</v>
      </c>
      <c r="Q595" s="1703">
        <v>0</v>
      </c>
      <c r="R595" s="1702">
        <v>1000</v>
      </c>
      <c r="S595" s="1702">
        <v>0</v>
      </c>
      <c r="T595" s="1704">
        <v>0</v>
      </c>
      <c r="U595" s="2037">
        <v>0</v>
      </c>
      <c r="V595" s="2038">
        <v>0</v>
      </c>
      <c r="W595" s="1704">
        <v>0</v>
      </c>
      <c r="X595" s="2037">
        <v>0</v>
      </c>
      <c r="Y595" s="2037">
        <v>0</v>
      </c>
      <c r="Z595" s="2037">
        <v>0</v>
      </c>
      <c r="AA595" s="2038">
        <v>0</v>
      </c>
      <c r="AB595" s="195" t="s">
        <v>1743</v>
      </c>
      <c r="AC595" s="195" t="s">
        <v>11</v>
      </c>
      <c r="AD595" s="320" t="s">
        <v>758</v>
      </c>
      <c r="AE595" s="195" t="s">
        <v>91</v>
      </c>
      <c r="AF595" s="195">
        <v>2</v>
      </c>
      <c r="AG595" s="195" t="s">
        <v>87</v>
      </c>
      <c r="AH595" s="195" t="s">
        <v>971</v>
      </c>
    </row>
    <row r="596" spans="1:34" ht="25.5" outlineLevel="1" x14ac:dyDescent="0.25">
      <c r="A596" s="2033" t="s">
        <v>1746</v>
      </c>
      <c r="B596" s="1700" t="s">
        <v>87</v>
      </c>
      <c r="C596" s="1151" t="s">
        <v>1747</v>
      </c>
      <c r="D596" s="195" t="s">
        <v>84</v>
      </c>
      <c r="E596" s="1701" t="s">
        <v>19</v>
      </c>
      <c r="F596" s="2034" t="s">
        <v>19</v>
      </c>
      <c r="G596" s="2035">
        <v>1000</v>
      </c>
      <c r="H596" s="2036">
        <v>0</v>
      </c>
      <c r="I596" s="1704">
        <v>0</v>
      </c>
      <c r="J596" s="2037">
        <v>0</v>
      </c>
      <c r="K596" s="2038">
        <v>0</v>
      </c>
      <c r="L596" s="1705">
        <v>0</v>
      </c>
      <c r="M596" s="2037">
        <v>0</v>
      </c>
      <c r="N596" s="2039">
        <v>0</v>
      </c>
      <c r="O596" s="1702">
        <v>0</v>
      </c>
      <c r="P596" s="1703">
        <v>0</v>
      </c>
      <c r="Q596" s="1703">
        <v>0</v>
      </c>
      <c r="R596" s="1702">
        <v>1000</v>
      </c>
      <c r="S596" s="1702">
        <v>0</v>
      </c>
      <c r="T596" s="1704">
        <v>0</v>
      </c>
      <c r="U596" s="2037">
        <v>0</v>
      </c>
      <c r="V596" s="2038">
        <v>0</v>
      </c>
      <c r="W596" s="1704">
        <v>0</v>
      </c>
      <c r="X596" s="2037">
        <v>0</v>
      </c>
      <c r="Y596" s="2037">
        <v>0</v>
      </c>
      <c r="Z596" s="2037">
        <v>0</v>
      </c>
      <c r="AA596" s="2038">
        <v>0</v>
      </c>
      <c r="AB596" s="195" t="s">
        <v>1743</v>
      </c>
      <c r="AC596" s="195" t="s">
        <v>11</v>
      </c>
      <c r="AD596" s="320" t="s">
        <v>758</v>
      </c>
      <c r="AE596" s="195" t="s">
        <v>91</v>
      </c>
      <c r="AF596" s="195">
        <v>2</v>
      </c>
      <c r="AG596" s="195" t="s">
        <v>87</v>
      </c>
      <c r="AH596" s="195" t="s">
        <v>971</v>
      </c>
    </row>
    <row r="597" spans="1:34" ht="25.5" outlineLevel="1" x14ac:dyDescent="0.25">
      <c r="A597" s="2033" t="s">
        <v>1748</v>
      </c>
      <c r="B597" s="1700" t="s">
        <v>87</v>
      </c>
      <c r="C597" s="1151" t="s">
        <v>1749</v>
      </c>
      <c r="D597" s="195" t="s">
        <v>84</v>
      </c>
      <c r="E597" s="1701" t="s">
        <v>18</v>
      </c>
      <c r="F597" s="2034" t="s">
        <v>18</v>
      </c>
      <c r="G597" s="2035">
        <v>25000</v>
      </c>
      <c r="H597" s="2036">
        <v>0</v>
      </c>
      <c r="I597" s="1704">
        <v>0</v>
      </c>
      <c r="J597" s="2037">
        <v>0</v>
      </c>
      <c r="K597" s="2038">
        <v>0</v>
      </c>
      <c r="L597" s="1705">
        <v>0</v>
      </c>
      <c r="M597" s="2037">
        <v>0</v>
      </c>
      <c r="N597" s="2039">
        <v>0</v>
      </c>
      <c r="O597" s="1702">
        <v>0</v>
      </c>
      <c r="P597" s="1703">
        <v>0</v>
      </c>
      <c r="Q597" s="1703">
        <v>0</v>
      </c>
      <c r="R597" s="1702">
        <v>25000</v>
      </c>
      <c r="S597" s="1702">
        <v>0</v>
      </c>
      <c r="T597" s="1704">
        <v>0</v>
      </c>
      <c r="U597" s="2037">
        <v>0</v>
      </c>
      <c r="V597" s="2038">
        <v>0</v>
      </c>
      <c r="W597" s="1704">
        <v>0</v>
      </c>
      <c r="X597" s="2037">
        <v>0</v>
      </c>
      <c r="Y597" s="2037">
        <v>0</v>
      </c>
      <c r="Z597" s="2037">
        <v>0</v>
      </c>
      <c r="AA597" s="2038">
        <v>0</v>
      </c>
      <c r="AB597" s="195" t="s">
        <v>1750</v>
      </c>
      <c r="AC597" s="195" t="s">
        <v>11</v>
      </c>
      <c r="AD597" s="320" t="s">
        <v>190</v>
      </c>
      <c r="AE597" s="195" t="s">
        <v>91</v>
      </c>
      <c r="AF597" s="195">
        <v>1</v>
      </c>
      <c r="AG597" s="197" t="s">
        <v>796</v>
      </c>
      <c r="AH597" s="195" t="s">
        <v>971</v>
      </c>
    </row>
    <row r="598" spans="1:34" ht="25.5" outlineLevel="1" x14ac:dyDescent="0.25">
      <c r="A598" s="2033" t="s">
        <v>1751</v>
      </c>
      <c r="B598" s="1700" t="s">
        <v>87</v>
      </c>
      <c r="C598" s="1151" t="s">
        <v>1752</v>
      </c>
      <c r="D598" s="195" t="s">
        <v>84</v>
      </c>
      <c r="E598" s="1701" t="s">
        <v>18</v>
      </c>
      <c r="F598" s="2034" t="s">
        <v>18</v>
      </c>
      <c r="G598" s="2035">
        <v>98500</v>
      </c>
      <c r="H598" s="2036">
        <v>0</v>
      </c>
      <c r="I598" s="1704">
        <v>0</v>
      </c>
      <c r="J598" s="2037">
        <v>0</v>
      </c>
      <c r="K598" s="2038">
        <v>0</v>
      </c>
      <c r="L598" s="1705">
        <v>0</v>
      </c>
      <c r="M598" s="2037">
        <v>0</v>
      </c>
      <c r="N598" s="2039">
        <v>0</v>
      </c>
      <c r="O598" s="1702">
        <v>0</v>
      </c>
      <c r="P598" s="1703">
        <v>0</v>
      </c>
      <c r="Q598" s="1703">
        <v>0</v>
      </c>
      <c r="R598" s="1702">
        <v>20000</v>
      </c>
      <c r="S598" s="1702">
        <v>78500</v>
      </c>
      <c r="T598" s="1704">
        <v>0</v>
      </c>
      <c r="U598" s="2037">
        <v>0</v>
      </c>
      <c r="V598" s="2038">
        <v>0</v>
      </c>
      <c r="W598" s="1704">
        <v>0</v>
      </c>
      <c r="X598" s="2037">
        <v>0</v>
      </c>
      <c r="Y598" s="2037">
        <v>0</v>
      </c>
      <c r="Z598" s="2037">
        <v>0</v>
      </c>
      <c r="AA598" s="2038">
        <v>0</v>
      </c>
      <c r="AB598" s="195" t="s">
        <v>1753</v>
      </c>
      <c r="AC598" s="195" t="s">
        <v>11</v>
      </c>
      <c r="AD598" s="320" t="s">
        <v>1023</v>
      </c>
      <c r="AE598" s="195" t="s">
        <v>91</v>
      </c>
      <c r="AF598" s="195">
        <v>1</v>
      </c>
      <c r="AG598" s="197" t="s">
        <v>796</v>
      </c>
      <c r="AH598" s="195" t="s">
        <v>971</v>
      </c>
    </row>
    <row r="599" spans="1:34" ht="16.5" outlineLevel="1" thickBot="1" x14ac:dyDescent="0.3">
      <c r="A599" s="432" t="s">
        <v>96</v>
      </c>
      <c r="B599" s="1066" t="s">
        <v>96</v>
      </c>
      <c r="C599" s="1090" t="s">
        <v>96</v>
      </c>
      <c r="D599" s="311" t="s">
        <v>96</v>
      </c>
      <c r="E599" s="611" t="s">
        <v>96</v>
      </c>
      <c r="F599" s="611" t="s">
        <v>96</v>
      </c>
      <c r="G599" s="492" t="s">
        <v>96</v>
      </c>
      <c r="H599" s="1523" t="s">
        <v>96</v>
      </c>
      <c r="I599" s="1524" t="s">
        <v>96</v>
      </c>
      <c r="J599" s="1357" t="s">
        <v>96</v>
      </c>
      <c r="K599" s="1357" t="s">
        <v>96</v>
      </c>
      <c r="L599" s="388" t="s">
        <v>96</v>
      </c>
      <c r="M599" s="334" t="s">
        <v>96</v>
      </c>
      <c r="N599" s="318" t="s">
        <v>96</v>
      </c>
      <c r="O599" s="215" t="s">
        <v>96</v>
      </c>
      <c r="P599" s="318" t="s">
        <v>96</v>
      </c>
      <c r="Q599" s="441" t="s">
        <v>96</v>
      </c>
      <c r="R599" s="215" t="s">
        <v>96</v>
      </c>
      <c r="S599" s="389" t="s">
        <v>96</v>
      </c>
      <c r="T599" s="388" t="s">
        <v>96</v>
      </c>
      <c r="U599" s="334" t="s">
        <v>96</v>
      </c>
      <c r="V599" s="332" t="s">
        <v>96</v>
      </c>
      <c r="W599" s="388" t="s">
        <v>96</v>
      </c>
      <c r="X599" s="336" t="s">
        <v>96</v>
      </c>
      <c r="Y599" s="336" t="s">
        <v>96</v>
      </c>
      <c r="Z599" s="336" t="s">
        <v>96</v>
      </c>
      <c r="AA599" s="318" t="s">
        <v>96</v>
      </c>
      <c r="AB599" s="311" t="s">
        <v>96</v>
      </c>
      <c r="AC599" s="311" t="s">
        <v>96</v>
      </c>
      <c r="AD599" s="292" t="s">
        <v>96</v>
      </c>
      <c r="AE599" s="90" t="s">
        <v>96</v>
      </c>
      <c r="AF599" s="84" t="s">
        <v>96</v>
      </c>
      <c r="AG599" s="611" t="s">
        <v>96</v>
      </c>
      <c r="AH599" s="611" t="s">
        <v>96</v>
      </c>
    </row>
    <row r="600" spans="1:34" s="1495" customFormat="1" ht="18.75" thickBot="1" x14ac:dyDescent="0.3">
      <c r="A600" s="1078" t="s">
        <v>197</v>
      </c>
      <c r="B600" s="1079"/>
      <c r="C600" s="1093"/>
      <c r="D600" s="38" t="s">
        <v>84</v>
      </c>
      <c r="E600" s="1493" t="s">
        <v>84</v>
      </c>
      <c r="F600" s="1493" t="s">
        <v>84</v>
      </c>
      <c r="G600" s="504">
        <f t="shared" ref="G600" si="28">SUM(G578:G599)</f>
        <v>170388.226</v>
      </c>
      <c r="H600" s="504">
        <f t="shared" ref="H600:AA600" si="29">SUM(H578:H599)</f>
        <v>3722.8334999999997</v>
      </c>
      <c r="I600" s="504">
        <f t="shared" si="29"/>
        <v>275</v>
      </c>
      <c r="J600" s="504">
        <f t="shared" si="29"/>
        <v>243.61214999999999</v>
      </c>
      <c r="K600" s="504">
        <v>226.27</v>
      </c>
      <c r="L600" s="504">
        <f t="shared" si="29"/>
        <v>275</v>
      </c>
      <c r="M600" s="504">
        <f t="shared" si="29"/>
        <v>243.61214999999999</v>
      </c>
      <c r="N600" s="504">
        <f t="shared" si="29"/>
        <v>11361.663850000001</v>
      </c>
      <c r="O600" s="504">
        <f t="shared" si="29"/>
        <v>13017.122500000001</v>
      </c>
      <c r="P600" s="504">
        <f t="shared" si="29"/>
        <v>-1136.8465000000001</v>
      </c>
      <c r="Q600" s="504">
        <f t="shared" si="29"/>
        <v>11880.276</v>
      </c>
      <c r="R600" s="504">
        <f t="shared" si="29"/>
        <v>76285.116500000004</v>
      </c>
      <c r="S600" s="504">
        <f t="shared" si="29"/>
        <v>78500</v>
      </c>
      <c r="T600" s="504">
        <f t="shared" si="29"/>
        <v>0</v>
      </c>
      <c r="U600" s="504">
        <f t="shared" si="29"/>
        <v>0</v>
      </c>
      <c r="V600" s="504">
        <f t="shared" si="29"/>
        <v>0</v>
      </c>
      <c r="W600" s="504">
        <f t="shared" si="29"/>
        <v>0</v>
      </c>
      <c r="X600" s="504">
        <f t="shared" si="29"/>
        <v>0</v>
      </c>
      <c r="Y600" s="504">
        <v>0</v>
      </c>
      <c r="Z600" s="504">
        <f t="shared" si="29"/>
        <v>0</v>
      </c>
      <c r="AA600" s="504">
        <f t="shared" si="29"/>
        <v>0</v>
      </c>
      <c r="AB600" s="38" t="s">
        <v>1278</v>
      </c>
      <c r="AC600" s="38" t="s">
        <v>84</v>
      </c>
      <c r="AD600" s="1496" t="s">
        <v>84</v>
      </c>
      <c r="AE600" s="1496" t="s">
        <v>84</v>
      </c>
      <c r="AF600" s="41" t="s">
        <v>84</v>
      </c>
      <c r="AG600" s="1485" t="s">
        <v>84</v>
      </c>
      <c r="AH600" s="1485" t="s">
        <v>84</v>
      </c>
    </row>
    <row r="601" spans="1:34" s="1495" customFormat="1" ht="26.25" thickBot="1" x14ac:dyDescent="0.3">
      <c r="A601" s="1078" t="s">
        <v>70</v>
      </c>
      <c r="B601" s="1079"/>
      <c r="C601" s="1093"/>
      <c r="D601" s="2790"/>
      <c r="E601" s="2791"/>
      <c r="F601" s="2791"/>
      <c r="G601" s="504">
        <f t="shared" ref="G601" si="30">SUM(G26+G37+G206+G275+G435+G473+G476+G485+G490+G495+G573+G577+G600)</f>
        <v>15229253.727249999</v>
      </c>
      <c r="H601" s="504">
        <f t="shared" ref="H601:AA601" si="31">SUM(H26+H37+H206+H275+H435+H473+H476+H485+H490+H495+H573+H577+H600)</f>
        <v>2786079.6324099996</v>
      </c>
      <c r="I601" s="504">
        <f t="shared" si="31"/>
        <v>374819.82752999995</v>
      </c>
      <c r="J601" s="504">
        <f t="shared" si="31"/>
        <v>731156.14006999996</v>
      </c>
      <c r="K601" s="504">
        <f t="shared" si="31"/>
        <v>477894.53930999996</v>
      </c>
      <c r="L601" s="504">
        <f t="shared" si="31"/>
        <v>374819.82752999995</v>
      </c>
      <c r="M601" s="504">
        <f t="shared" si="31"/>
        <v>731156.14006999996</v>
      </c>
      <c r="N601" s="504">
        <f t="shared" si="31"/>
        <v>2287835.3892799998</v>
      </c>
      <c r="O601" s="504">
        <f t="shared" si="31"/>
        <v>3853687.4210799998</v>
      </c>
      <c r="P601" s="504">
        <f t="shared" si="31"/>
        <v>-459876.06420000002</v>
      </c>
      <c r="Q601" s="504">
        <f t="shared" si="31"/>
        <v>3393811.3568800003</v>
      </c>
      <c r="R601" s="504">
        <f t="shared" si="31"/>
        <v>4914457.8521699999</v>
      </c>
      <c r="S601" s="504">
        <f t="shared" si="31"/>
        <v>3224295.8038000003</v>
      </c>
      <c r="T601" s="504">
        <f t="shared" si="31"/>
        <v>42689.779430000002</v>
      </c>
      <c r="U601" s="504">
        <f t="shared" si="31"/>
        <v>456660.05424999999</v>
      </c>
      <c r="V601" s="504">
        <f t="shared" si="31"/>
        <v>411259.24831</v>
      </c>
      <c r="W601" s="504">
        <f t="shared" si="31"/>
        <v>2305809.1922800001</v>
      </c>
      <c r="X601" s="504">
        <f t="shared" si="31"/>
        <v>1161119.6844800001</v>
      </c>
      <c r="Y601" s="504">
        <f t="shared" si="31"/>
        <v>627065.4466899999</v>
      </c>
      <c r="Z601" s="504">
        <f t="shared" si="31"/>
        <v>806656.90963000013</v>
      </c>
      <c r="AA601" s="504">
        <f t="shared" si="31"/>
        <v>338032.59817000001</v>
      </c>
      <c r="AB601" s="42" t="s">
        <v>2081</v>
      </c>
      <c r="AC601" s="42" t="s">
        <v>84</v>
      </c>
      <c r="AD601" s="42" t="s">
        <v>84</v>
      </c>
      <c r="AE601" s="42" t="s">
        <v>84</v>
      </c>
      <c r="AF601" s="42" t="s">
        <v>84</v>
      </c>
      <c r="AG601" s="42" t="s">
        <v>84</v>
      </c>
      <c r="AH601" s="42" t="s">
        <v>84</v>
      </c>
    </row>
    <row r="602" spans="1:34" x14ac:dyDescent="0.25">
      <c r="A602" s="64"/>
      <c r="B602" s="37"/>
      <c r="C602" s="1097"/>
      <c r="D602" s="22"/>
      <c r="E602" s="23" t="s">
        <v>66</v>
      </c>
      <c r="F602" s="23"/>
      <c r="G602" s="149"/>
      <c r="H602" s="149"/>
      <c r="I602" s="133"/>
      <c r="J602" s="133"/>
      <c r="K602" s="133"/>
      <c r="L602" s="149"/>
      <c r="M602" s="149"/>
      <c r="N602" s="149"/>
      <c r="O602" s="149"/>
      <c r="P602" s="1559"/>
      <c r="Q602" s="133"/>
      <c r="R602" s="62"/>
      <c r="S602" s="62"/>
      <c r="T602" s="149"/>
      <c r="U602" s="149"/>
      <c r="V602" s="149"/>
      <c r="W602" s="91"/>
      <c r="X602" s="91"/>
      <c r="Y602" s="91"/>
      <c r="Z602" s="91"/>
      <c r="AA602" s="91"/>
      <c r="AB602" s="91" t="s">
        <v>66</v>
      </c>
      <c r="AC602" s="22"/>
      <c r="AD602" s="46"/>
      <c r="AE602" s="46"/>
      <c r="AF602" s="46"/>
      <c r="AG602" s="23"/>
      <c r="AH602" s="23"/>
    </row>
    <row r="603" spans="1:34" x14ac:dyDescent="0.25">
      <c r="A603" s="64"/>
      <c r="B603" s="37"/>
      <c r="C603" s="1097"/>
      <c r="D603" s="22"/>
      <c r="E603" s="23"/>
      <c r="O603"/>
      <c r="P603"/>
    </row>
    <row r="604" spans="1:34" ht="16.5" thickBot="1" x14ac:dyDescent="0.3">
      <c r="A604" s="575"/>
      <c r="B604" s="576"/>
      <c r="C604" s="1098"/>
      <c r="D604" s="1"/>
      <c r="E604" s="21"/>
      <c r="O604"/>
      <c r="P604"/>
    </row>
    <row r="605" spans="1:34" ht="24" customHeight="1" x14ac:dyDescent="0.25">
      <c r="A605" s="2809" t="s">
        <v>280</v>
      </c>
      <c r="B605" s="2810"/>
      <c r="C605" s="2810"/>
      <c r="D605" s="2626"/>
      <c r="E605" s="2627"/>
      <c r="O605"/>
      <c r="P605"/>
    </row>
    <row r="606" spans="1:34" ht="19.5" customHeight="1" x14ac:dyDescent="0.25">
      <c r="A606" s="2628"/>
      <c r="B606" s="2629"/>
      <c r="C606" s="2629"/>
      <c r="D606" s="2629"/>
      <c r="E606" s="2630"/>
      <c r="O606"/>
      <c r="P606"/>
    </row>
    <row r="607" spans="1:34" ht="19.5" customHeight="1" x14ac:dyDescent="0.25">
      <c r="A607" s="2754" t="s">
        <v>537</v>
      </c>
      <c r="B607" s="2755"/>
      <c r="C607" s="2756"/>
      <c r="D607" s="2803" t="s">
        <v>67</v>
      </c>
      <c r="E607" s="2804"/>
      <c r="O607"/>
      <c r="P607"/>
    </row>
    <row r="608" spans="1:34" ht="19.5" customHeight="1" x14ac:dyDescent="0.25">
      <c r="A608" s="2757" t="s">
        <v>538</v>
      </c>
      <c r="B608" s="2758"/>
      <c r="C608" s="2759"/>
      <c r="D608" s="2757" t="s">
        <v>79</v>
      </c>
      <c r="E608" s="2759"/>
      <c r="F608" s="23"/>
      <c r="G608" s="226"/>
      <c r="H608" s="149"/>
      <c r="I608" s="588"/>
      <c r="J608" s="588"/>
      <c r="K608" s="588"/>
      <c r="L608" s="226"/>
      <c r="M608" s="226"/>
      <c r="N608" s="226"/>
      <c r="O608" s="343"/>
      <c r="P608" s="1560"/>
      <c r="Q608" s="594"/>
      <c r="R608" s="226"/>
      <c r="S608" s="226"/>
      <c r="T608" s="226"/>
      <c r="U608" s="226"/>
      <c r="V608" s="226"/>
      <c r="W608" s="592"/>
      <c r="X608" s="593"/>
      <c r="Y608" s="593"/>
      <c r="Z608" s="593"/>
      <c r="AA608" s="593"/>
      <c r="AB608" s="589"/>
      <c r="AC608" s="226"/>
      <c r="AD608" s="226"/>
      <c r="AE608" s="226"/>
      <c r="AF608" s="226"/>
      <c r="AG608" s="565"/>
      <c r="AH608" s="565"/>
    </row>
    <row r="609" spans="1:34" ht="19.5" customHeight="1" x14ac:dyDescent="0.25">
      <c r="A609" s="2760" t="s">
        <v>539</v>
      </c>
      <c r="B609" s="2761"/>
      <c r="C609" s="2762"/>
      <c r="D609" s="2760" t="s">
        <v>68</v>
      </c>
      <c r="E609" s="2762"/>
      <c r="F609" s="23"/>
      <c r="G609" s="226"/>
      <c r="H609" s="149"/>
      <c r="I609" s="588"/>
      <c r="J609" s="588"/>
      <c r="K609" s="588"/>
      <c r="L609" s="226"/>
      <c r="M609" s="226"/>
      <c r="N609" s="226"/>
      <c r="O609" s="343"/>
      <c r="P609" s="1560"/>
      <c r="Q609" s="594"/>
      <c r="R609" s="226"/>
      <c r="S609" s="226"/>
      <c r="T609" s="226"/>
      <c r="U609" s="226"/>
      <c r="V609" s="226"/>
      <c r="W609" s="592"/>
      <c r="X609" s="593"/>
      <c r="Y609" s="593"/>
      <c r="Z609" s="593"/>
      <c r="AA609" s="593"/>
      <c r="AB609" s="589"/>
      <c r="AC609" s="226"/>
      <c r="AD609" s="226"/>
      <c r="AE609" s="226"/>
      <c r="AF609" s="226"/>
      <c r="AG609" s="565"/>
      <c r="AH609" s="565"/>
    </row>
    <row r="610" spans="1:34" ht="19.5" customHeight="1" x14ac:dyDescent="0.25">
      <c r="A610" s="2763" t="s">
        <v>540</v>
      </c>
      <c r="B610" s="2764"/>
      <c r="C610" s="2765"/>
      <c r="D610" s="2763" t="s">
        <v>69</v>
      </c>
      <c r="E610" s="2765"/>
      <c r="F610" s="23"/>
      <c r="O610"/>
      <c r="AC610" s="226"/>
      <c r="AD610" s="226"/>
      <c r="AE610" s="226"/>
      <c r="AF610" s="226"/>
      <c r="AG610" s="565"/>
      <c r="AH610" s="565"/>
    </row>
    <row r="611" spans="1:34" ht="48.75" customHeight="1" thickBot="1" x14ac:dyDescent="0.3">
      <c r="A611" s="2766" t="s">
        <v>541</v>
      </c>
      <c r="B611" s="2767"/>
      <c r="C611" s="2768"/>
      <c r="D611" s="2766" t="s">
        <v>523</v>
      </c>
      <c r="E611" s="2768"/>
      <c r="F611" s="23"/>
      <c r="L611" t="s">
        <v>66</v>
      </c>
      <c r="O611"/>
    </row>
    <row r="612" spans="1:34" ht="25.5" customHeight="1" thickBot="1" x14ac:dyDescent="0.3">
      <c r="A612" s="2649"/>
      <c r="B612" s="2769" t="s">
        <v>1145</v>
      </c>
      <c r="C612" s="2770"/>
      <c r="D612" s="2770" t="s">
        <v>1146</v>
      </c>
      <c r="E612" s="2805"/>
      <c r="F612" s="23"/>
      <c r="O612"/>
    </row>
    <row r="613" spans="1:34" ht="37.5" customHeight="1" thickBot="1" x14ac:dyDescent="0.3">
      <c r="A613" s="2769" t="s">
        <v>195</v>
      </c>
      <c r="B613" s="2770"/>
      <c r="C613" s="2770"/>
      <c r="D613" s="2624"/>
      <c r="E613" s="2625"/>
      <c r="F613" s="23"/>
      <c r="O613"/>
    </row>
    <row r="614" spans="1:34" x14ac:dyDescent="0.25">
      <c r="A614" s="614"/>
      <c r="B614" s="614"/>
      <c r="C614" s="1099"/>
      <c r="D614" s="614"/>
      <c r="E614" s="614"/>
      <c r="F614" s="23" t="s">
        <v>66</v>
      </c>
      <c r="O614"/>
    </row>
    <row r="615" spans="1:34" x14ac:dyDescent="0.25">
      <c r="F615" s="1554"/>
      <c r="M615" s="210"/>
      <c r="N615" t="s">
        <v>66</v>
      </c>
      <c r="O615"/>
    </row>
    <row r="616" spans="1:34" ht="16.5" thickBot="1" x14ac:dyDescent="0.3">
      <c r="F616" s="1554"/>
      <c r="M616" s="210"/>
      <c r="O616"/>
    </row>
    <row r="617" spans="1:34" ht="28.5" customHeight="1" thickBot="1" x14ac:dyDescent="0.3">
      <c r="A617" s="2811" t="s">
        <v>995</v>
      </c>
      <c r="B617" s="2812"/>
      <c r="C617" s="2813"/>
      <c r="D617" s="1419" t="s">
        <v>199</v>
      </c>
      <c r="E617" s="1506" t="s">
        <v>556</v>
      </c>
      <c r="F617" s="1505" t="s">
        <v>279</v>
      </c>
      <c r="M617" t="s">
        <v>66</v>
      </c>
    </row>
    <row r="618" spans="1:34" ht="23.25" customHeight="1" x14ac:dyDescent="0.25">
      <c r="A618" s="2814" t="s">
        <v>1143</v>
      </c>
      <c r="B618" s="2815"/>
      <c r="C618" s="2816"/>
      <c r="D618" s="1501">
        <f>E618+F618</f>
        <v>1876491</v>
      </c>
      <c r="E618" s="2695">
        <v>925000</v>
      </c>
      <c r="F618" s="1499">
        <v>951491</v>
      </c>
      <c r="R618" t="s">
        <v>66</v>
      </c>
    </row>
    <row r="619" spans="1:34" ht="42" customHeight="1" x14ac:dyDescent="0.25">
      <c r="A619" s="2817" t="s">
        <v>1318</v>
      </c>
      <c r="B619" s="2818"/>
      <c r="C619" s="2819"/>
      <c r="D619" s="1502">
        <f>SUM(E619:F619)</f>
        <v>218182.82796</v>
      </c>
      <c r="E619" s="2696">
        <f>220508.31138-2325.48342</f>
        <v>218182.82796</v>
      </c>
      <c r="F619" s="1500">
        <v>0</v>
      </c>
    </row>
    <row r="620" spans="1:34" ht="36" customHeight="1" x14ac:dyDescent="0.25">
      <c r="A620" s="2817" t="s">
        <v>1409</v>
      </c>
      <c r="B620" s="2818"/>
      <c r="C620" s="2819"/>
      <c r="D620" s="1551">
        <f>SUM(E620:F620)</f>
        <v>1082521.2779900001</v>
      </c>
      <c r="E620" s="2697">
        <v>1074000</v>
      </c>
      <c r="F620" s="1552">
        <v>8521.2779900000005</v>
      </c>
    </row>
    <row r="621" spans="1:34" ht="30" customHeight="1" x14ac:dyDescent="0.25">
      <c r="A621" s="2817" t="s">
        <v>1595</v>
      </c>
      <c r="B621" s="2818"/>
      <c r="C621" s="2819"/>
      <c r="D621" s="1551">
        <f>SUM(E621:F621)</f>
        <v>123300</v>
      </c>
      <c r="E621" s="2697">
        <v>123300</v>
      </c>
      <c r="F621" s="1552">
        <v>0</v>
      </c>
    </row>
    <row r="622" spans="1:34" ht="50.25" customHeight="1" x14ac:dyDescent="0.25">
      <c r="A622" s="2817" t="s">
        <v>2077</v>
      </c>
      <c r="B622" s="2818"/>
      <c r="C622" s="2819"/>
      <c r="D622" s="1551">
        <f t="shared" ref="D622:D623" si="32">SUM(E622:F622)</f>
        <v>-100000</v>
      </c>
      <c r="E622" s="2697">
        <v>-100000</v>
      </c>
      <c r="F622" s="1552">
        <v>0</v>
      </c>
    </row>
    <row r="623" spans="1:34" ht="38.25" customHeight="1" thickBot="1" x14ac:dyDescent="0.3">
      <c r="A623" s="2820" t="s">
        <v>2078</v>
      </c>
      <c r="B623" s="2821"/>
      <c r="C623" s="2822"/>
      <c r="D623" s="1553">
        <f t="shared" si="32"/>
        <v>2335.9404500000001</v>
      </c>
      <c r="E623" s="2698">
        <v>2335.9404500000001</v>
      </c>
      <c r="F623" s="2701">
        <v>0</v>
      </c>
    </row>
    <row r="624" spans="1:34" ht="36" customHeight="1" thickBot="1" x14ac:dyDescent="0.3">
      <c r="A624" s="2811" t="s">
        <v>996</v>
      </c>
      <c r="B624" s="2812"/>
      <c r="C624" s="2813"/>
      <c r="D624" s="1550">
        <f>SUM(D618:D623)</f>
        <v>3202831.0463999999</v>
      </c>
      <c r="E624" s="2699">
        <f>SUM(E618:E623)</f>
        <v>2242818.76841</v>
      </c>
      <c r="F624" s="2700">
        <f>SUM(F618:F623)</f>
        <v>960012.27798999997</v>
      </c>
    </row>
    <row r="625" spans="1:6" ht="16.5" thickBot="1" x14ac:dyDescent="0.3">
      <c r="A625"/>
    </row>
    <row r="626" spans="1:6" ht="35.25" customHeight="1" thickBot="1" x14ac:dyDescent="0.3">
      <c r="A626" s="2806" t="s">
        <v>1658</v>
      </c>
      <c r="B626" s="2807"/>
      <c r="C626" s="2808"/>
      <c r="D626" s="1420">
        <f>Q601</f>
        <v>3393811.3568800003</v>
      </c>
      <c r="E626" s="1504">
        <f>D626-F626</f>
        <v>2587154.4472500002</v>
      </c>
      <c r="F626" s="1503">
        <f>Z601</f>
        <v>806656.90963000013</v>
      </c>
    </row>
  </sheetData>
  <autoFilter ref="A4:AH615" xr:uid="{F92670EA-993D-4B2C-AC58-B0074C08E99A}"/>
  <mergeCells count="46">
    <mergeCell ref="A626:C626"/>
    <mergeCell ref="A605:C605"/>
    <mergeCell ref="A617:C617"/>
    <mergeCell ref="A618:C618"/>
    <mergeCell ref="A619:C619"/>
    <mergeCell ref="A620:C620"/>
    <mergeCell ref="A621:C621"/>
    <mergeCell ref="A622:C622"/>
    <mergeCell ref="A623:C623"/>
    <mergeCell ref="A624:C624"/>
    <mergeCell ref="A613:C613"/>
    <mergeCell ref="AH2:AH3"/>
    <mergeCell ref="D610:E610"/>
    <mergeCell ref="D611:E611"/>
    <mergeCell ref="D607:E607"/>
    <mergeCell ref="D608:E608"/>
    <mergeCell ref="D609:E609"/>
    <mergeCell ref="AD2:AD3"/>
    <mergeCell ref="AE2:AE3"/>
    <mergeCell ref="AF2:AF3"/>
    <mergeCell ref="AG2:AG3"/>
    <mergeCell ref="D2:D3"/>
    <mergeCell ref="E2:E3"/>
    <mergeCell ref="F2:F3"/>
    <mergeCell ref="S2:S3"/>
    <mergeCell ref="AC2:AC3"/>
    <mergeCell ref="G2:G3"/>
    <mergeCell ref="H2:H3"/>
    <mergeCell ref="I2:K2"/>
    <mergeCell ref="L2:N2"/>
    <mergeCell ref="O2:Q2"/>
    <mergeCell ref="R2:R3"/>
    <mergeCell ref="W2:AA2"/>
    <mergeCell ref="T2:V2"/>
    <mergeCell ref="A609:C609"/>
    <mergeCell ref="A610:C610"/>
    <mergeCell ref="A611:C611"/>
    <mergeCell ref="B612:C612"/>
    <mergeCell ref="AB2:AB3"/>
    <mergeCell ref="D601:F601"/>
    <mergeCell ref="D612:E612"/>
    <mergeCell ref="A2:A3"/>
    <mergeCell ref="B2:B3"/>
    <mergeCell ref="C2:C3"/>
    <mergeCell ref="A607:C607"/>
    <mergeCell ref="A608:C608"/>
  </mergeCells>
  <phoneticPr fontId="35" type="noConversion"/>
  <pageMargins left="0.25" right="0.25" top="0.75" bottom="0.75" header="0.3" footer="0.3"/>
  <pageSetup paperSize="8" scale="35" fitToHeight="0" orientation="landscape" verticalDpi="0" r:id="rId1"/>
  <headerFooter>
    <oddFooter>&amp;Ltisk &amp;D&amp;T&amp;Rstr. 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AKTUÁLNÍ ZI</vt:lpstr>
      <vt:lpstr>'AKTUÁLNÍ ZI'!Názvy_tisku</vt:lpstr>
      <vt:lpstr>'AKTUÁLNÍ ZI'!Oblast_tisku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2024-10-29T12:54:35Z</dcterms:modified>
</cp:coreProperties>
</file>