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xr:revisionPtr revIDLastSave="0" documentId="13_ncr:1_{39FFE1D5-862A-4581-BE92-F67A880A8709}" xr6:coauthVersionLast="47" xr6:coauthVersionMax="47" xr10:uidLastSave="{00000000-0000-0000-0000-000000000000}"/>
  <bookViews>
    <workbookView xWindow="-120" yWindow="-120" windowWidth="29040" windowHeight="15840" tabRatio="727" xr2:uid="{00000000-000D-0000-FFFF-FFFF00000000}"/>
  </bookViews>
  <sheets>
    <sheet name="AKTUÁLNÍ ZI zm. č.4" sheetId="18" r:id="rId1"/>
  </sheets>
  <definedNames>
    <definedName name="_xlnm._FilterDatabase" localSheetId="0" hidden="1">'AKTUÁLNÍ ZI zm. č.4'!$A$4:$AF$299</definedName>
    <definedName name="_xlnm.Print_Titles" localSheetId="0">'AKTUÁLNÍ ZI zm. č.4'!$2:$3</definedName>
    <definedName name="_xlnm.Print_Area" localSheetId="0">'AKTUÁLNÍ ZI zm. č.4'!$A$1:$AF$316</definedName>
  </definedNames>
  <calcPr calcId="191029"/>
</workbook>
</file>

<file path=xl/calcChain.xml><?xml version="1.0" encoding="utf-8"?>
<calcChain xmlns="http://schemas.openxmlformats.org/spreadsheetml/2006/main">
  <c r="Z229" i="18" l="1"/>
  <c r="Y229" i="18"/>
  <c r="W229" i="18"/>
  <c r="R229" i="18"/>
  <c r="N229" i="18"/>
  <c r="M229" i="18"/>
  <c r="H229" i="18"/>
  <c r="Q235" i="18"/>
  <c r="X297" i="18" l="1"/>
  <c r="X290" i="18"/>
  <c r="X285" i="18"/>
  <c r="X247" i="18"/>
  <c r="X243" i="18"/>
  <c r="X240" i="18"/>
  <c r="X237" i="18"/>
  <c r="X219" i="18"/>
  <c r="X186" i="18"/>
  <c r="X120" i="18"/>
  <c r="X40" i="18"/>
  <c r="X26" i="18"/>
  <c r="X8" i="18"/>
  <c r="L297" i="18"/>
  <c r="L290" i="18"/>
  <c r="L285" i="18"/>
  <c r="L247" i="18"/>
  <c r="L243" i="18"/>
  <c r="L240" i="18"/>
  <c r="L237" i="18"/>
  <c r="L219" i="18"/>
  <c r="L186" i="18"/>
  <c r="L120" i="18"/>
  <c r="L40" i="18"/>
  <c r="L26" i="18"/>
  <c r="L8" i="18"/>
  <c r="X298" i="18" l="1"/>
  <c r="L298" i="18"/>
  <c r="M70" i="18" l="1"/>
  <c r="M71" i="18"/>
  <c r="H47" i="18"/>
  <c r="M47" i="18"/>
  <c r="M44" i="18"/>
  <c r="H44" i="18"/>
  <c r="M43" i="18"/>
  <c r="H43" i="18"/>
  <c r="H77" i="18"/>
  <c r="H74" i="18"/>
  <c r="H72" i="18"/>
  <c r="H63" i="18"/>
  <c r="H70" i="18"/>
  <c r="H109" i="18"/>
  <c r="S84" i="18"/>
  <c r="S59" i="18"/>
  <c r="P59" i="18"/>
  <c r="M59" i="18"/>
  <c r="H59" i="18"/>
  <c r="S41" i="18"/>
  <c r="P41" i="18"/>
  <c r="M41" i="18"/>
  <c r="H148" i="18" l="1"/>
  <c r="R148" i="18"/>
  <c r="V148" i="18"/>
  <c r="V186" i="18" s="1"/>
  <c r="Z297" i="18"/>
  <c r="Y297" i="18"/>
  <c r="W297" i="18"/>
  <c r="V297" i="18"/>
  <c r="U297" i="18"/>
  <c r="T297" i="18"/>
  <c r="S297" i="18"/>
  <c r="R297" i="18"/>
  <c r="P297" i="18"/>
  <c r="O297" i="18"/>
  <c r="N297" i="18"/>
  <c r="M297" i="18"/>
  <c r="Z290" i="18"/>
  <c r="Y290" i="18"/>
  <c r="W290" i="18"/>
  <c r="V290" i="18"/>
  <c r="U290" i="18"/>
  <c r="T290" i="18"/>
  <c r="S290" i="18"/>
  <c r="P290" i="18"/>
  <c r="O290" i="18"/>
  <c r="N290" i="18"/>
  <c r="Z285" i="18"/>
  <c r="Y285" i="18"/>
  <c r="W285" i="18"/>
  <c r="V285" i="18"/>
  <c r="U285" i="18"/>
  <c r="T285" i="18"/>
  <c r="S285" i="18"/>
  <c r="R285" i="18"/>
  <c r="P285" i="18"/>
  <c r="O285" i="18"/>
  <c r="Z247" i="18"/>
  <c r="Y247" i="18"/>
  <c r="W247" i="18"/>
  <c r="V247" i="18"/>
  <c r="U247" i="18"/>
  <c r="T247" i="18"/>
  <c r="S247" i="18"/>
  <c r="R247" i="18"/>
  <c r="P247" i="18"/>
  <c r="O247" i="18"/>
  <c r="N247" i="18"/>
  <c r="M247" i="18"/>
  <c r="Z243" i="18"/>
  <c r="Y243" i="18"/>
  <c r="W243" i="18"/>
  <c r="V243" i="18"/>
  <c r="U243" i="18"/>
  <c r="T243" i="18"/>
  <c r="S243" i="18"/>
  <c r="R243" i="18"/>
  <c r="P243" i="18"/>
  <c r="O243" i="18"/>
  <c r="N243" i="18"/>
  <c r="M243" i="18"/>
  <c r="Z240" i="18"/>
  <c r="Y240" i="18"/>
  <c r="W240" i="18"/>
  <c r="V240" i="18"/>
  <c r="U240" i="18"/>
  <c r="T240" i="18"/>
  <c r="S240" i="18"/>
  <c r="R240" i="18"/>
  <c r="P240" i="18"/>
  <c r="O240" i="18"/>
  <c r="N240" i="18"/>
  <c r="M240" i="18"/>
  <c r="Y237" i="18"/>
  <c r="V237" i="18"/>
  <c r="U237" i="18"/>
  <c r="T237" i="18"/>
  <c r="S237" i="18"/>
  <c r="R237" i="18"/>
  <c r="P237" i="18"/>
  <c r="O237" i="18"/>
  <c r="M237" i="18"/>
  <c r="Z219" i="18"/>
  <c r="Y219" i="18"/>
  <c r="W219" i="18"/>
  <c r="V219" i="18"/>
  <c r="U219" i="18"/>
  <c r="T219" i="18"/>
  <c r="P219" i="18"/>
  <c r="O219" i="18"/>
  <c r="Y186" i="18"/>
  <c r="W186" i="18"/>
  <c r="U186" i="18"/>
  <c r="S186" i="18"/>
  <c r="P186" i="18"/>
  <c r="O186" i="18"/>
  <c r="Y120" i="18"/>
  <c r="V120" i="18"/>
  <c r="U120" i="18"/>
  <c r="T120" i="18"/>
  <c r="S120" i="18"/>
  <c r="P120" i="18"/>
  <c r="O120" i="18"/>
  <c r="Z40" i="18"/>
  <c r="Y40" i="18"/>
  <c r="W40" i="18"/>
  <c r="V40" i="18"/>
  <c r="U40" i="18"/>
  <c r="T40" i="18"/>
  <c r="S40" i="18"/>
  <c r="O40" i="18"/>
  <c r="Z26" i="18"/>
  <c r="Y26" i="18"/>
  <c r="W26" i="18"/>
  <c r="V26" i="18"/>
  <c r="U26" i="18"/>
  <c r="T26" i="18"/>
  <c r="S26" i="18"/>
  <c r="R26" i="18"/>
  <c r="O26" i="18"/>
  <c r="N26" i="18"/>
  <c r="Z8" i="18"/>
  <c r="Y8" i="18"/>
  <c r="W8" i="18"/>
  <c r="V8" i="18"/>
  <c r="U8" i="18"/>
  <c r="T8" i="18"/>
  <c r="S8" i="18"/>
  <c r="R8" i="18"/>
  <c r="O8" i="18"/>
  <c r="N8" i="18"/>
  <c r="M8" i="18"/>
  <c r="Q184" i="18"/>
  <c r="Q183" i="18"/>
  <c r="Q182" i="18"/>
  <c r="Q181" i="18"/>
  <c r="Q180" i="18"/>
  <c r="Q179" i="18"/>
  <c r="Q178" i="18"/>
  <c r="Q177" i="18"/>
  <c r="Q176" i="18"/>
  <c r="Q175" i="18"/>
  <c r="Q174" i="18"/>
  <c r="T173" i="18"/>
  <c r="T186" i="18" s="1"/>
  <c r="Q173" i="18"/>
  <c r="M173" i="18"/>
  <c r="H173" i="18"/>
  <c r="Q172" i="18"/>
  <c r="Q171" i="18"/>
  <c r="M171" i="18"/>
  <c r="Q170" i="18"/>
  <c r="Q169" i="18"/>
  <c r="Q168" i="18"/>
  <c r="Q167" i="18"/>
  <c r="Q166" i="18"/>
  <c r="Q165" i="18"/>
  <c r="Q164" i="18"/>
  <c r="Q163" i="18"/>
  <c r="Q162" i="18"/>
  <c r="Q161" i="18"/>
  <c r="R160" i="18"/>
  <c r="Q160" i="18"/>
  <c r="H160" i="18"/>
  <c r="Q159" i="18"/>
  <c r="Q158" i="18"/>
  <c r="Q157" i="18"/>
  <c r="Q156" i="18"/>
  <c r="M156" i="18"/>
  <c r="Q155" i="18"/>
  <c r="Q154" i="18"/>
  <c r="M154" i="18"/>
  <c r="Q153" i="18"/>
  <c r="Q152" i="18"/>
  <c r="Q151" i="18"/>
  <c r="Q150" i="18"/>
  <c r="Q149" i="18"/>
  <c r="Q148" i="18"/>
  <c r="Q147" i="18"/>
  <c r="Q146" i="18"/>
  <c r="Q145" i="18"/>
  <c r="Q144" i="18"/>
  <c r="Q143" i="18"/>
  <c r="Q142" i="18"/>
  <c r="Q141" i="18"/>
  <c r="Q140" i="18"/>
  <c r="Q139" i="18"/>
  <c r="M139" i="18"/>
  <c r="Q138" i="18"/>
  <c r="Q137" i="18"/>
  <c r="Q136" i="18"/>
  <c r="R135" i="18"/>
  <c r="Q135" i="18"/>
  <c r="R134" i="18"/>
  <c r="Q134" i="18"/>
  <c r="Q133" i="18"/>
  <c r="Q132" i="18"/>
  <c r="R131" i="18"/>
  <c r="Q131" i="18"/>
  <c r="Q130" i="18"/>
  <c r="M130" i="18"/>
  <c r="R129" i="18"/>
  <c r="Q129" i="18"/>
  <c r="M129" i="18"/>
  <c r="I129" i="18"/>
  <c r="Q128" i="18"/>
  <c r="Q127" i="18"/>
  <c r="Q126" i="18"/>
  <c r="Q125" i="18"/>
  <c r="Q124" i="18"/>
  <c r="N124" i="18"/>
  <c r="M124" i="18"/>
  <c r="H124" i="18"/>
  <c r="R123" i="18"/>
  <c r="Q123" i="18"/>
  <c r="Z122" i="18"/>
  <c r="Z186" i="18" s="1"/>
  <c r="R122" i="18"/>
  <c r="Q122" i="18"/>
  <c r="N122" i="18"/>
  <c r="M122" i="18"/>
  <c r="H122" i="18"/>
  <c r="Q121" i="18"/>
  <c r="M186" i="18" l="1"/>
  <c r="N186" i="18"/>
  <c r="R186" i="18"/>
  <c r="U298" i="18"/>
  <c r="Y298" i="18"/>
  <c r="Q186" i="18"/>
  <c r="V298" i="18"/>
  <c r="T298" i="18"/>
  <c r="O298" i="18"/>
  <c r="M286" i="18"/>
  <c r="M290" i="18" s="1"/>
  <c r="Q295" i="18"/>
  <c r="Q294" i="18"/>
  <c r="Q293" i="18"/>
  <c r="Q292" i="18"/>
  <c r="Q291" i="18"/>
  <c r="Q297" i="18" l="1"/>
  <c r="I314" i="18" l="1"/>
  <c r="H314" i="18"/>
  <c r="H189" i="18" l="1"/>
  <c r="Q217" i="18"/>
  <c r="Q216" i="18"/>
  <c r="H216" i="18"/>
  <c r="Q215" i="18"/>
  <c r="Q214" i="18"/>
  <c r="Q213" i="18"/>
  <c r="Q212" i="18"/>
  <c r="Q211" i="18"/>
  <c r="Q210" i="18"/>
  <c r="Q209" i="18"/>
  <c r="Q208" i="18"/>
  <c r="Q207" i="18"/>
  <c r="Q206" i="18"/>
  <c r="Q205" i="18"/>
  <c r="Q204" i="18"/>
  <c r="H204" i="18"/>
  <c r="Q203" i="18"/>
  <c r="Q202" i="18"/>
  <c r="Q201" i="18"/>
  <c r="Q200" i="18"/>
  <c r="Q199" i="18"/>
  <c r="Q198" i="18"/>
  <c r="Q197" i="18"/>
  <c r="Q196" i="18"/>
  <c r="H196" i="18"/>
  <c r="Q195" i="18"/>
  <c r="Q194" i="18"/>
  <c r="R193" i="18"/>
  <c r="R219" i="18" s="1"/>
  <c r="Q193" i="18"/>
  <c r="Q192" i="18"/>
  <c r="Q191" i="18"/>
  <c r="Q190" i="18"/>
  <c r="Q189" i="18"/>
  <c r="Q188" i="18"/>
  <c r="H188" i="18"/>
  <c r="S187" i="18"/>
  <c r="S219" i="18" s="1"/>
  <c r="S298" i="18" s="1"/>
  <c r="Q187" i="18"/>
  <c r="N204" i="18" l="1"/>
  <c r="M216" i="18"/>
  <c r="M188" i="18"/>
  <c r="Q219" i="18"/>
  <c r="Q234" i="18"/>
  <c r="Q233" i="18"/>
  <c r="N233" i="18"/>
  <c r="Q232" i="18"/>
  <c r="Q231" i="18"/>
  <c r="Q230" i="18"/>
  <c r="Q229" i="18"/>
  <c r="Q228" i="18"/>
  <c r="Q227" i="18"/>
  <c r="Q226" i="18"/>
  <c r="Q225" i="18"/>
  <c r="Q224" i="18"/>
  <c r="N224" i="18"/>
  <c r="Q223" i="18"/>
  <c r="Q222" i="18"/>
  <c r="Q221" i="18"/>
  <c r="Z220" i="18"/>
  <c r="Z237" i="18" s="1"/>
  <c r="W220" i="18"/>
  <c r="W237" i="18" s="1"/>
  <c r="Q220" i="18"/>
  <c r="N220" i="18"/>
  <c r="N219" i="18" l="1"/>
  <c r="N237" i="18"/>
  <c r="M219" i="18"/>
  <c r="Q237" i="18"/>
  <c r="Q24" i="18"/>
  <c r="Q23" i="18"/>
  <c r="Q22" i="18"/>
  <c r="Q21" i="18"/>
  <c r="Q20" i="18"/>
  <c r="Q19" i="18"/>
  <c r="Q18" i="18"/>
  <c r="Q17" i="18"/>
  <c r="Q16" i="18"/>
  <c r="Q15" i="18"/>
  <c r="M15" i="18"/>
  <c r="Q14" i="18"/>
  <c r="H14" i="18"/>
  <c r="Q13" i="18"/>
  <c r="Q12" i="18"/>
  <c r="H12" i="18"/>
  <c r="Q11" i="18"/>
  <c r="H11" i="18"/>
  <c r="Q10" i="18"/>
  <c r="H10" i="18"/>
  <c r="P9" i="18"/>
  <c r="Q9" i="18" l="1"/>
  <c r="P26" i="18"/>
  <c r="M26" i="18"/>
  <c r="Q118" i="18"/>
  <c r="Q117" i="18"/>
  <c r="Q116" i="18"/>
  <c r="Z115" i="18"/>
  <c r="Z120" i="18" s="1"/>
  <c r="Z298" i="18" s="1"/>
  <c r="W115" i="18"/>
  <c r="W120" i="18" s="1"/>
  <c r="W298" i="18" s="1"/>
  <c r="R115" i="18"/>
  <c r="R120" i="18" s="1"/>
  <c r="Q115" i="18"/>
  <c r="H115" i="18"/>
  <c r="Q114" i="18"/>
  <c r="Q113" i="18"/>
  <c r="Q112" i="18"/>
  <c r="Q111" i="18"/>
  <c r="Q110" i="18"/>
  <c r="Q109" i="18"/>
  <c r="Q108" i="18"/>
  <c r="Q107" i="18"/>
  <c r="Q106" i="18"/>
  <c r="Q105" i="18"/>
  <c r="Q104" i="18"/>
  <c r="Q103" i="18"/>
  <c r="Q102" i="18"/>
  <c r="Q101" i="18"/>
  <c r="Q100" i="18"/>
  <c r="Q99" i="18"/>
  <c r="H99" i="18"/>
  <c r="Q98" i="18"/>
  <c r="Q97" i="18"/>
  <c r="Q96" i="18"/>
  <c r="Q95" i="18"/>
  <c r="Q94" i="18"/>
  <c r="Q93" i="18"/>
  <c r="Q92" i="18"/>
  <c r="Q91" i="18"/>
  <c r="Q90" i="18"/>
  <c r="Q89" i="18"/>
  <c r="Q88" i="18"/>
  <c r="Q87" i="18"/>
  <c r="Q86" i="18"/>
  <c r="Q85" i="18"/>
  <c r="M85" i="18"/>
  <c r="Q84" i="18"/>
  <c r="Q83" i="18"/>
  <c r="Q82" i="18"/>
  <c r="Q81" i="18"/>
  <c r="Q80" i="18"/>
  <c r="Q79" i="18"/>
  <c r="Q78" i="18"/>
  <c r="Q77" i="18"/>
  <c r="Q76" i="18"/>
  <c r="Q75" i="18"/>
  <c r="H75" i="18"/>
  <c r="Q74" i="18"/>
  <c r="Q73" i="18"/>
  <c r="H73" i="18"/>
  <c r="Q72" i="18"/>
  <c r="Q71" i="18"/>
  <c r="Q70" i="18"/>
  <c r="Q69" i="18"/>
  <c r="Q68" i="18"/>
  <c r="Q67" i="18"/>
  <c r="Q66" i="18"/>
  <c r="Q65" i="18"/>
  <c r="Q64" i="18"/>
  <c r="Q63" i="18"/>
  <c r="Q62" i="18"/>
  <c r="N62" i="18"/>
  <c r="N120" i="18" s="1"/>
  <c r="Q61" i="18"/>
  <c r="Q60" i="18"/>
  <c r="M60" i="18"/>
  <c r="Q59" i="18"/>
  <c r="Q58" i="18"/>
  <c r="M58" i="18"/>
  <c r="Q57" i="18"/>
  <c r="Q56" i="18"/>
  <c r="Q55" i="18"/>
  <c r="Q54" i="18"/>
  <c r="M54" i="18"/>
  <c r="Q53" i="18"/>
  <c r="M53" i="18"/>
  <c r="Q52" i="18"/>
  <c r="Q51" i="18"/>
  <c r="Q50" i="18"/>
  <c r="Q49" i="18"/>
  <c r="Q48" i="18"/>
  <c r="Q47" i="18"/>
  <c r="Q46" i="18"/>
  <c r="Q45" i="18"/>
  <c r="Q44" i="18"/>
  <c r="Q43" i="18"/>
  <c r="Q42" i="18"/>
  <c r="M42" i="18"/>
  <c r="H42" i="18"/>
  <c r="Q41" i="18"/>
  <c r="H41" i="18"/>
  <c r="Q26" i="18" l="1"/>
  <c r="M120" i="18"/>
  <c r="Q120" i="18"/>
  <c r="Q283" i="18" l="1"/>
  <c r="Q282" i="18"/>
  <c r="Q281" i="18"/>
  <c r="Q280" i="18"/>
  <c r="Q279" i="18"/>
  <c r="Q277" i="18"/>
  <c r="Q276" i="18"/>
  <c r="Q275" i="18"/>
  <c r="Q274" i="18"/>
  <c r="Q273" i="18"/>
  <c r="Q272" i="18"/>
  <c r="H272" i="18"/>
  <c r="Q271" i="18"/>
  <c r="Q270" i="18"/>
  <c r="Q269" i="18"/>
  <c r="M269" i="18"/>
  <c r="H269" i="18"/>
  <c r="Q268" i="18"/>
  <c r="Q267" i="18"/>
  <c r="Q266" i="18"/>
  <c r="Q265" i="18"/>
  <c r="H265" i="18"/>
  <c r="Q264" i="18"/>
  <c r="Q263" i="18"/>
  <c r="Q262" i="18"/>
  <c r="Q261" i="18"/>
  <c r="Q260" i="18"/>
  <c r="Q259" i="18"/>
  <c r="Q258" i="18"/>
  <c r="H258" i="18"/>
  <c r="Q257" i="18"/>
  <c r="Q256" i="18"/>
  <c r="H256" i="18"/>
  <c r="Q255" i="18"/>
  <c r="Q254" i="18"/>
  <c r="Q253" i="18"/>
  <c r="H253" i="18"/>
  <c r="Q252" i="18"/>
  <c r="Q251" i="18"/>
  <c r="Q250" i="18"/>
  <c r="Q249" i="18"/>
  <c r="Q248" i="18"/>
  <c r="N248" i="18"/>
  <c r="N285" i="18" s="1"/>
  <c r="M285" i="18" l="1"/>
  <c r="Q285" i="18"/>
  <c r="K297" i="18" l="1"/>
  <c r="K290" i="18"/>
  <c r="K285" i="18"/>
  <c r="K247" i="18"/>
  <c r="K243" i="18"/>
  <c r="K240" i="18"/>
  <c r="K237" i="18"/>
  <c r="K219" i="18"/>
  <c r="K186" i="18"/>
  <c r="K120" i="18"/>
  <c r="K40" i="18"/>
  <c r="K26" i="18"/>
  <c r="K8" i="18"/>
  <c r="K298" i="18" l="1"/>
  <c r="Q38" i="18"/>
  <c r="Q37" i="18"/>
  <c r="Q36" i="18"/>
  <c r="Q35" i="18"/>
  <c r="M35" i="18"/>
  <c r="H35" i="18"/>
  <c r="R34" i="18"/>
  <c r="Q34" i="18"/>
  <c r="H34" i="18"/>
  <c r="Q33" i="18"/>
  <c r="Q32" i="18"/>
  <c r="H32" i="18"/>
  <c r="Q31" i="18"/>
  <c r="H31" i="18"/>
  <c r="R30" i="18"/>
  <c r="Q30" i="18"/>
  <c r="H30" i="18"/>
  <c r="R29" i="18"/>
  <c r="Q29" i="18"/>
  <c r="Q28" i="18"/>
  <c r="H28" i="18"/>
  <c r="P27" i="18"/>
  <c r="N27" i="18"/>
  <c r="N40" i="18" s="1"/>
  <c r="N298" i="18" s="1"/>
  <c r="H27" i="18"/>
  <c r="Q27" i="18" l="1"/>
  <c r="P40" i="18"/>
  <c r="R40" i="18"/>
  <c r="M40" i="18"/>
  <c r="M298" i="18" s="1"/>
  <c r="Q40" i="18" l="1"/>
  <c r="J297" i="18"/>
  <c r="J290" i="18"/>
  <c r="J285" i="18"/>
  <c r="J247" i="18"/>
  <c r="J243" i="18"/>
  <c r="J240" i="18"/>
  <c r="J237" i="18"/>
  <c r="J219" i="18"/>
  <c r="J186" i="18"/>
  <c r="J120" i="18"/>
  <c r="J40" i="18"/>
  <c r="J26" i="18"/>
  <c r="J8" i="18"/>
  <c r="H288" i="18"/>
  <c r="H287" i="18"/>
  <c r="P6" i="18"/>
  <c r="P8" i="18" s="1"/>
  <c r="P298" i="18" s="1"/>
  <c r="Q288" i="18"/>
  <c r="Q287" i="18"/>
  <c r="J298" i="18" l="1"/>
  <c r="R286" i="18" l="1"/>
  <c r="R290" i="18" s="1"/>
  <c r="R298" i="18" s="1"/>
  <c r="Q286" i="18"/>
  <c r="Q245" i="18"/>
  <c r="Q244" i="18"/>
  <c r="Q6" i="18"/>
  <c r="Q5" i="18"/>
  <c r="I297" i="18"/>
  <c r="H297" i="18"/>
  <c r="Q238" i="18"/>
  <c r="H237" i="18"/>
  <c r="H8" i="18"/>
  <c r="Q241" i="18"/>
  <c r="I290" i="18"/>
  <c r="I285" i="18"/>
  <c r="I247" i="18"/>
  <c r="I243" i="18"/>
  <c r="I240" i="18"/>
  <c r="I237" i="18"/>
  <c r="I219" i="18"/>
  <c r="I186" i="18"/>
  <c r="I120" i="18"/>
  <c r="I40" i="18"/>
  <c r="I26" i="18"/>
  <c r="I8" i="18"/>
  <c r="H290" i="18"/>
  <c r="H247" i="18"/>
  <c r="H243" i="18"/>
  <c r="H240" i="18"/>
  <c r="H219" i="18"/>
  <c r="H186" i="18"/>
  <c r="H26" i="18"/>
  <c r="H120" i="18"/>
  <c r="Q240" i="18" l="1"/>
  <c r="Q8" i="18"/>
  <c r="Q243" i="18"/>
  <c r="Q290" i="18"/>
  <c r="Q247" i="18"/>
  <c r="H285" i="18"/>
  <c r="H40" i="18"/>
  <c r="I298" i="18"/>
  <c r="I316" i="18"/>
  <c r="H298" i="18" l="1"/>
  <c r="Q298" i="18"/>
  <c r="H316" i="18" l="1"/>
</calcChain>
</file>

<file path=xl/sharedStrings.xml><?xml version="1.0" encoding="utf-8"?>
<sst xmlns="http://schemas.openxmlformats.org/spreadsheetml/2006/main" count="3850" uniqueCount="1051">
  <si>
    <t>v tis. Kč</t>
  </si>
  <si>
    <t>Číslo akce ADA</t>
  </si>
  <si>
    <t>Realizátor akce (zadavatel)</t>
  </si>
  <si>
    <t>Organizace</t>
  </si>
  <si>
    <t>Název akce</t>
  </si>
  <si>
    <t xml:space="preserve">Celkové náklady </t>
  </si>
  <si>
    <t>Jiné zdroje</t>
  </si>
  <si>
    <t>1/2019/KHT</t>
  </si>
  <si>
    <t>0003475</t>
  </si>
  <si>
    <t>082-15/2016/RK ze dne 21.4.2016        012-22/2016/ZK ze dne 25.4.2016</t>
  </si>
  <si>
    <t>SK</t>
  </si>
  <si>
    <t xml:space="preserve">Materiální a technické vybavení pracoviště krizového řízení, zajištění komunikačních prostředků a informační podpory pro krizové řízení v kraji </t>
  </si>
  <si>
    <t>PROBÍHÁ VZ</t>
  </si>
  <si>
    <t>2/2019/KHT</t>
  </si>
  <si>
    <t>Projekt výcvikového areálu pro zvládání rizik</t>
  </si>
  <si>
    <t>0001911</t>
  </si>
  <si>
    <t>Výměna oken v budově KÚ</t>
  </si>
  <si>
    <t>PŘÍPRAVA VZ</t>
  </si>
  <si>
    <t>0001513</t>
  </si>
  <si>
    <t>Pořízení nových  kopírovacích strojů</t>
  </si>
  <si>
    <t>0003151</t>
  </si>
  <si>
    <t xml:space="preserve">038-19/2015/RK ze dne 1.6.2015                   008-17/2015/ZK ze dne 22.6.2015 </t>
  </si>
  <si>
    <t>Instalace klimatizačních jednotek do vybraných kanceláří ve druhém patře budovy</t>
  </si>
  <si>
    <t>Rekonstrukce vstupu "C"</t>
  </si>
  <si>
    <t>Rekonstrukce osvětlení v zasedací místnosti 1015</t>
  </si>
  <si>
    <t>Výměna záložního zdroje elektrické energie UPS</t>
  </si>
  <si>
    <t>0001514</t>
  </si>
  <si>
    <t>Investiční software dle konkrétních požadavků odborů</t>
  </si>
  <si>
    <t>REALIZACE</t>
  </si>
  <si>
    <t>0002821</t>
  </si>
  <si>
    <t>Software pro Informační systém KÚ</t>
  </si>
  <si>
    <t>0004972</t>
  </si>
  <si>
    <t>Obnova technologických center kraje - Praha a Kladno (TCK)</t>
  </si>
  <si>
    <t>0004971</t>
  </si>
  <si>
    <t>Zvýšení kybernetické bezpečnosti informačního systému KÚ</t>
  </si>
  <si>
    <t>Nákup a obnova výpočetní techniky</t>
  </si>
  <si>
    <t>Modernizace počítačové učebny a zasedací místnosti Rady SčK</t>
  </si>
  <si>
    <t>1/2019/DOP</t>
  </si>
  <si>
    <t>0000120</t>
  </si>
  <si>
    <t>2/2019/DOP</t>
  </si>
  <si>
    <t>0000121</t>
  </si>
  <si>
    <t>Příprava a zabezpečení staveb silnic II. a III. třídy a drážní stavby pro lehká kolejová vozidla-tramvaje</t>
  </si>
  <si>
    <t>KSÚS</t>
  </si>
  <si>
    <t>0003947</t>
  </si>
  <si>
    <t>IDSK</t>
  </si>
  <si>
    <t>IDSK - vybavení IT technika</t>
  </si>
  <si>
    <t>13/2019/DOP</t>
  </si>
  <si>
    <t>II/610 Chudoplesy, dopravně bezpečnostní opatření</t>
  </si>
  <si>
    <t>045-24/2018/RK ze dne 6.8.2018
041-15/2018/ZK ze dne 27.8.2018</t>
  </si>
  <si>
    <t>19/2019/DOP</t>
  </si>
  <si>
    <t xml:space="preserve">III/0037 Průhonice, oprava silnice a zvýšení bezpečnosti v ulici Újezdská </t>
  </si>
  <si>
    <t>27/2019/DOP</t>
  </si>
  <si>
    <t>II/121 rekonstrukce opěrné zdi v Prčici</t>
  </si>
  <si>
    <t>35/2019/DOP</t>
  </si>
  <si>
    <t>Obec Postřižín - rekonstrukce povrchů komunikací včetně chodníků</t>
  </si>
  <si>
    <t>36/2019/DOP</t>
  </si>
  <si>
    <t>Statické zajištění silnice III/6031 v obci Senohraby</t>
  </si>
  <si>
    <t>45/2019/DOP</t>
  </si>
  <si>
    <t>II/125 Kamberk, svodidla</t>
  </si>
  <si>
    <t>80/2019/DOP</t>
  </si>
  <si>
    <t>2427-1 Most přes strouhu před obcí Klíčany</t>
  </si>
  <si>
    <t>0003388</t>
  </si>
  <si>
    <t>SOŠ a SOU Hořovice</t>
  </si>
  <si>
    <t>Rekonstrukce staré budovy výukového centra Tlustice 2.etapa</t>
  </si>
  <si>
    <t>0003709</t>
  </si>
  <si>
    <t>Gymnázium Říčany, Komenského 1280</t>
  </si>
  <si>
    <t>Výstavba nové tělocvičny u Gymnázia Říčany</t>
  </si>
  <si>
    <t xml:space="preserve">016-06/2017/RK ze dne 16.2.2017 022-04/2017/ZK ze dne 7.3.2017     </t>
  </si>
  <si>
    <t>0003847</t>
  </si>
  <si>
    <t>Rekonstrukce elektrických rozvodů a svítidel</t>
  </si>
  <si>
    <t>0003848</t>
  </si>
  <si>
    <t>Gymnázium Benešov</t>
  </si>
  <si>
    <t>Výstavba tělocvičny Gymnázia Benešov</t>
  </si>
  <si>
    <t>0004086</t>
  </si>
  <si>
    <t>Obchodní akademie, Střední pedagogická škola a Jazyková škola s právem státní jazykové zkoušky, Beroun, U Stadionu 486</t>
  </si>
  <si>
    <t>Výměna oken včetně parapetů</t>
  </si>
  <si>
    <t>Střední škola designu a řemesel Kladno</t>
  </si>
  <si>
    <t>0004076</t>
  </si>
  <si>
    <t>PD a zateplení střechy budovy školy</t>
  </si>
  <si>
    <t>0004055</t>
  </si>
  <si>
    <t>Základní škola a Praktická škola, Český Brod, Žitomířská 1359</t>
  </si>
  <si>
    <t>Zateplení střechy, oprava obložení stropu a stěn tělocvičny</t>
  </si>
  <si>
    <t>Vyšší odborná škola, Střední průmyslová škola a Jazyková škola s právem státní jazykové zkoušky, Kutná Hora, Masarykova 197</t>
  </si>
  <si>
    <t>0004093</t>
  </si>
  <si>
    <t>Střední odborná škola a Střední odborné učiliště řemesel, Kutná Hora, Čáslavská 202</t>
  </si>
  <si>
    <t>REKO soc. zařízení DM včetně revitalizace krytu</t>
  </si>
  <si>
    <t>0004063</t>
  </si>
  <si>
    <t>Základní škola speciální, Mladá Boleslav, Václavkova 950</t>
  </si>
  <si>
    <t>Nový objekt základní školy speciální</t>
  </si>
  <si>
    <t>0004066</t>
  </si>
  <si>
    <t>Základní umělecká škola B. M. Černohorského, Nymburk, Palackého třída 574</t>
  </si>
  <si>
    <t>Stavební úpravy v podkroví budovy ZUŠ Nymburk</t>
  </si>
  <si>
    <t>Vyšší odborná škola a Střední zemědělská škola, Benešov, Mendelova 131</t>
  </si>
  <si>
    <t>Střední lesnická škola a Střední odborné učiliště, Křivoklát, Písky 181</t>
  </si>
  <si>
    <t>053-12/2018/Rk ze dne 6.4.2018         033-13/2018/ZK ze dne 26.4.2018</t>
  </si>
  <si>
    <t>0004988</t>
  </si>
  <si>
    <t>Komplexní rekonstrukce kanalizace v celém areálu školy</t>
  </si>
  <si>
    <t>0004990</t>
  </si>
  <si>
    <t>Dětský domov a Školní jídelna, Pyšely, Senohrabská 112</t>
  </si>
  <si>
    <t>Rekonstrukce DD a ŠJ</t>
  </si>
  <si>
    <t>0004937</t>
  </si>
  <si>
    <t>Základní umělecká škola Josefa Slavíka, Hořovice, Palackého náměstí 253</t>
  </si>
  <si>
    <t>Výstavba a rekonstrukce sociálního zařízení v budově ZUŠ</t>
  </si>
  <si>
    <t>0004961</t>
  </si>
  <si>
    <t>Gymnázium Františka Palackého, Neratovice, Masarykova 450</t>
  </si>
  <si>
    <t>PD - půdní vestavba a nástavba</t>
  </si>
  <si>
    <t>0004962</t>
  </si>
  <si>
    <t>Střední škola oděvního a grafického designu, Lysá nad Labem, Stržiště 475</t>
  </si>
  <si>
    <t>Sociální zařízení v budově školy (č.p. 475)</t>
  </si>
  <si>
    <t>0004969</t>
  </si>
  <si>
    <t>Rekonstrukce školního zařízení</t>
  </si>
  <si>
    <t>058-19/2018/RK ze dne 4.6.2018       035-14/2018/ZK ze dne 25.6.2018</t>
  </si>
  <si>
    <t>0005150</t>
  </si>
  <si>
    <t xml:space="preserve">Obchodní akademie, Vlašim, V Sadě 1565 </t>
  </si>
  <si>
    <t>Zateplení objektu</t>
  </si>
  <si>
    <t>Střední odborné učiliště, Hluboš 178</t>
  </si>
  <si>
    <t>Střední odborná škola a Střední odborné učiliště, Vlašim, Zámek 1</t>
  </si>
  <si>
    <t>BEZ VZ</t>
  </si>
  <si>
    <t xml:space="preserve">Dům dětí a mládeže „Na Výstavišti“, Mladá Boleslav, Husova 201  </t>
  </si>
  <si>
    <t>Celková obnova chatek a klubovny v Bezdědicích</t>
  </si>
  <si>
    <t xml:space="preserve">Střední zdravotnická škola a Vyšší odborná škola zdravotnická, Nymburk, Soudní 20 </t>
  </si>
  <si>
    <t xml:space="preserve">Půdní vestavba učeben </t>
  </si>
  <si>
    <t>Gymnázium Joachima Barranda, Beroun, Talichova 824</t>
  </si>
  <si>
    <t>Tělocvična pro Gymnázium Joachima Barranda</t>
  </si>
  <si>
    <t>1/2019/KUL</t>
  </si>
  <si>
    <t>0001913</t>
  </si>
  <si>
    <t>Oblastní  muzeum Praha - východ</t>
  </si>
  <si>
    <t>Památník národního útlaku a odboje Panenské Břežany - III. etapa zahrada</t>
  </si>
  <si>
    <t>Muzeum Mladoboleslavska</t>
  </si>
  <si>
    <t>Galerie Středočeského kraje</t>
  </si>
  <si>
    <t>Rabasova galerie Rakovník</t>
  </si>
  <si>
    <t>České muzeum stříbra Kutná Hora</t>
  </si>
  <si>
    <t>Regionální muzeum v Kolíně</t>
  </si>
  <si>
    <t>Středočeské muzeum v Roztokách u Prahy</t>
  </si>
  <si>
    <t>8/2019/KUL</t>
  </si>
  <si>
    <t>0004013</t>
  </si>
  <si>
    <t>Galerie středočeského kraje</t>
  </si>
  <si>
    <t>Vybudování kongresového centra v budově parkovacího domu</t>
  </si>
  <si>
    <t>10/2019/KUL</t>
  </si>
  <si>
    <t>0004361</t>
  </si>
  <si>
    <t>Oblastní muzeum Praha-východ</t>
  </si>
  <si>
    <t>Vybudování historické koupelny včetně dobového vybavení v PNÚO Panenské Břežany  - I. a II. NP</t>
  </si>
  <si>
    <t xml:space="preserve">Polabské muzeum </t>
  </si>
  <si>
    <t>Památník A. Dvořáka ve Vysoké u Příbrami</t>
  </si>
  <si>
    <t>Sbírkotvorná činnost příspěvkových organizací - rozšiřování sbírek nákupem předmětů</t>
  </si>
  <si>
    <t>20/2019/KUL</t>
  </si>
  <si>
    <t>0005086</t>
  </si>
  <si>
    <t>Polabské muzeum</t>
  </si>
  <si>
    <t>Regionální muzeum v Jílovém u Prahy</t>
  </si>
  <si>
    <t>Hornické muzeum Příbram</t>
  </si>
  <si>
    <t>26/2019/KUL</t>
  </si>
  <si>
    <t>0005455</t>
  </si>
  <si>
    <t xml:space="preserve">Sládečkovo vlastivědné muzeum v Kladně </t>
  </si>
  <si>
    <t>Celková obnova objektu Lampovna v Hornickém skanzenu Mayrau ve Vinařicích</t>
  </si>
  <si>
    <t>29/2019/KUL</t>
  </si>
  <si>
    <t>0005458</t>
  </si>
  <si>
    <t>30/2019/KUL</t>
  </si>
  <si>
    <t>0005459</t>
  </si>
  <si>
    <t>Muzeum Podblanicka</t>
  </si>
  <si>
    <t xml:space="preserve">Muzeum Podblanicka </t>
  </si>
  <si>
    <t xml:space="preserve">Výstavba nového centrálního muzejního depozitáře Benešov </t>
  </si>
  <si>
    <t>32/2019/KUL</t>
  </si>
  <si>
    <t>0005464</t>
  </si>
  <si>
    <t xml:space="preserve">Rekonstrukce pokladny </t>
  </si>
  <si>
    <t>37/2019/KUL</t>
  </si>
  <si>
    <t xml:space="preserve">Výstavba vstupního objektu ve skanzenu Muzea lidových staveb v Kouřimi </t>
  </si>
  <si>
    <t>38/2019/KUL</t>
  </si>
  <si>
    <t>Rekonstrukce budovy a expozic Vlastivědného muzea Nymburk</t>
  </si>
  <si>
    <t>40/2019/KUL</t>
  </si>
  <si>
    <t>41/2019/KUL</t>
  </si>
  <si>
    <t>Rekonstrukce parku Památníku Antonína Dvořáka</t>
  </si>
  <si>
    <t>48/2019/KUL</t>
  </si>
  <si>
    <t>Prodloužení podchodu Roztoky, společná investice SŽDC z roztockého nádraží do zámku</t>
  </si>
  <si>
    <t>ON Ml. Boleslav, a.s., nem. SČK</t>
  </si>
  <si>
    <t>2/2019/ZDR</t>
  </si>
  <si>
    <t>0002170</t>
  </si>
  <si>
    <t>ON Kladno, a.s., nem. SČK</t>
  </si>
  <si>
    <t>Generel nemocnice Kladno - Rekonstrukce bloku C2</t>
  </si>
  <si>
    <t>4/2019/ZDR</t>
  </si>
  <si>
    <t>0001500</t>
  </si>
  <si>
    <t xml:space="preserve">025-12/2015/RK ze dne 7.4.2015               007-16/2015/ZK ze dne 27.4.2015  </t>
  </si>
  <si>
    <t>ON Kolín, a.s., nem. SČK</t>
  </si>
  <si>
    <t>Pořízení zdravotnické technologie pro Pavilon "N" - neproplacené dotace ROP</t>
  </si>
  <si>
    <t>10/2019/ZDR</t>
  </si>
  <si>
    <t>0002923</t>
  </si>
  <si>
    <t>Dětské centrum Strančice</t>
  </si>
  <si>
    <t>Rekonstrukce dětského centra Chocerady</t>
  </si>
  <si>
    <t>14/2019/ZDR</t>
  </si>
  <si>
    <t>0004306</t>
  </si>
  <si>
    <t>Obnova vozového parku sanitních vozidel</t>
  </si>
  <si>
    <t>Nem. Rudolfa a Stefanie Benešov, a. s., nem. SČK</t>
  </si>
  <si>
    <t>1/2019/REG</t>
  </si>
  <si>
    <t>0002348</t>
  </si>
  <si>
    <t>Železniční zastávky v Hostivici, Chýni, Rudné a Jinočanech - neželezniční části</t>
  </si>
  <si>
    <t>Středočeská centrála cestovního ruchu</t>
  </si>
  <si>
    <t>RDK</t>
  </si>
  <si>
    <t>0004312</t>
  </si>
  <si>
    <t>Zajištění zabezpečenosti dodávky vody pro území Středočeského kraje v rámci Pražské metropolitní oblasti</t>
  </si>
  <si>
    <t>Domov Sedlčany</t>
  </si>
  <si>
    <t>4/2019/SOC</t>
  </si>
  <si>
    <t>0004267</t>
  </si>
  <si>
    <t>Domov seniorů Vidim</t>
  </si>
  <si>
    <t>Rekonstrukce el. rozvodů, topení, vody a vnitřních odpadů</t>
  </si>
  <si>
    <t>Domov seniorů Benešov</t>
  </si>
  <si>
    <t>12/2019/SOC</t>
  </si>
  <si>
    <t>0004634</t>
  </si>
  <si>
    <t xml:space="preserve">Rekonstrukce budovy č.2 </t>
  </si>
  <si>
    <t>Domov Hostomice - Zátor</t>
  </si>
  <si>
    <t>23/2019/SOC</t>
  </si>
  <si>
    <t>0004649</t>
  </si>
  <si>
    <t>Domov seniorů Dobříš</t>
  </si>
  <si>
    <t>Luxor Poděbrady</t>
  </si>
  <si>
    <t>45/2019/SOC</t>
  </si>
  <si>
    <t>Domov seniorů Uhlířské Janovice</t>
  </si>
  <si>
    <t>Nalžovický zámek</t>
  </si>
  <si>
    <t>Domov seniorů Nové Strašecí</t>
  </si>
  <si>
    <t>1/2019/OBŘ</t>
  </si>
  <si>
    <t>0004724</t>
  </si>
  <si>
    <t>Projekt zvyšování bezpečnosti KÚSK</t>
  </si>
  <si>
    <t>Kapitálové prostředky celkem</t>
  </si>
  <si>
    <t>Legenda:</t>
  </si>
  <si>
    <t xml:space="preserve"> </t>
  </si>
  <si>
    <t>akce nově zařazené</t>
  </si>
  <si>
    <t>červené písmo</t>
  </si>
  <si>
    <t>modré písmo</t>
  </si>
  <si>
    <t>snížení celkových nákladů na akci</t>
  </si>
  <si>
    <t>akce zrušené, ukončené</t>
  </si>
  <si>
    <t>Prostředky celkem</t>
  </si>
  <si>
    <t>CELKEM</t>
  </si>
  <si>
    <t>Střední průmyslová škola strojírenská a Jazyková škola s právem státní jazykové zkoušky, Kolín IV, Heverova 191</t>
  </si>
  <si>
    <t>Střední odborné učiliště stavební, Benešov, Jana Nohy 1302</t>
  </si>
  <si>
    <t>Gymnázium Jiřího Ortena, Kutná Hora, Jaselská 932</t>
  </si>
  <si>
    <t>Výměna oken</t>
  </si>
  <si>
    <t>Domov Kladno - Švermov</t>
  </si>
  <si>
    <t>0005244</t>
  </si>
  <si>
    <t>0005247</t>
  </si>
  <si>
    <t>Gymnázium, Benešov, Husova 470</t>
  </si>
  <si>
    <t>Rekonstrukce laboratoře chemie</t>
  </si>
  <si>
    <t xml:space="preserve">Přívěs na přepravu 2 koní </t>
  </si>
  <si>
    <t>Kombajn</t>
  </si>
  <si>
    <t xml:space="preserve">Elektrospotřebiče ŠJ </t>
  </si>
  <si>
    <t>Gymnázium, Vlašim, Tylova 271</t>
  </si>
  <si>
    <t>Integrovaná střední škola technická, Benešov, Černoleská 1997</t>
  </si>
  <si>
    <t>Pořízení CNC pracoviště</t>
  </si>
  <si>
    <t>Dětský domov, Unhošť, Berounská 1292</t>
  </si>
  <si>
    <t>Samostatný vjezd a příjezdová cesta</t>
  </si>
  <si>
    <t>Labyrint-středisko volného času, vzdělávání a služeb, Kladno, Arbesova 1187</t>
  </si>
  <si>
    <t>Montáž nového výtahu (bezbariérový přístup)</t>
  </si>
  <si>
    <t>Střední odborná škola a Střední odborné učiliště, Kladno, Dubská</t>
  </si>
  <si>
    <t>Rekonstrukce kuchyně a jídelny DM</t>
  </si>
  <si>
    <t>Sportovní gymnázium, Kladno, Plzeňská 3103</t>
  </si>
  <si>
    <t>Fasáda budovy včetně zateplení</t>
  </si>
  <si>
    <t>Rekonstrukce elektroinstalace budovy školy</t>
  </si>
  <si>
    <t>Střední škola obchodní, Kolín IV, Havlíčkova 42</t>
  </si>
  <si>
    <t>Rekonstrukce vytápění objektu tělocvičny</t>
  </si>
  <si>
    <t>Výměna tepelného zdroje</t>
  </si>
  <si>
    <t>Zabezpečení ochrany školy</t>
  </si>
  <si>
    <t>Dvořákovo gymnázium a Střední odborná škola ekonomická, Kralupy nad Vltavou, Dvořákovo náměstí 800</t>
  </si>
  <si>
    <t>Rekonstrukce sportovního areálu</t>
  </si>
  <si>
    <t>Střední průmyslová škola stavební, Mělník, Českobratrská 386</t>
  </si>
  <si>
    <t>Školní rozhlas - evakuační</t>
  </si>
  <si>
    <t>Dětský domov a Školní jídelna, Kralupy nad Vltavou, U Sociálního domu 438</t>
  </si>
  <si>
    <t xml:space="preserve">Přístavba budovy - čajovny </t>
  </si>
  <si>
    <t>Integrovaná střední škola technická, Mělník, K učilišti 2566</t>
  </si>
  <si>
    <t>Rekonstrukce DM</t>
  </si>
  <si>
    <t>Střední odborné učiliště, Liběchov, Boží Voda 230</t>
  </si>
  <si>
    <t xml:space="preserve">Střední odborné učiliště, Hubálov 17 </t>
  </si>
  <si>
    <t>Odborné učebny pro instalatéry</t>
  </si>
  <si>
    <t>Výměna oken v celé budově</t>
  </si>
  <si>
    <t>Střední zemědělská škola a Střední odborná škola Poděbrady, příspěvková organizace</t>
  </si>
  <si>
    <t>Rekonstrukce a modernizace sportovního areálu školy</t>
  </si>
  <si>
    <t>Střední odborná škola a Střední odborné učiliště, Nymburk, V Kolonii 1804</t>
  </si>
  <si>
    <t>Oprava a modernizace výtahu v kuchyni</t>
  </si>
  <si>
    <t>Gymnázium J. S. Machara, Brandýs nad Labem - Stará Boleslav, Královická 668</t>
  </si>
  <si>
    <t>Rekonstrukce a modernizace chemického areálu školy</t>
  </si>
  <si>
    <t>Gymnázium a Střední odborná škola ekonomická, Sedlčany, Nádražní 90</t>
  </si>
  <si>
    <t xml:space="preserve">Zateplení budovy školy a střechy </t>
  </si>
  <si>
    <t>Vyšší odborná škola a Střední odborná škola, Březnice, Rožmitálská 340</t>
  </si>
  <si>
    <t>Rekonstrukce křídla DM včetně vybavení</t>
  </si>
  <si>
    <t>Výměna el. rozvodů - dílny</t>
  </si>
  <si>
    <t>PD - snížení energetické náročnosti budov teorie a tělocvičny</t>
  </si>
  <si>
    <t>Masarykova obchodní akademie, Rakovník, Pražská  1222</t>
  </si>
  <si>
    <t>Zateplení objektů</t>
  </si>
  <si>
    <t>III/1042 Zahořany, bezpečnostní opatření na silnici</t>
  </si>
  <si>
    <t>III/3353 Hrusice most ev.3353-2</t>
  </si>
  <si>
    <t>II/101 a III/0096 Neratovice, úprava křižovatky</t>
  </si>
  <si>
    <t>III/1118 Vojslavice, rekonstrukce propustku</t>
  </si>
  <si>
    <t>III/3394 Petrovice, most ev.č. 3394-1</t>
  </si>
  <si>
    <t>III/33420 Molitorov, most ev.č. 33420-1</t>
  </si>
  <si>
    <t>navýšení celkových nákladů na akci</t>
  </si>
  <si>
    <t>0005471</t>
  </si>
  <si>
    <t>Rekonstrukce terasy ve zvýšeném přízemí</t>
  </si>
  <si>
    <t>Rekonstrukce signalizace sestra - pacient</t>
  </si>
  <si>
    <t>Pořízení výtahu a vybudování bezbarierového přístupu</t>
  </si>
  <si>
    <t>Vybudování komunikačního systému sestra-klient a EPS</t>
  </si>
  <si>
    <t>Domov Vraný</t>
  </si>
  <si>
    <t>Nákup osobního automobilu</t>
  </si>
  <si>
    <t>Park generací</t>
  </si>
  <si>
    <t>Rekonstrukce vnitřní počítačové sítě (intranetu)</t>
  </si>
  <si>
    <t>9 místný automobil pro přepravu osob a nákladu</t>
  </si>
  <si>
    <t>89/2019/DOP</t>
  </si>
  <si>
    <t>91/2019/DOP</t>
  </si>
  <si>
    <t>94/2019/DOP</t>
  </si>
  <si>
    <t>96/2019/DOP</t>
  </si>
  <si>
    <t>97/2019/DOP</t>
  </si>
  <si>
    <t>100/2019/DOP</t>
  </si>
  <si>
    <t>102/2019/DOP</t>
  </si>
  <si>
    <t>0005483</t>
  </si>
  <si>
    <t>69/2019/SOC</t>
  </si>
  <si>
    <t>77/2019/SOC</t>
  </si>
  <si>
    <t>86/2019/SOC</t>
  </si>
  <si>
    <t>89/2019/SOC</t>
  </si>
  <si>
    <t>92/2019/SOC</t>
  </si>
  <si>
    <t>97/2019/SOC</t>
  </si>
  <si>
    <t>Neurčito</t>
  </si>
  <si>
    <t>zeleně podbarveno + poznámka</t>
  </si>
  <si>
    <t>oranžově podbarveno</t>
  </si>
  <si>
    <t>x</t>
  </si>
  <si>
    <t>0005319</t>
  </si>
  <si>
    <t>0005482</t>
  </si>
  <si>
    <t>0001783</t>
  </si>
  <si>
    <t>0005437</t>
  </si>
  <si>
    <t>průběžně</t>
  </si>
  <si>
    <t>Rozvoj Rabasovy galerie Rakovník, stavební úpravy a dostavba</t>
  </si>
  <si>
    <t>*</t>
  </si>
  <si>
    <t>Smlouva Ano/Ne</t>
  </si>
  <si>
    <t>Realizace fyzicky začala Ano/Ne</t>
  </si>
  <si>
    <t>051-39/2017/RK ze dne 13.11.2017  028-11/2017/ZK ze dne 5.12.2017</t>
  </si>
  <si>
    <t>025-05/2019/RK ze dne 4.2.2019  101-17/2019/ZK ze dne 18.2.2019</t>
  </si>
  <si>
    <t>1/2019/INF</t>
  </si>
  <si>
    <t>3/2019/INF</t>
  </si>
  <si>
    <t>5/2019/INF</t>
  </si>
  <si>
    <t>018-34/2018/RK ze dne 5.11.2018 128-16/2018/ZK ze dne 24.11.2018</t>
  </si>
  <si>
    <t>6/2019/INF</t>
  </si>
  <si>
    <t>9/2019/INF</t>
  </si>
  <si>
    <t>10/2019/INF</t>
  </si>
  <si>
    <t>0005549</t>
  </si>
  <si>
    <t>Průběžně</t>
  </si>
  <si>
    <t>NE</t>
  </si>
  <si>
    <t>ANO</t>
  </si>
  <si>
    <t>069-42/2017/RK ze dne 4.12.2017 015-12/2018/ZK ze dne 29.1.2018</t>
  </si>
  <si>
    <t>ZRUŠENO</t>
  </si>
  <si>
    <t>0005508</t>
  </si>
  <si>
    <t>Přenosné osobní pokladny</t>
  </si>
  <si>
    <t>Galerie Středočeského kraje, Kutná Hora</t>
  </si>
  <si>
    <t>Koupě zámku v Přerově nad Labem (splátky hodnoty nemovitosti jsou naplánovány na 5 let)</t>
  </si>
  <si>
    <t>Výstavba nového centrálního muzejního depozitáře pro RM Kolín v Kouřimi</t>
  </si>
  <si>
    <t>0005560</t>
  </si>
  <si>
    <t>0005561</t>
  </si>
  <si>
    <t>0005563</t>
  </si>
  <si>
    <t>0005564</t>
  </si>
  <si>
    <t>0005571</t>
  </si>
  <si>
    <t>UKONČENO</t>
  </si>
  <si>
    <t>100/2019/SOC</t>
  </si>
  <si>
    <t>Rekonstrukce střechy - Ledce bytový dům</t>
  </si>
  <si>
    <t>102/2019/SOC</t>
  </si>
  <si>
    <t>až budou finanční prostředky</t>
  </si>
  <si>
    <t>.</t>
  </si>
  <si>
    <t>018-34/2018/RK ze dne 5.11.2018 128-16/2018/ZK ze dne 26.11.2018</t>
  </si>
  <si>
    <t>Víceúčelová sportovní hala</t>
  </si>
  <si>
    <t>Zřízení vodorovného dopravního značení, bezpečnostní prvky</t>
  </si>
  <si>
    <t>celkem</t>
  </si>
  <si>
    <t>3</t>
  </si>
  <si>
    <t>1</t>
  </si>
  <si>
    <t>2</t>
  </si>
  <si>
    <t>4</t>
  </si>
  <si>
    <t>CELKEM 17 - Odbor sociálních věcí</t>
  </si>
  <si>
    <t>CELKEM 10 - Odbor životního prostředí a zemědělství</t>
  </si>
  <si>
    <t>CELKEM 09 - Odbor řízení dotačních projektů</t>
  </si>
  <si>
    <t>CELKEM 07 - Odbor zdravotnictví</t>
  </si>
  <si>
    <t>CELKEM 06 - Odbor kultury a památkové péče</t>
  </si>
  <si>
    <t>CELKEM 05 - Odbor školství</t>
  </si>
  <si>
    <t>CELKEM 04 - Odbor dopravy</t>
  </si>
  <si>
    <t>CELKEM 03 - Odbor informatiky</t>
  </si>
  <si>
    <t>CELKEM 01 - Odbor Kancelář hejtmanky</t>
  </si>
  <si>
    <t>Kompletní rekonstrukce elektroinstalace v DS</t>
  </si>
  <si>
    <t>1/2019/OZP</t>
  </si>
  <si>
    <t>2/2019/OZP</t>
  </si>
  <si>
    <t>022-14/2019/RK ze dne 15.4.2019  108-18/2019/ZK ze dne 29.4.2019</t>
  </si>
  <si>
    <t>109/2019/SOC</t>
  </si>
  <si>
    <t>110/2019/SOC</t>
  </si>
  <si>
    <t>Centrální zařízení na úpravu vody</t>
  </si>
  <si>
    <t>111/2019/SOC</t>
  </si>
  <si>
    <t>Výstavba technické budovy, údržba a prádelna</t>
  </si>
  <si>
    <t>112/2019/SOC</t>
  </si>
  <si>
    <t>Rekonstrukce zařízení sestra pacient</t>
  </si>
  <si>
    <t>113/2019/SOC</t>
  </si>
  <si>
    <t>114/2019/SOC</t>
  </si>
  <si>
    <t>116/2019/SOC</t>
  </si>
  <si>
    <t>117/2019/SOC</t>
  </si>
  <si>
    <t>Nákup plynového kotle</t>
  </si>
  <si>
    <t>119/2019/SOC</t>
  </si>
  <si>
    <t>120/2019/SOC</t>
  </si>
  <si>
    <t>Bellevue Ledce</t>
  </si>
  <si>
    <t>Domov Na Hrádku, Červený Hrádek</t>
  </si>
  <si>
    <t>Rybka Neratovice</t>
  </si>
  <si>
    <t>Domov Buda, Zásmuky</t>
  </si>
  <si>
    <t>Domov Pod Kavčí Skálou, Říčany u Prahy</t>
  </si>
  <si>
    <t>Vyšší Hrádek, Brandýs n.L.</t>
  </si>
  <si>
    <t>Domov seniorů TGM, Beroun</t>
  </si>
  <si>
    <t>Domov Na Zátiší, Rakovník</t>
  </si>
  <si>
    <t>Domov Laguna, Psáry</t>
  </si>
  <si>
    <t>Domov Domino, Zavidov</t>
  </si>
  <si>
    <t>Domov Na Zámku, Lysá</t>
  </si>
  <si>
    <t>51/2019/KUL</t>
  </si>
  <si>
    <t>Výklenková kaplička se sousoším sv. Jana Nepomuckého z Tismic</t>
  </si>
  <si>
    <t>1/2022</t>
  </si>
  <si>
    <t>0005622</t>
  </si>
  <si>
    <t>5/2022</t>
  </si>
  <si>
    <t>3/2021</t>
  </si>
  <si>
    <t>044-36/2017/RK ze dne 12.10.2017  009-10/2017/ZK ze dne 24.10.2017</t>
  </si>
  <si>
    <t>040-23/2017/RK ze dne 15.6.2017   038-07/2017/ZK ze dne 27.6.2017</t>
  </si>
  <si>
    <t>054-14/2014/RK ze dne 14.4.2014            013-11/2014/ZK ze dne 28.4.2014</t>
  </si>
  <si>
    <t>026-13/2016/RK ze dne 4.4.2016  012-22 /2016/ZK ze dne 25.4.2016</t>
  </si>
  <si>
    <t>066-10/2012/RK ze dne 12.03.2012   062-21/2012/ZK ze dne 19.03.2012</t>
  </si>
  <si>
    <t>060-26/2017/RK ze dne 20.7.2017  044-36/2017/RK ze dne 12.10.2017  009-10/2017/ZK ze dne 24.10.2017</t>
  </si>
  <si>
    <t>007-09/2017/RK ze dne 9.3.2017  040-23/2017/RK ze dne 15.6.2017   038-07/2017/ZK ze dne 27.6.2017</t>
  </si>
  <si>
    <t>071-29/2016/RK ze dne 29.8.2016       012-24/2016/ZK ze dne 19.9.2016</t>
  </si>
  <si>
    <t>026-13/2016/RK ze dne 4.4.2016    012-22/2016/ZK ze dne 25.4.2016</t>
  </si>
  <si>
    <t>047-11/2017/RK ze dne 23.3.2017  040-23/2017/RK ze dne 15.6.2017</t>
  </si>
  <si>
    <t>075-07/2006/RK ze dne 30.03.2006                   013-11/2006/ZK ze dne 24.04.2006</t>
  </si>
  <si>
    <t>008-08/2013/RK ze dne 25.02.2013           004-03/2013/ZK ze dne 11.03.2013</t>
  </si>
  <si>
    <t>042-11/2011/RK ze dne 07.03.2011           047-15/2011/ZK ze dne 11.03.2011</t>
  </si>
  <si>
    <t>042-11/2011/RK ze dne 07.03.2011              047-15/2011/ZK ze dne 11.03.2011</t>
  </si>
  <si>
    <t>Nákup a rekonstrukce domu Kamýk</t>
  </si>
  <si>
    <t>Odborné učiliště, Praktická škola, Základní škola a Mateřská škola Příbram IV</t>
  </si>
  <si>
    <t>vlastní prostředky PO, a.s.</t>
  </si>
  <si>
    <t>prostředky rozpočtu SK kromě kap. 12</t>
  </si>
  <si>
    <t xml:space="preserve">016-06/2017/RK ze dne 16.2.2017   022-04/2017/ZK ze dne 7.3.2017     </t>
  </si>
  <si>
    <t>126/2019/SKOL</t>
  </si>
  <si>
    <t>1/2019/SKOL</t>
  </si>
  <si>
    <t>3/2019/SKOL</t>
  </si>
  <si>
    <t>6/2019/SKOL</t>
  </si>
  <si>
    <t>7/2019/SKOL</t>
  </si>
  <si>
    <t>8/2019/SKOL</t>
  </si>
  <si>
    <t>11/2019/SKOL</t>
  </si>
  <si>
    <t>14/2019/SKOL</t>
  </si>
  <si>
    <t>17/2019/SKOL</t>
  </si>
  <si>
    <t>18/2019/SKOL</t>
  </si>
  <si>
    <t>20/2019/SKOL</t>
  </si>
  <si>
    <t>31/2019/SKOL</t>
  </si>
  <si>
    <t>33/2019/SKOL</t>
  </si>
  <si>
    <t>34/2019/SKOL</t>
  </si>
  <si>
    <t>38/2019/SKOL</t>
  </si>
  <si>
    <t>39/2019/SKOL</t>
  </si>
  <si>
    <t>42/2019/SKOL</t>
  </si>
  <si>
    <t>45/2019/SKOL</t>
  </si>
  <si>
    <t>53/2019/SKOL</t>
  </si>
  <si>
    <t>56/2019/SKOL</t>
  </si>
  <si>
    <t>66/2019/SKOL</t>
  </si>
  <si>
    <t>67/2019/SKOL</t>
  </si>
  <si>
    <t>68/2019/SKOL</t>
  </si>
  <si>
    <t>69/2019/SKOL</t>
  </si>
  <si>
    <t>77/2019/SKOL</t>
  </si>
  <si>
    <t>79/2019/SKOL</t>
  </si>
  <si>
    <t>80/2019/SKOL</t>
  </si>
  <si>
    <t>83/2019/SKOL</t>
  </si>
  <si>
    <t>84/2019/SKOL</t>
  </si>
  <si>
    <t>86/2019/SKOL</t>
  </si>
  <si>
    <t>87/2019/SKOL</t>
  </si>
  <si>
    <t>91/2019/SKOL</t>
  </si>
  <si>
    <t>92/2019/SKOL</t>
  </si>
  <si>
    <t>94/2019/SKOL</t>
  </si>
  <si>
    <t>96/2019/SKOL</t>
  </si>
  <si>
    <t>98/2019/SKOL</t>
  </si>
  <si>
    <t>99/2019/SKOL</t>
  </si>
  <si>
    <t>100/2019/SKOL</t>
  </si>
  <si>
    <t>103/2019/SKOL</t>
  </si>
  <si>
    <t>104/2019/SKOL</t>
  </si>
  <si>
    <t>107/2019/SKOL</t>
  </si>
  <si>
    <t>108/2019/SKOL</t>
  </si>
  <si>
    <t>110/2019/SKOL</t>
  </si>
  <si>
    <t>112/2019/SKOL</t>
  </si>
  <si>
    <t>114/2019/SKOL</t>
  </si>
  <si>
    <t>115/2019/SKOL</t>
  </si>
  <si>
    <t>116/2019/SKOL</t>
  </si>
  <si>
    <t>119/2019/SKOL</t>
  </si>
  <si>
    <t>120/2019/SKOL</t>
  </si>
  <si>
    <t>122/2019/SKOL</t>
  </si>
  <si>
    <t>127/2019/SKOL</t>
  </si>
  <si>
    <t>Gymnázium Dr. Josefa Pekaře, Mladá Boleslav, Palackého 211</t>
  </si>
  <si>
    <t>Dokončení sanace suterénu</t>
  </si>
  <si>
    <t>025-19/2019/RK ze dne 3.6.2019  095-19/2019/ZK ze dne 24.6.2019</t>
  </si>
  <si>
    <t>0005541</t>
  </si>
  <si>
    <t>52/2019/KUL</t>
  </si>
  <si>
    <t>Prototyp parkovacího modulu pro cyklisty</t>
  </si>
  <si>
    <t>54/2019/KUL</t>
  </si>
  <si>
    <t>Středočeská vědecká knihovna v Kladně</t>
  </si>
  <si>
    <t>Žaluzie na elektrické dálkové ovládání - zatemnění studovny a nákup tiskárny A3+</t>
  </si>
  <si>
    <t>57/2019/KUL</t>
  </si>
  <si>
    <t>Rekonstrukce objektu konírny</t>
  </si>
  <si>
    <t xml:space="preserve">Místa pro kontrolu nákladních vozidel </t>
  </si>
  <si>
    <t>Rekonstrukce vážních míst VRN vozidel - II/101 Neratovice, II/101 Říčany, II/125 Kolín-Sendražice a II/331 Ovčáry u Mělníka</t>
  </si>
  <si>
    <t xml:space="preserve">Přípravné a projekční práce zabezpečení investičních staveb </t>
  </si>
  <si>
    <t>Roždalovice MK ul. Spojovací budoucí III/27523</t>
  </si>
  <si>
    <t>Pyšely - III/0311 a III/0312, rekonstrukce silnic</t>
  </si>
  <si>
    <t>Most ev.č.33355-1 přes Hořanský potok v obci Libenice</t>
  </si>
  <si>
    <t>23933-4 Hobšovice</t>
  </si>
  <si>
    <t>Most III/25915 Bezděz, rekonstrukce mostu 25915-1</t>
  </si>
  <si>
    <t>III/3272 Hlízov</t>
  </si>
  <si>
    <t>III/33012 Písty</t>
  </si>
  <si>
    <t>III/1256 Vlašim - Veliš</t>
  </si>
  <si>
    <t>109/2019/DOP</t>
  </si>
  <si>
    <t>112/2019/DOP</t>
  </si>
  <si>
    <t>113/2019/DOP</t>
  </si>
  <si>
    <t>114/2019/DOP</t>
  </si>
  <si>
    <t>116/2019/DOP</t>
  </si>
  <si>
    <t>117/2019/DOP</t>
  </si>
  <si>
    <t>119/2019/DOP</t>
  </si>
  <si>
    <t>121/2019/DOP</t>
  </si>
  <si>
    <t>122/2019/DOP</t>
  </si>
  <si>
    <t>123/2019/DOP</t>
  </si>
  <si>
    <t>126/2019/DOP</t>
  </si>
  <si>
    <t>127/2019/DOP</t>
  </si>
  <si>
    <t>128/2019/DOP</t>
  </si>
  <si>
    <t>III/1057 komunikace na hrázi Dunávického rybníka</t>
  </si>
  <si>
    <t>129/2019/DOP</t>
  </si>
  <si>
    <t>Letiště Benešov – zpevnění RWY a SZZ</t>
  </si>
  <si>
    <t>147/2019/DOP</t>
  </si>
  <si>
    <t>150/2019/DOP</t>
  </si>
  <si>
    <t>II/244 Měšice, rekonstrukce mostu ev.č. 244-001, demolice mostu</t>
  </si>
  <si>
    <t>157/2019/DOP</t>
  </si>
  <si>
    <t>Propustek Bělušice III/3279 km 5,321, Propustek Sokoleč III/3297 km 3,000</t>
  </si>
  <si>
    <t>159/2019/DOP</t>
  </si>
  <si>
    <t>II/268 Klášter Hradiště n. Jiz., most ev.č. 268-007</t>
  </si>
  <si>
    <t>162/2019/DOP</t>
  </si>
  <si>
    <t>III/24032 Budihostice, most ev.č.24032-2 přes Vranský potok</t>
  </si>
  <si>
    <t>185/2019/DOP</t>
  </si>
  <si>
    <t>II/508, III/11319 Mnichovice, Myšlín</t>
  </si>
  <si>
    <t>194/2019/DOP</t>
  </si>
  <si>
    <t>199/2019/DOP</t>
  </si>
  <si>
    <t>III/22916,III/22917a III/22917n Krupá</t>
  </si>
  <si>
    <t>200/2019/DOP</t>
  </si>
  <si>
    <t>III/22940 Pochvalov</t>
  </si>
  <si>
    <t>201/2019/DOP</t>
  </si>
  <si>
    <t>III/11517,III/11519 Zadní Třebáň</t>
  </si>
  <si>
    <t>12/2021</t>
  </si>
  <si>
    <t>0005865</t>
  </si>
  <si>
    <t>0005866</t>
  </si>
  <si>
    <t>0005868</t>
  </si>
  <si>
    <t>0005876</t>
  </si>
  <si>
    <t>63/2019/KUL</t>
  </si>
  <si>
    <t>65/2019/KUL</t>
  </si>
  <si>
    <t>Hornicko-hutnická expozice</t>
  </si>
  <si>
    <t>Zpracování projektové dokumentace na akci „Rozšíření vodárenské soustavy v koridoru dálnice D3"</t>
  </si>
  <si>
    <t>Rekonstrukce sociálních zařízení v budově KÚ</t>
  </si>
  <si>
    <t>Časový horizont změny aktuálního stavu (měsíc /rok)</t>
  </si>
  <si>
    <t>3.Q         (1.7.-30.9.)</t>
  </si>
  <si>
    <t>4.Q         (1.10.-31.12.)</t>
  </si>
  <si>
    <t>0005761</t>
  </si>
  <si>
    <t>v ZI od roku</t>
  </si>
  <si>
    <t>Zařazeno do Zásobníku investic usnesením RK/ZK</t>
  </si>
  <si>
    <t>0005850</t>
  </si>
  <si>
    <t>0004491</t>
  </si>
  <si>
    <t>0003227</t>
  </si>
  <si>
    <t>10/2025</t>
  </si>
  <si>
    <t>20/2020/INF</t>
  </si>
  <si>
    <t>Redundace LAN infrastruktury</t>
  </si>
  <si>
    <t>21/2020/INF</t>
  </si>
  <si>
    <t>Rozšíření systému zálohování prostřednictvím Data Domain appliance v rámci technologického centra</t>
  </si>
  <si>
    <t>0005882</t>
  </si>
  <si>
    <t>0003589</t>
  </si>
  <si>
    <t>0005913</t>
  </si>
  <si>
    <t>2/2021</t>
  </si>
  <si>
    <t>KSUS</t>
  </si>
  <si>
    <t>3/2022</t>
  </si>
  <si>
    <t>stavebně hotovo</t>
  </si>
  <si>
    <t>Opěrná zeď silnic III/11619 Karlštejn</t>
  </si>
  <si>
    <t>4/2021</t>
  </si>
  <si>
    <t>203/2020/DOP</t>
  </si>
  <si>
    <t>Obnova budov cestmistrovství</t>
  </si>
  <si>
    <t>205/2020/DOP</t>
  </si>
  <si>
    <t>206/2020/DOP</t>
  </si>
  <si>
    <t>207/2020/DOP</t>
  </si>
  <si>
    <t xml:space="preserve"> Lineární směrovací systém (BESIP)</t>
  </si>
  <si>
    <t>209/2020/DOP</t>
  </si>
  <si>
    <t>213/2020/DOP</t>
  </si>
  <si>
    <t>II/336 Buda - Čejtice</t>
  </si>
  <si>
    <t>214/2020/DOP</t>
  </si>
  <si>
    <t>215/2020/DOP</t>
  </si>
  <si>
    <t>II/328 Sloveč - Kněžice</t>
  </si>
  <si>
    <t>216/2020/DOP</t>
  </si>
  <si>
    <t>217/2020/DOP</t>
  </si>
  <si>
    <t>III/24025 a III/24027 Žižice - Ješín</t>
  </si>
  <si>
    <t>219/2020/DOP</t>
  </si>
  <si>
    <t xml:space="preserve">III/10115 Dolní Břežany - propustek  </t>
  </si>
  <si>
    <t>220/2020/DOP</t>
  </si>
  <si>
    <t xml:space="preserve">II/101 Dřetovice, havárie zemního tělesa </t>
  </si>
  <si>
    <t>222/2020/DOP</t>
  </si>
  <si>
    <t>224/2020/DOP</t>
  </si>
  <si>
    <t>Dopravní značení - omezení tranzitní dopravy</t>
  </si>
  <si>
    <t>225/2020/DOP</t>
  </si>
  <si>
    <t>III/0181 Láz</t>
  </si>
  <si>
    <t>226/2020/DOP</t>
  </si>
  <si>
    <t>III/11420 Kotenčice - Pičín</t>
  </si>
  <si>
    <t>Domov Seniorů Vojkov</t>
  </si>
  <si>
    <t>Nákup a následná rekonstrukce nemovitosti č.p. 41</t>
  </si>
  <si>
    <t xml:space="preserve">Rekonstrukce elektroinstalace </t>
  </si>
  <si>
    <t>Domov u Anežky Luštěnice</t>
  </si>
  <si>
    <t>131/2020/SOC</t>
  </si>
  <si>
    <t>036-23/2011/RK ze dne 30.05.2011 043-16/2011/ZK ze dne 6.6.2011</t>
  </si>
  <si>
    <t>12/2022</t>
  </si>
  <si>
    <t>0005879</t>
  </si>
  <si>
    <t>0005783</t>
  </si>
  <si>
    <t>9/2023</t>
  </si>
  <si>
    <t>Školní statek Středočeského kraje, příspěvková organizace - středisko Mělník</t>
  </si>
  <si>
    <t>042-33/2019/RK ze dne 31.10.2019    139-21/2019/ZK ze dne 25.11.2019</t>
  </si>
  <si>
    <t>0006044</t>
  </si>
  <si>
    <t>0004844</t>
  </si>
  <si>
    <t>048-24/2019/RK ze dne  29.7.2019 088-20/2019/ZK ze dne 26.8.2019</t>
  </si>
  <si>
    <t>066-02/2020/RK ze dne 13.1.2020    071-22/2020/ZK ze dne 27.1.2020</t>
  </si>
  <si>
    <t>23/2020/INF</t>
  </si>
  <si>
    <t>Rozšíření GINIS</t>
  </si>
  <si>
    <t>24/2020/INF</t>
  </si>
  <si>
    <t>Rozlikávací rozpočet</t>
  </si>
  <si>
    <t>25/2020/INF</t>
  </si>
  <si>
    <t>11/2021</t>
  </si>
  <si>
    <t>10/2021</t>
  </si>
  <si>
    <t>6/2021</t>
  </si>
  <si>
    <t>7/2021</t>
  </si>
  <si>
    <t>Informační portály na komunikacích SÚS Středočeského kraje I. etapa</t>
  </si>
  <si>
    <t>11/2022</t>
  </si>
  <si>
    <t>Instalace a oprava svodidel u silnic II. a III.tříd</t>
  </si>
  <si>
    <t>II/201 Hřebečníky, oprava propustku</t>
  </si>
  <si>
    <t>II/116 před obcí Karlštejn, nestabilní skalní masiv</t>
  </si>
  <si>
    <t>228/2020/DOP</t>
  </si>
  <si>
    <t>III/1265 Sedmpány - úprava odvodnění</t>
  </si>
  <si>
    <t>229/2020/DOP</t>
  </si>
  <si>
    <t>III/32919, Blato, 32919-1</t>
  </si>
  <si>
    <t>III/2751 Nemyslovice - Velké Všelisy</t>
  </si>
  <si>
    <t>Výkup nové přípojky elektřiny Bratronice</t>
  </si>
  <si>
    <t>66/2020/KUL</t>
  </si>
  <si>
    <t>Vybudování vnitřního osvětlení komunikace v areálu SM v Roztokách u Prahy</t>
  </si>
  <si>
    <t>67/2020/KUL</t>
  </si>
  <si>
    <t>Rekonstrukce historického hospodářského stavení v Dolní Krupé</t>
  </si>
  <si>
    <t>68/2020/KUL</t>
  </si>
  <si>
    <t>69/2020/KUL</t>
  </si>
  <si>
    <t>Převoz seníku z Rokytnice nad Jizerou</t>
  </si>
  <si>
    <t>70/2020/KUL</t>
  </si>
  <si>
    <t>Umělecká kopie Kutnohorské iluminace</t>
  </si>
  <si>
    <t>Český Brod - obnova elektroinstalace</t>
  </si>
  <si>
    <t xml:space="preserve">Výměna garážových vrat </t>
  </si>
  <si>
    <t>15/2020/MJT</t>
  </si>
  <si>
    <t>0006085</t>
  </si>
  <si>
    <t>0006078</t>
  </si>
  <si>
    <t>0006080</t>
  </si>
  <si>
    <t>9/2021</t>
  </si>
  <si>
    <t>0006081</t>
  </si>
  <si>
    <t>0006082</t>
  </si>
  <si>
    <t>148/2020/SKOL</t>
  </si>
  <si>
    <t>Dokončení zateplení fasád budovy dílen odborného výcviku</t>
  </si>
  <si>
    <t>149/2020/SKOL</t>
  </si>
  <si>
    <t xml:space="preserve">Instruktážní nácviková hala </t>
  </si>
  <si>
    <t>150/2020/SKOL</t>
  </si>
  <si>
    <t>Dětský domov a Mateřská škola, Beroun, příspěvková organizace</t>
  </si>
  <si>
    <t>Nákup osobního vozu</t>
  </si>
  <si>
    <t>151/2020/SKOL</t>
  </si>
  <si>
    <t>153/2020/SKOL</t>
  </si>
  <si>
    <t>Dětský domov a Školní jídelna, Zruč nad Sázavou, Poštovní 594</t>
  </si>
  <si>
    <t>Nákup devítimístného vozidla</t>
  </si>
  <si>
    <t>156/2020/SKOL</t>
  </si>
  <si>
    <t>Traktor 70-100 KW</t>
  </si>
  <si>
    <t>159/2020/SKOL</t>
  </si>
  <si>
    <t>Gymnázium Jiřího z Poděbrad, Poděbrady, Studentská 166</t>
  </si>
  <si>
    <t>PD - přístavba jižního křídla</t>
  </si>
  <si>
    <t>162/2020/SKOL</t>
  </si>
  <si>
    <t>163/2020/SKOL</t>
  </si>
  <si>
    <t>Střední zemědělská škola, Rakovník, Pražská 1222</t>
  </si>
  <si>
    <t xml:space="preserve">Traktor </t>
  </si>
  <si>
    <t>165/2020/SKOL</t>
  </si>
  <si>
    <t>Krmný vůz</t>
  </si>
  <si>
    <t>0006137</t>
  </si>
  <si>
    <t>0005939</t>
  </si>
  <si>
    <t>0005940</t>
  </si>
  <si>
    <t>0006165</t>
  </si>
  <si>
    <t>0006053</t>
  </si>
  <si>
    <t>235/2020/DOP</t>
  </si>
  <si>
    <t>II/329 Poděbrady, přemostění přes ČD</t>
  </si>
  <si>
    <t>Vybudování nových sociálních zařízení z umakartových jader</t>
  </si>
  <si>
    <t>0006071</t>
  </si>
  <si>
    <t>Středočeský portál služeb</t>
  </si>
  <si>
    <t>2/2020/ŘDP</t>
  </si>
  <si>
    <t>Aktuální stav (Příprava VZ, Probíhá VZ, Realizace, Finanční vypořádání, Ukončeno,  Zrušeno)</t>
  </si>
  <si>
    <t>Rekonstrukce elektroinstalace, rozvodu vody a odpadů v DOZP</t>
  </si>
  <si>
    <t xml:space="preserve">Rekonstrukce  pokojů II. Etapa </t>
  </si>
  <si>
    <t>Nákup nem. pro den. stac a odl. sl. v okr. Rakovník</t>
  </si>
  <si>
    <t xml:space="preserve">Rekonstrukce pokojů III. etapa </t>
  </si>
  <si>
    <t>132/2020/SOC</t>
  </si>
  <si>
    <t>133/2020/SOC</t>
  </si>
  <si>
    <t>Úprava parteru - odvlhčení stěn v 1. PP</t>
  </si>
  <si>
    <t>16/2020/MJT</t>
  </si>
  <si>
    <t>Rekonstrukce podatelny KÚ - část pro veřejnost</t>
  </si>
  <si>
    <t>17/2020/MJT</t>
  </si>
  <si>
    <t>Dělící prosklené stěny v budově KÚ</t>
  </si>
  <si>
    <t>0006256</t>
  </si>
  <si>
    <t>0006262</t>
  </si>
  <si>
    <t>5/2021</t>
  </si>
  <si>
    <t>0006259</t>
  </si>
  <si>
    <t>12/2023</t>
  </si>
  <si>
    <t>0006244</t>
  </si>
  <si>
    <t>0006243</t>
  </si>
  <si>
    <t>0006269</t>
  </si>
  <si>
    <t>71/2020/KUL</t>
  </si>
  <si>
    <t>72/2020/KUL</t>
  </si>
  <si>
    <t>probíhá soudní spor</t>
  </si>
  <si>
    <t>Finanční vypořádání</t>
  </si>
  <si>
    <t>0006198</t>
  </si>
  <si>
    <t>6/2022</t>
  </si>
  <si>
    <t>Netvořice III/1056, III/1057, III/1059, III/10510, III/1065</t>
  </si>
  <si>
    <t>238/2020/DOP</t>
  </si>
  <si>
    <t>239/2020/DOP</t>
  </si>
  <si>
    <t xml:space="preserve">III/0172 Opatovice, most ev.č.0172-1 </t>
  </si>
  <si>
    <t>241/2020/DOP</t>
  </si>
  <si>
    <t>III/22918 Kounov</t>
  </si>
  <si>
    <t>242/2020/DOP</t>
  </si>
  <si>
    <t>III/23628 Drnek</t>
  </si>
  <si>
    <t>243/2020/DOP</t>
  </si>
  <si>
    <t>II/113 Mrzky</t>
  </si>
  <si>
    <t>244/2020/DOP</t>
  </si>
  <si>
    <t>245/2020/DOP</t>
  </si>
  <si>
    <t>III/1018 Dolní Lomnice</t>
  </si>
  <si>
    <t>246/2020/DOP</t>
  </si>
  <si>
    <t>III/1064 Nedvězí</t>
  </si>
  <si>
    <t>247/2020/DOP</t>
  </si>
  <si>
    <t>III/00412, III/10227 Dlouhá Lhota</t>
  </si>
  <si>
    <t>248/2020/DOP</t>
  </si>
  <si>
    <t>III/24424 Čečelice</t>
  </si>
  <si>
    <t>249/2020/DOP</t>
  </si>
  <si>
    <t>III/32819 Běrunice</t>
  </si>
  <si>
    <t>250/2020/DOP</t>
  </si>
  <si>
    <t>III/10228 Svaté Pole</t>
  </si>
  <si>
    <t>III/24424, III/2752 Kostelní Hlavno</t>
  </si>
  <si>
    <t>III/23919 Želevčice</t>
  </si>
  <si>
    <t>025-13/2020/RK ze dne 30.3.2020 115-24/2020/ZK ze dne 1.6.2020</t>
  </si>
  <si>
    <t>251/2020/DOP</t>
  </si>
  <si>
    <t>252/2020/DOP</t>
  </si>
  <si>
    <t>0006327</t>
  </si>
  <si>
    <t>0006218</t>
  </si>
  <si>
    <t>036-53/2020/RK ze dne 20.7.2020  130-26/2020/ZK ze dne 3.8.2020</t>
  </si>
  <si>
    <t>0006295</t>
  </si>
  <si>
    <t>0006294</t>
  </si>
  <si>
    <t>0005936</t>
  </si>
  <si>
    <t xml:space="preserve"> společná investice se SŽDC</t>
  </si>
  <si>
    <t>mimo rozpočet SK</t>
  </si>
  <si>
    <t>139/2020/ZDR</t>
  </si>
  <si>
    <t>0006412</t>
  </si>
  <si>
    <t>Pavilon centrálního příjmu</t>
  </si>
  <si>
    <t>141/2020/ZDR</t>
  </si>
  <si>
    <t>Rekonstrukce jednoho podlaží a suterénu pavilonu I (pavilon interní medicíny)</t>
  </si>
  <si>
    <t>142/2020/ZDR</t>
  </si>
  <si>
    <t>0006414</t>
  </si>
  <si>
    <t>Rekonstrukce objektu SO 03, pavilon "O"</t>
  </si>
  <si>
    <t>143/2020/ZDR</t>
  </si>
  <si>
    <t>Rekonstrukce objektu SO 05, pavilon "E"</t>
  </si>
  <si>
    <t>144/2020/ZDR</t>
  </si>
  <si>
    <t>0006419</t>
  </si>
  <si>
    <t>Pavilon č. 4 (etapa 2)</t>
  </si>
  <si>
    <t>145/2020/ZDR</t>
  </si>
  <si>
    <t xml:space="preserve">ZZS SČK, p. o. </t>
  </si>
  <si>
    <t>Vybudování nového stanoviště ZZS SK, Slaný</t>
  </si>
  <si>
    <t>146/2020/ZDR</t>
  </si>
  <si>
    <t>Vybudování nového stanoviště ZZS SK, Benešov</t>
  </si>
  <si>
    <t>147/2020/ZDR</t>
  </si>
  <si>
    <t>Vybudování nového stanoviště ZZS SK, Říčany</t>
  </si>
  <si>
    <t>148/2020/ZDR</t>
  </si>
  <si>
    <t>ON Příbram, a. s.</t>
  </si>
  <si>
    <t>150/2020/ZDR</t>
  </si>
  <si>
    <t>0006413</t>
  </si>
  <si>
    <t>Rekonstrukce 2. NP pavilonu E v areálu 2 (léčebna dlouhodobě nemocných)</t>
  </si>
  <si>
    <t>136/2020/SOC</t>
  </si>
  <si>
    <t>Demolice původní budovy školského zařízení a výstavba nové budovy DS v Dobříši</t>
  </si>
  <si>
    <t>137/2020/SOC</t>
  </si>
  <si>
    <t>Domov seniorů Jenštejn</t>
  </si>
  <si>
    <t>Rozšíření kapacity Domova seniorů Jenštejn</t>
  </si>
  <si>
    <t>138/2020/SOC</t>
  </si>
  <si>
    <t>Rozšíření objektu Domov u Anežky Luštenice</t>
  </si>
  <si>
    <t>139/2020/SOC</t>
  </si>
  <si>
    <t>Revitalizace Domova seniorů Vidim</t>
  </si>
  <si>
    <t>140/2020/SOC</t>
  </si>
  <si>
    <t>Snížení energetické náročnosti domova Sedlčany - neuznatelné náklady</t>
  </si>
  <si>
    <t>18/2020/MJT</t>
  </si>
  <si>
    <t>Akustická úprava místnosti videokonference</t>
  </si>
  <si>
    <t>6/2023</t>
  </si>
  <si>
    <t>10/2022</t>
  </si>
  <si>
    <t>9/2022</t>
  </si>
  <si>
    <t>7/2022</t>
  </si>
  <si>
    <t>III/12540, III/12547 Radovesnice I</t>
  </si>
  <si>
    <t>253/2020/DOP</t>
  </si>
  <si>
    <t>Projekt značení- vyznačení odboček na expoziční objekty Středočeského kraje</t>
  </si>
  <si>
    <t>II/322 Týnec nad Labem, most ev.č.322-005-oprava mostu v režimu "vyprojektuj a postav" ve smyslu Žluté knihy FIDIC</t>
  </si>
  <si>
    <t>11/2023</t>
  </si>
  <si>
    <t>170/2020/SKOL</t>
  </si>
  <si>
    <t>Střední odborná škola a Střední odborné učiliště, Kralupy nad Vltavou, Cesta brigádníků 693</t>
  </si>
  <si>
    <t>Rekonstrukce střech nad dílnami</t>
  </si>
  <si>
    <t>171/2020/SKOL</t>
  </si>
  <si>
    <t>254/2020/DOP</t>
  </si>
  <si>
    <t>Rekonstrukce Tylova domu v Kutné Hoře</t>
  </si>
  <si>
    <t>Probíhá příprava dohody o narovnání mezi SČK a SŽDC, Dohoda k posouzení je na SŽDC. Probíhají stále jednání se SŽDC.</t>
  </si>
  <si>
    <t>0006420</t>
  </si>
  <si>
    <t>Silnice II/101 Zákolany sanace svahu a silnice po havarii</t>
  </si>
  <si>
    <t>0004859</t>
  </si>
  <si>
    <t>0006290</t>
  </si>
  <si>
    <t>0006432</t>
  </si>
  <si>
    <t>0006358</t>
  </si>
  <si>
    <t>0006322</t>
  </si>
  <si>
    <t>172/2020/SKOL</t>
  </si>
  <si>
    <t>Střední odborná škola a Střední odborné učiliště , Nymburk, V Kolonii 1805</t>
  </si>
  <si>
    <t>"Výběr dodavatele stavby na akci "Úspory energií na VÚS a BIOS - SOŠ a SOU Nymburk“ - objekt BIOS"</t>
  </si>
  <si>
    <t>0006282</t>
  </si>
  <si>
    <t>0006489</t>
  </si>
  <si>
    <t>čerpáno do 31.12. 2020</t>
  </si>
  <si>
    <t>úvěr EIB</t>
  </si>
  <si>
    <t>čerpáno r.2021</t>
  </si>
  <si>
    <t>požadavek r.2021</t>
  </si>
  <si>
    <t>požadavek r. 2022+</t>
  </si>
  <si>
    <t>Fin. prostředky r. 2021-kap.12</t>
  </si>
  <si>
    <t>Sanace podzemních prostor pod silnicí II/610 v Mnichově Hradišti</t>
  </si>
  <si>
    <t>Rekonstrukce 2. NP a 3. NP</t>
  </si>
  <si>
    <t>040-84/2020/RK ze dne 26.11.2020  021-02/2020/ZK ze dne 14.12.2020</t>
  </si>
  <si>
    <t>Výkup pozemků (včetně pod stávající sítí) - silniční síť</t>
  </si>
  <si>
    <t>FINANČNÍ VYPOŘÁDÁNÍ</t>
  </si>
  <si>
    <t>040-84/2020/RK ze dne 26.11.2020 021-2/2020/ZK ze dne 14.12.2020</t>
  </si>
  <si>
    <t>255/2021/DOP</t>
  </si>
  <si>
    <t xml:space="preserve">Plánovaný nákup licencí z rámcové dohody MV ČR. </t>
  </si>
  <si>
    <t>Akce bude využívána v případě potřeby dalšího investování do zabezpečení IS KÚ.</t>
  </si>
  <si>
    <t xml:space="preserve">Zrealizovaná modernizace počítačové učebny, v plánu je modernizace zasedací místnosti rady na rok 2022. </t>
  </si>
  <si>
    <t>Implementace GINIS na příspěvkové organizace</t>
  </si>
  <si>
    <t>27/2021/INF</t>
  </si>
  <si>
    <t>Portál Středočeského kraje</t>
  </si>
  <si>
    <t>74/2021/KUL</t>
  </si>
  <si>
    <t>Konverze historické budovy Středočeské vědecké knihovny v Kladně</t>
  </si>
  <si>
    <t>75/2021/KUL</t>
  </si>
  <si>
    <t>Vybudování expozice a související náklady s adaptací objektu PM Český Brod</t>
  </si>
  <si>
    <t>76/2021/KUL</t>
  </si>
  <si>
    <t>Hornický domek v areálu Ševčinské štoly</t>
  </si>
  <si>
    <t>2/2022</t>
  </si>
  <si>
    <t>0006511</t>
  </si>
  <si>
    <t>8/2021</t>
  </si>
  <si>
    <t>Aktualizována PD, již několikrát odložená akce, okna ve špatném stavu</t>
  </si>
  <si>
    <t>4/2022</t>
  </si>
  <si>
    <t>1/2023</t>
  </si>
  <si>
    <t>z toho EIB</t>
  </si>
  <si>
    <t>061-05/2021/RK ze dne 4.2.2021   048-04/2021/ZK ze dne 22.2.2021</t>
  </si>
  <si>
    <t xml:space="preserve"> Dokončena projektová dokumentace</t>
  </si>
  <si>
    <t>Rekonstrukce elektroinstalace tech. zázemí domova a rekonstrukce vodoinstalace tech. zázemí domova</t>
  </si>
  <si>
    <t>12/2024</t>
  </si>
  <si>
    <t>12/2025</t>
  </si>
  <si>
    <t>11/2024</t>
  </si>
  <si>
    <t>II/339 Štipoklasy - Červené Janovice</t>
  </si>
  <si>
    <t>256/2021/DOP</t>
  </si>
  <si>
    <t>III/1114 Líšno, svah a část vozovky</t>
  </si>
  <si>
    <t>3/2023</t>
  </si>
  <si>
    <t>151/2020/ZDR</t>
  </si>
  <si>
    <t>Ústavní kuchyně a jídelna, Kladno</t>
  </si>
  <si>
    <t xml:space="preserve"> Za PD ještě pozastávka.</t>
  </si>
  <si>
    <t>Vypracovaný posudek a koncepce oprav. Velmi špatný stav střech, opakované zatékání, nerentabilní postupné opakované opravy, nezbytné provést celkovou rekonstrukci včetně doplnění degradovaných vrstev střešního pláště, oprava rozdělena do tří fází, které je možné realizovat v průběhu tří let.</t>
  </si>
  <si>
    <t>Snížení enrgetické náročnosti SOU Hubálov  (Neuznatelné náklady projektu ze ZP)</t>
  </si>
  <si>
    <t>77/2021/KUL</t>
  </si>
  <si>
    <t>78/2021/KUL</t>
  </si>
  <si>
    <t>přesun z kap.4  (původně pod č. inv. akce 106/2019/DOP) z CN 500 tis. Kč  do 31.12.2020 vyčerpáno 0 Kč</t>
  </si>
  <si>
    <t>přesun z kap.4  (původně pod č. inv. akce 5/2019/DOP - z CN 3,829 mil. Kč vyčerpáno do 31.12.2020 2,964 mil. Kč)</t>
  </si>
  <si>
    <t>sloučené, rozdělené, přejmenované akce, změna financování, změna způsobu financování, převod do jiného odboru</t>
  </si>
  <si>
    <t>písmo škrtnuto</t>
  </si>
  <si>
    <t>Nákup autobusové zastávky Přerov nad Labem</t>
  </si>
  <si>
    <t>Schválený rozpočet 2021 (usnesení č. 006-02/2020/ZK ze dne 14.12.2020)</t>
  </si>
  <si>
    <t>Převod nevyčerpaných účelových finančních prostředků z roku 2020 (RO č. 24/12/2021 - usnesení č. 038-04/2021/RK ze dne 28.1.2021)</t>
  </si>
  <si>
    <t>Převod nevyčerpaných účelových finančních prostředků z roku 2020 (RO č. 43/12/2021 - usnesení č. 031-06/2021/RK ze dne 11.2.2021)</t>
  </si>
  <si>
    <t>Navýšení rozpočtu SK o prostředky ze sdílených daní a nevyčerpané prostředky z roku 2020 (RO č. 35/23/2021 - usnesení č. 007-04/2021/ZK ze dne 22.2.2021)</t>
  </si>
  <si>
    <t>0006482</t>
  </si>
  <si>
    <t>čerpání 1.Q.         (1.1.-31.3. 2021)</t>
  </si>
  <si>
    <t>0003625</t>
  </si>
  <si>
    <t>0006590</t>
  </si>
  <si>
    <t>0006589</t>
  </si>
  <si>
    <t>0005997</t>
  </si>
  <si>
    <t>0006591</t>
  </si>
  <si>
    <t>0003675</t>
  </si>
  <si>
    <t>Předpoklad  r. 2022</t>
  </si>
  <si>
    <t>Předpoklad r. 2023+</t>
  </si>
  <si>
    <t>Pozn. - číselné hodnoty finančních prostředků jsou ukládány s přesností na haléře, pro přehlednost jsou zobrazovány zaokrouhleně na celé tis. Kč.</t>
  </si>
  <si>
    <t>Č. inv. akce</t>
  </si>
  <si>
    <t>fin. harmonogram do r. 2024</t>
  </si>
  <si>
    <t xml:space="preserve"> 037-16/2021/RK ze dne 8.4.2021     027-06/2021/ZK ze dne 26.4.2021</t>
  </si>
  <si>
    <t>Pokračuje plnění ze smlouvy. Byl realizován nákup nové klimatizace do záložního technologického centra.</t>
  </si>
  <si>
    <t>Zakázka je realizována průběžně dle potřeb IS KÚ možností financování.</t>
  </si>
  <si>
    <t>Modernizace zastaralých síťových prvků a zajištění redundance v rámci L2 a L3 infrastruktury v souvislosti s provozem nového technologického centra kraje (Praha/Kladno). ZD předána k vysoutěžení OKI.</t>
  </si>
  <si>
    <t>Nové moduly GINIS, licence pro nový personální portál a modul insolvenční rejstřík</t>
  </si>
  <si>
    <t>Náhrada stávajících (nevyhovujících)  internetových stránek</t>
  </si>
  <si>
    <t>142/2021/SOC</t>
  </si>
  <si>
    <t>Demolice  bourací práce objektu č.p. 1488 Domov Kladno-Švermov</t>
  </si>
  <si>
    <t>141/2021/SOC</t>
  </si>
  <si>
    <t>Rekonstrukce fasády  včetně rozvodů STA a IT</t>
  </si>
  <si>
    <t>19/2020/MJT</t>
  </si>
  <si>
    <t>Modernizace schodišťové plošiny pro invalidy - vstup C</t>
  </si>
  <si>
    <t>Stavebně ukončeno, zádržné ve výši 720 782,25 Kč bude vyplaceno po 13.9.2023</t>
  </si>
  <si>
    <t>Zpracovaná studie</t>
  </si>
  <si>
    <t>zaměření stavby, příprava geometrického plánu</t>
  </si>
  <si>
    <t>Připraveno, není finanční krytí</t>
  </si>
  <si>
    <t>stavba realizovaná, vypořádání a úvodní servis vah + kalibrace</t>
  </si>
  <si>
    <t>0001784</t>
  </si>
  <si>
    <t>příprava PD na stavbu</t>
  </si>
  <si>
    <t>Stellplatz Vrchbělá - stání pro karavany a obytná auta v areálu Vrchbělá</t>
  </si>
  <si>
    <t>1/2021/OVM</t>
  </si>
  <si>
    <t>2/2021/OVM</t>
  </si>
  <si>
    <t>Rekonstrukce a přístavba budovy N a D2</t>
  </si>
  <si>
    <t>V rámci realokace schválena EIB částka 23,46 mil. Kč. Na zbývající částku 71,54 mil. Kč požádá nemocnice o dotaci z rozpočtu SK.</t>
  </si>
  <si>
    <t>0003553</t>
  </si>
  <si>
    <t>11/2019/MJT</t>
  </si>
  <si>
    <t>9/2019/MJT</t>
  </si>
  <si>
    <t>1/2019/MJT</t>
  </si>
  <si>
    <t>2/2019/MJT</t>
  </si>
  <si>
    <t>3/2019/MJT</t>
  </si>
  <si>
    <t>7/2019/MJT</t>
  </si>
  <si>
    <t>8/2019/MJT</t>
  </si>
  <si>
    <t>Aktuální limit čerpání r. 2021 - 28 mil. Kč z vlastních prostředků SK</t>
  </si>
  <si>
    <t>Aktuální limit čerpání r. 2021 - 40 mil. Kč z vlastních prostředků SK</t>
  </si>
  <si>
    <t>Aktuální limit čerpání r. 2021 - 2 mil. Kč z vlastních prostředků SK</t>
  </si>
  <si>
    <t>Aktuální limit čerpání r. 2021 - 1 mil. Kč z vlastních prostředků SK</t>
  </si>
  <si>
    <t>Aktuální limit čerpání r. 2021 - 11 mil. Kč z vlastních prostředků SK</t>
  </si>
  <si>
    <t>Aktuální limity čerpání r. 2021 - 8 mil. Kč z vlastních prostředků SK,    600 mil. Kč z prostředků EIB</t>
  </si>
  <si>
    <t>Aktuální limity čerpání r. 2021 - 58 mil. Kč z vlastních prostředků SK,    75,466 mil. Kč z prostředků EIB</t>
  </si>
  <si>
    <t>CELKEM 02 - Odbor majetku a hospodářské správy</t>
  </si>
  <si>
    <t>Rozdělení zůstatku hospodaření SK z roku 2020 (RO č. 79/23/2021 – usnesení č. 007-06/2021/ZK ze dne 26.4.2021)</t>
  </si>
  <si>
    <t>CELKEM 26 - Odbor veřejné mobility</t>
  </si>
  <si>
    <t>CELKEM 25 - Odbor bezpečnosti a krizového řízení</t>
  </si>
  <si>
    <t>0006642</t>
  </si>
  <si>
    <t>Finanční zdroje r. 2021 v tis. Kč</t>
  </si>
  <si>
    <t xml:space="preserve"> Kap. 12    celkem             </t>
  </si>
  <si>
    <t>CELKEM 08 - Oddělení regionálního rozvoje</t>
  </si>
  <si>
    <t>III/33348 Kostelec n. Č. lesy</t>
  </si>
  <si>
    <t>Zásobník investic Středočeského kraje na rok 2021 - změna č. 4</t>
  </si>
  <si>
    <t>2/2021/OBŘ</t>
  </si>
  <si>
    <t>3/2021/OBŘ</t>
  </si>
  <si>
    <t>Změna č. 4</t>
  </si>
  <si>
    <t>Kapitálové prostředky  (před změnou č. 4)</t>
  </si>
  <si>
    <t>Kapitálové prostředky  (po změně  č. 4)</t>
  </si>
  <si>
    <t>v 8/2021 převedeno z kap.01-KHT od akce č. 1/2019/KHT, čerpání do r. 2020 - 13.246.315,28 Kč</t>
  </si>
  <si>
    <t>v 8/2021 převedeno z kap.01-KHT od akce č. 2/2019/KHT, čerpání do r. 2020 - 1.520.970,- Kč, v 2/2021 čerpání 459.800,-Kč</t>
  </si>
  <si>
    <t>v 8/2021 ukončeno, převedeno pod kap.25-OBŘ jako akce č. 3/2021/OBŘ</t>
  </si>
  <si>
    <t>v 8/2021 ukončeno, převedeno pod kap.25-OBŘ jako akce č. 2/2021/OBŘ</t>
  </si>
  <si>
    <t>Aktuální limit čerpání r. 2021 - 460 tis. Kč z vlastních prostředků SK</t>
  </si>
  <si>
    <t>Aktuální limit čerpání r. 2021 - 404 tis. Kč z vlastních prostředků SK</t>
  </si>
  <si>
    <t>051-39/2017/RK ze dne 13.11.2017          028-11/2017/ZK ze dne  5.12.2017</t>
  </si>
  <si>
    <t>Aktuální limit čerpání r. 2021 - 24 mil. Kč z vlastních prostředků SK</t>
  </si>
  <si>
    <t>Aktuální limity čerpání r. 2021 - 85 mil. Kč z vlastních prostředků SK,    175,7 mil. Kč z prostředků EIB  (10 mil. Kč z vlastních prostředků určeno pouze pro akci č. 6/2019/SKOL)</t>
  </si>
  <si>
    <t>Navýšení celkových nákladů o 1,002 mil. Kč (převod ze zrušených akcí č. 24 a 25/2020/INF). Nákup potřebných licencí programového vybavení.</t>
  </si>
  <si>
    <t>Změna financování - převod 62 tis. Kč z r. 2021 do r. 2022.  Pořízení vychází ze stále větších požadavků na zálohování v souvislosti s elektronizací agend úřadu.</t>
  </si>
  <si>
    <t>Pořízení aplikace na tzv.rozklikávací rozpočet včetně nezbytných integračních vazeb -   - sloučeno s akcí č. 1/2019/INF.</t>
  </si>
  <si>
    <t>Projekt zajištění implementace GINIS na příspěvkové organizace kraje  - sloučeno s akcí č. 1/2019/INF.</t>
  </si>
  <si>
    <t>změna financování - převod 12,5 mil. Kč z r. 2021 do r. 2023+</t>
  </si>
  <si>
    <t>změna financování - převod 3,6 mil. Kč z r. 2021 do r. 2023+</t>
  </si>
  <si>
    <t xml:space="preserve"> 046-25/2021/RK ze dne 10.6.2021  015-08/2021/ZK ze dne 28.6.2021</t>
  </si>
  <si>
    <t>143/2021/SOC</t>
  </si>
  <si>
    <t>Rekonstrukce koupelen II. Etapa</t>
  </si>
  <si>
    <t>Rekonstrukce je nutná z hygienických důvodů a důvodu změny soc. zařízení na bezbarierové.</t>
  </si>
  <si>
    <t>144/2021/SOC</t>
  </si>
  <si>
    <t xml:space="preserve">Rekonstrukce společných koupelen </t>
  </si>
  <si>
    <t xml:space="preserve">Rekonstrukce posledních 5 ti společných koupelen tak aby byly všechny bezbarierové. Rekonstrukce umožní zlepšení hygienických podmínek.  </t>
  </si>
  <si>
    <t>145/2021/SOC</t>
  </si>
  <si>
    <t>Výměna - repase oken</t>
  </si>
  <si>
    <t>Poslední etapa repase oken - zabránění úniku tepla.</t>
  </si>
  <si>
    <t>146/2021/SOC</t>
  </si>
  <si>
    <t>Rekonstrukce terasy</t>
  </si>
  <si>
    <t>Do terasy zatéká,  což způsobuje další škody.</t>
  </si>
  <si>
    <t>Probíhá VZ na PD</t>
  </si>
  <si>
    <t>Aktuální limit čerpání r. 2021 - 14,54 mil. Kč z vlastních prostředků SK</t>
  </si>
  <si>
    <t>navýšení CN o 18 mil. Kč</t>
  </si>
  <si>
    <t>změna financování - převod 10 mil. Kč z r. 2023+ do r. 2021 (podněty PČR, připraveny návrhy zlepšení BESIP)</t>
  </si>
  <si>
    <t>změna financování - převod 9 mil. Kč z r. 2021 do r. 2023+</t>
  </si>
  <si>
    <t>změna financování - převod 9 mil. Kč z r. 2023+ do r. 2021  (podněty PČR, připraveny návrhy zlepšení BESIP)</t>
  </si>
  <si>
    <t xml:space="preserve">změna financování - převod 350 tis. Kč z r. 2022 do r. 2021 </t>
  </si>
  <si>
    <t>257/2021/DOP</t>
  </si>
  <si>
    <t xml:space="preserve"> 046-25/2021/RK ze dne 10.6.2021     015-08/2021/ZK ze dne 28.6.2021</t>
  </si>
  <si>
    <t>20/2021/MJT</t>
  </si>
  <si>
    <t>21/2021/MJT</t>
  </si>
  <si>
    <t>Elektromobilita - vozový park KÚ</t>
  </si>
  <si>
    <t>22/2021/MJT</t>
  </si>
  <si>
    <t xml:space="preserve">PD + Rekonstrukce osvětlení  - veřejné prostory KÚ </t>
  </si>
  <si>
    <t>23/2021/MJT</t>
  </si>
  <si>
    <t>PD + Výměna rekonstrukce výtahu B</t>
  </si>
  <si>
    <r>
      <t>Schváleno financování z úvěru SK od</t>
    </r>
    <r>
      <rPr>
        <sz val="14"/>
        <rFont val="Arial"/>
        <family val="2"/>
        <charset val="238"/>
      </rPr>
      <t xml:space="preserve"> EIB </t>
    </r>
    <r>
      <rPr>
        <sz val="10"/>
        <rFont val="Arial"/>
        <family val="2"/>
        <charset val="238"/>
      </rPr>
      <t>ve výši 270 mil. Kč.</t>
    </r>
  </si>
  <si>
    <t xml:space="preserve">Změna financování - převod 8,755 mil. Kč z r. 2021 do r. 2022.   </t>
  </si>
  <si>
    <t>Realizace</t>
  </si>
  <si>
    <t>přesun prostředků z r. 2022 do r. 2023 kvůli nemožnosti souběžné rekonstrukce s pavilonem "O"</t>
  </si>
  <si>
    <t xml:space="preserve">Navýšení celkových nákladů akce o 5,87 mil. Kč.
</t>
  </si>
  <si>
    <t>změna financování - přesun 1 mil. Kč z r. 2022 do r. 2021</t>
  </si>
  <si>
    <t>změna financování - přesun 379 tis. Kč z r. 2022 do r. 2021</t>
  </si>
  <si>
    <t>Změna financování - přesun 20 mil. Kč z r. 2021 do r. 2023+.  Částka 95.003 tis. Kč = IROP, příp. vlastní zdroje nemocnice.</t>
  </si>
  <si>
    <t>0004912</t>
  </si>
  <si>
    <t xml:space="preserve">čerpání 2.Q.         (1.4.-31.6. 2021)    </t>
  </si>
  <si>
    <t>změna financování - přesun 20 mil. Kč z r. 2021 do r. 2022</t>
  </si>
  <si>
    <t>změna způsobu financování - bude celé hrazeno z vlastních prostředků PO</t>
  </si>
  <si>
    <t>změna financování - přesun 177 tis. Kč z r.2021 do r. 2023+</t>
  </si>
  <si>
    <t>část nákladů se financuje ze Zásobníku projektů.  Probíhá zhotovení PD (sesmluvněno - 2,136 mil. Kč)</t>
  </si>
  <si>
    <t>probíhá zhotovení PD (sesmluvněno - 6,359 mil. Kč), příprava projektu je hrazena ze Zásobníku projektů</t>
  </si>
  <si>
    <t>akce převedena do Zásobníku projektů (pův. CN 48,525 mil. Kč)</t>
  </si>
  <si>
    <t>příprava projektu se bude financovat ze Zásobníku projektů</t>
  </si>
  <si>
    <t>navazující investice přístupového chodníku v souvislostí s akcí Prodloužení podchodu Roztoky</t>
  </si>
  <si>
    <t>0006703</t>
  </si>
  <si>
    <t>0006704</t>
  </si>
  <si>
    <t>0006705</t>
  </si>
  <si>
    <t>0006706</t>
  </si>
  <si>
    <t>0006707</t>
  </si>
  <si>
    <t>0006708</t>
  </si>
  <si>
    <t>0006709</t>
  </si>
  <si>
    <t>0006710</t>
  </si>
  <si>
    <t>0006711</t>
  </si>
  <si>
    <t>realizace na základě schválené koncepce Zastupitelstvem kraje</t>
  </si>
  <si>
    <t>financování akce ze Zásobníku investic zrušeno, akce bude hrazena z investičního fondu PO, usn. 051-16/2021/RK ze dne 8.4.2021 (1,469 mil. Kč)</t>
  </si>
  <si>
    <t>Celkové požadavky na financování akcí v r. 2021 vycházející ze Zásobníku investic - změna č.4</t>
  </si>
  <si>
    <t>3/2021/OVM</t>
  </si>
  <si>
    <t>Propojení cyklistických tras Středočeský kraj - Praha, orientační dopravní značení</t>
  </si>
  <si>
    <t xml:space="preserve">akce zařazena v souladu s navýšením limitu o přesun prostředků z kap. 23 </t>
  </si>
  <si>
    <t>4/2021/OVM</t>
  </si>
  <si>
    <t xml:space="preserve">Vyznačení odboček z cyklotras na expoziční objekty, orientační dopravní značení </t>
  </si>
  <si>
    <t>5/2021/OVM</t>
  </si>
  <si>
    <t>další cykloznačení (Nelahozeves, Kralupy)</t>
  </si>
  <si>
    <t>zrušeno bez náhrady (pův. r.2022 - CN 600 tis.Kč, z toho 250 tis. vl. prostředky PO)</t>
  </si>
  <si>
    <t>BENEŠOV-TS BN 0451 Domov seniorů-kompaktní trafostanice BPP</t>
  </si>
  <si>
    <t>změna financování - převod 30 mil. Kč z r. 2021 do r. 2022</t>
  </si>
  <si>
    <t>navýšení CN o 6,5445 mil. Kč  (Projektová dokumentace)</t>
  </si>
  <si>
    <t>Změna financování - převod 1,5 mil. Kč z r. 2023+ do r. 2021.  Rámcová smlouva, podněty PČR, připraveny návrhy zlepšení BESIP</t>
  </si>
  <si>
    <t>stavebně hotovo, snížení CN o 247 tis. Kč</t>
  </si>
  <si>
    <t>III/1185 a III11811 Obecnice</t>
  </si>
  <si>
    <t>snížení CN o 1,914 mil. Kč</t>
  </si>
  <si>
    <t>snížení CN o 33 tis. Kč</t>
  </si>
  <si>
    <t>navýšení CN o 130 tis. Kč, dopravní značení neúnosného mostu, předpoklad posunu zahájení rekonstrukce mostu do roku 2023- není finanční krytí inv akce</t>
  </si>
  <si>
    <t>zvýšení celk nákladů o 1 tis. Kč - započtení autorského dozoru</t>
  </si>
  <si>
    <t>stavebně hotovo, snížení celkových nákladů o 565 tis. Kč</t>
  </si>
  <si>
    <t>stavebně hotovo, snížení celkových nákladů o 421 tis. Kč</t>
  </si>
  <si>
    <t>stavebně hotovo, snížení celkových nákladů o 290 tis. Kč</t>
  </si>
  <si>
    <t>záměr na přesun do financování SFDI</t>
  </si>
  <si>
    <t>změna financování-převod 2,561 mil. Kč z r. 2022 do r. 2021 (stavebně hotovo I. etapa, proplacení I etapy)</t>
  </si>
  <si>
    <t>změna financování - převod 578 tis. Kč z r. 2021 do r. 2022.  Nutné řešení akutní situace. Čeká na spolusouvisející inv. akci - řešení odvodnění s obcí.</t>
  </si>
  <si>
    <t>změna financování - převod 279 tis. Kč z r. 2021 do r. 2022.  Stavebně hotovo, čeká proplacení doplatku</t>
  </si>
  <si>
    <t xml:space="preserve">stavebně hotovo, navýšení celkových nákladů o 874 tis. Kč vlivem ZBV - nutnost kropení, použití těžšího válce, než bylo dle PD </t>
  </si>
  <si>
    <t>navýšení celk nákladů o 364 tis. Kč - započtení DPH</t>
  </si>
  <si>
    <t>navýšení CN o 8,859 mil. Kč (z toho o 1,459 mil. Kč v r. 2021)</t>
  </si>
  <si>
    <t>změna financování - převod 518 tis. Kč z r. 2021 do r. 2022 (stavebně hotovo, čeká proplacení doplatku)</t>
  </si>
  <si>
    <t>změna názvu inv. akce</t>
  </si>
  <si>
    <t>040-84/2020/RK ze dne 26.11.2020  021-2/2020/ZK ze dne 14.12.2020</t>
  </si>
  <si>
    <t>Obměna vozového parku - kategorie nižší střední</t>
  </si>
  <si>
    <t>plán čerpání 2021</t>
  </si>
  <si>
    <t xml:space="preserve">Poznámka </t>
  </si>
  <si>
    <t>Priorita</t>
  </si>
  <si>
    <t>čerpání 3.Q.         (1.7.-30.9. 2021)            k 16.8.</t>
  </si>
  <si>
    <t>Aktuální limity čerpání r. 2021  - 263,927 mil. Kč z vlastních prostředků SK,    270 mil. Kč z prostředků EIB</t>
  </si>
  <si>
    <t>Aktuální limity čerpání r. 2021 - 536,331 mil. Kč z vlastních prostředků SK,    1,121166 mld. Kč z prostředků EIB</t>
  </si>
  <si>
    <t>152/2021/ZDR</t>
  </si>
  <si>
    <t>Vybudování nového stanoviště ZZS SK, Brandýs nad Labem</t>
  </si>
  <si>
    <t>Náhrada za zrušenou akci č. 145/2020/ZDR "Vybudování nového stanoviště ZZS SK, Slaný"</t>
  </si>
  <si>
    <t>realokace prostředků na jiný stavební záměr (původně CN 25 mil. Kč, celé z EIB) - nahrazeno akcí č. 152/2021/ZDR "Vybudování nového stanoviště ZZS SK, Brandýs nad Labem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</si>
</sst>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č_-;\-* #,##0.00\ _K_č_-;_-* &quot;-&quot;??\ _K_č_-;_-@_-"/>
    <numFmt numFmtId="165" formatCode="#,##0.0000000"/>
    <numFmt numFmtId="166" formatCode="#,##0.00000"/>
    <numFmt numFmtId="167" formatCode="#,##0.000000"/>
    <numFmt numFmtId="168" formatCode="0.00000000"/>
  </numFmts>
  <fonts count="4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b/>
      <sz val="10"/>
      <name val="Arial"/>
      <family val="2"/>
      <charset val="238"/>
    </font>
    <font>
      <b/>
      <sz val="12"/>
      <name val="Arial"/>
      <family val="2"/>
      <charset val="238"/>
    </font>
    <font>
      <sz val="10"/>
      <color rgb="FFFF0000"/>
      <name val="Arial"/>
      <family val="2"/>
      <charset val="238"/>
    </font>
    <font>
      <b/>
      <sz val="10"/>
      <color rgb="FFFF0000"/>
      <name val="Arial"/>
      <family val="2"/>
      <charset val="238"/>
    </font>
    <font>
      <strike/>
      <sz val="10"/>
      <name val="Arial"/>
      <family val="2"/>
      <charset val="238"/>
    </font>
    <font>
      <b/>
      <strike/>
      <sz val="10"/>
      <name val="Arial"/>
      <family val="2"/>
      <charset val="238"/>
    </font>
    <font>
      <sz val="10"/>
      <color rgb="FF0000FB"/>
      <name val="Arial"/>
      <family val="2"/>
      <charset val="238"/>
    </font>
    <font>
      <b/>
      <sz val="10"/>
      <color rgb="FF0000FB"/>
      <name val="Arial"/>
      <family val="2"/>
      <charset val="238"/>
    </font>
    <font>
      <sz val="10"/>
      <color theme="1"/>
      <name val="Arial"/>
      <family val="2"/>
      <charset val="238"/>
    </font>
    <font>
      <b/>
      <sz val="14"/>
      <name val="Arial"/>
      <family val="2"/>
      <charset val="238"/>
    </font>
    <font>
      <b/>
      <sz val="10"/>
      <color theme="1"/>
      <name val="Arial"/>
      <family val="2"/>
      <charset val="238"/>
    </font>
    <font>
      <sz val="14"/>
      <name val="Arial"/>
      <family val="2"/>
      <charset val="238"/>
    </font>
    <font>
      <strike/>
      <sz val="12"/>
      <name val="Arial"/>
      <family val="2"/>
      <charset val="238"/>
    </font>
    <font>
      <sz val="11"/>
      <color indexed="8"/>
      <name val="Calibri"/>
      <family val="2"/>
      <charset val="238"/>
    </font>
    <font>
      <sz val="11"/>
      <color rgb="FFFF0000"/>
      <name val="Calibri"/>
      <family val="2"/>
      <scheme val="minor"/>
    </font>
    <font>
      <sz val="11"/>
      <color rgb="FF0000FB"/>
      <name val="Calibri"/>
      <family val="2"/>
      <scheme val="minor"/>
    </font>
    <font>
      <strike/>
      <sz val="11"/>
      <color theme="1"/>
      <name val="Calibri"/>
      <family val="2"/>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Arial"/>
      <family val="2"/>
      <charset val="238"/>
    </font>
    <font>
      <sz val="11"/>
      <name val="Calibri"/>
      <family val="2"/>
      <scheme val="minor"/>
    </font>
    <font>
      <strike/>
      <sz val="11"/>
      <name val="Calibri"/>
      <family val="2"/>
      <scheme val="minor"/>
    </font>
    <font>
      <strike/>
      <sz val="11"/>
      <color rgb="FFFF0000"/>
      <name val="Calibri"/>
      <family val="2"/>
      <scheme val="minor"/>
    </font>
    <font>
      <sz val="12"/>
      <color rgb="FFFF0000"/>
      <name val="Arial"/>
      <family val="2"/>
      <charset val="238"/>
    </font>
    <font>
      <b/>
      <sz val="11"/>
      <color theme="1"/>
      <name val="Calibri"/>
      <family val="2"/>
      <scheme val="minor"/>
    </font>
    <font>
      <b/>
      <sz val="11"/>
      <color theme="1"/>
      <name val="Arial"/>
      <family val="2"/>
      <charset val="238"/>
    </font>
    <font>
      <b/>
      <sz val="11"/>
      <name val="Arial"/>
      <family val="2"/>
      <charset val="238"/>
    </font>
    <font>
      <b/>
      <sz val="22"/>
      <color theme="1"/>
      <name val="Calibri"/>
      <family val="2"/>
      <scheme val="minor"/>
    </font>
    <font>
      <b/>
      <sz val="12"/>
      <color theme="1"/>
      <name val="Arial"/>
      <family val="2"/>
      <charset val="238"/>
    </font>
    <font>
      <sz val="11"/>
      <color theme="1"/>
      <name val="Arial"/>
      <family val="2"/>
      <charset val="238"/>
    </font>
    <font>
      <b/>
      <sz val="12"/>
      <color theme="1"/>
      <name val="Calibri"/>
      <family val="2"/>
      <charset val="238"/>
      <scheme val="minor"/>
    </font>
    <font>
      <sz val="12"/>
      <color rgb="FF0000FB"/>
      <name val="Arial"/>
      <family val="2"/>
      <charset val="238"/>
    </font>
    <font>
      <b/>
      <strike/>
      <sz val="10"/>
      <color rgb="FF0000FB"/>
      <name val="Arial"/>
      <family val="2"/>
      <charset val="238"/>
    </font>
    <font>
      <strike/>
      <sz val="10"/>
      <color rgb="FF0000FB"/>
      <name val="Arial"/>
      <family val="2"/>
      <charset val="238"/>
    </font>
    <font>
      <strike/>
      <sz val="12"/>
      <color rgb="FF0000FB"/>
      <name val="Arial"/>
      <family val="2"/>
      <charset val="238"/>
    </font>
    <font>
      <strike/>
      <sz val="11"/>
      <color rgb="FF0000FB"/>
      <name val="Calibri"/>
      <family val="2"/>
      <scheme val="minor"/>
    </font>
  </fonts>
  <fills count="13">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8CBAD"/>
        <bgColor indexed="64"/>
      </patternFill>
    </fill>
    <fill>
      <patternFill patternType="solid">
        <fgColor theme="8" tint="0.79998168889431442"/>
        <bgColor indexed="64"/>
      </patternFill>
    </fill>
  </fills>
  <borders count="64">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6">
    <xf numFmtId="0" fontId="0" fillId="0" borderId="0"/>
    <xf numFmtId="0" fontId="7" fillId="0" borderId="0"/>
    <xf numFmtId="0" fontId="7" fillId="0" borderId="0"/>
    <xf numFmtId="0" fontId="7" fillId="0" borderId="0"/>
    <xf numFmtId="0" fontId="6" fillId="0" borderId="0"/>
    <xf numFmtId="0" fontId="7" fillId="0" borderId="0"/>
    <xf numFmtId="0" fontId="7" fillId="0" borderId="0"/>
    <xf numFmtId="0" fontId="5" fillId="0" borderId="0"/>
    <xf numFmtId="0" fontId="7" fillId="0" borderId="0"/>
    <xf numFmtId="164" fontId="22" fillId="0" borderId="0" applyFont="0" applyFill="0" applyBorder="0" applyAlignment="0" applyProtection="0"/>
    <xf numFmtId="164" fontId="5" fillId="0" borderId="0" applyFont="0" applyFill="0" applyBorder="0" applyAlignment="0" applyProtection="0"/>
    <xf numFmtId="0" fontId="4" fillId="0" borderId="0"/>
    <xf numFmtId="0" fontId="26" fillId="0" borderId="0"/>
    <xf numFmtId="0" fontId="2" fillId="0" borderId="0"/>
    <xf numFmtId="0" fontId="2" fillId="0" borderId="0"/>
    <xf numFmtId="164" fontId="2" fillId="0" borderId="0" applyFont="0" applyFill="0" applyBorder="0" applyAlignment="0" applyProtection="0"/>
    <xf numFmtId="0" fontId="2" fillId="0" borderId="0"/>
    <xf numFmtId="0" fontId="1" fillId="0" borderId="0"/>
    <xf numFmtId="0" fontId="1" fillId="0" borderId="0"/>
    <xf numFmtId="164" fontId="22"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1471">
    <xf numFmtId="0" fontId="0" fillId="0" borderId="0" xfId="0"/>
    <xf numFmtId="3" fontId="7" fillId="0" borderId="23" xfId="0" applyNumberFormat="1" applyFont="1" applyFill="1" applyBorder="1" applyAlignment="1">
      <alignment vertical="center" wrapText="1"/>
    </xf>
    <xf numFmtId="3" fontId="7" fillId="0" borderId="14" xfId="0" applyNumberFormat="1" applyFont="1" applyFill="1" applyBorder="1" applyAlignment="1">
      <alignment vertical="center" wrapText="1"/>
    </xf>
    <xf numFmtId="3" fontId="7" fillId="0" borderId="16" xfId="0" applyNumberFormat="1" applyFont="1" applyFill="1" applyBorder="1" applyAlignment="1">
      <alignment vertical="center" wrapText="1"/>
    </xf>
    <xf numFmtId="3" fontId="9" fillId="0" borderId="32" xfId="1" applyNumberFormat="1" applyFont="1" applyFill="1" applyBorder="1" applyAlignment="1">
      <alignment vertical="center" wrapText="1"/>
    </xf>
    <xf numFmtId="3" fontId="7" fillId="0" borderId="2" xfId="0" applyNumberFormat="1" applyFont="1" applyFill="1" applyBorder="1" applyAlignment="1">
      <alignment vertical="center" wrapText="1"/>
    </xf>
    <xf numFmtId="3" fontId="14" fillId="0" borderId="26" xfId="1" applyNumberFormat="1" applyFont="1" applyFill="1" applyBorder="1" applyAlignment="1">
      <alignment vertical="center" wrapText="1"/>
    </xf>
    <xf numFmtId="3" fontId="13" fillId="0" borderId="32" xfId="0" applyNumberFormat="1" applyFont="1" applyFill="1" applyBorder="1" applyAlignment="1">
      <alignment vertical="center" wrapText="1"/>
    </xf>
    <xf numFmtId="3" fontId="9" fillId="0" borderId="33" xfId="1" applyNumberFormat="1" applyFont="1" applyFill="1" applyBorder="1" applyAlignment="1">
      <alignment vertical="center" wrapText="1"/>
    </xf>
    <xf numFmtId="3" fontId="7" fillId="0" borderId="35" xfId="0" applyNumberFormat="1" applyFont="1" applyFill="1" applyBorder="1" applyAlignment="1">
      <alignment vertical="center" wrapText="1"/>
    </xf>
    <xf numFmtId="3" fontId="7" fillId="0" borderId="33"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 fontId="7" fillId="0" borderId="34" xfId="0" applyNumberFormat="1" applyFont="1" applyFill="1" applyBorder="1" applyAlignment="1">
      <alignment vertical="center" wrapText="1"/>
    </xf>
    <xf numFmtId="3" fontId="7" fillId="0" borderId="26" xfId="0" applyNumberFormat="1" applyFont="1" applyFill="1" applyBorder="1" applyAlignment="1">
      <alignment vertical="center"/>
    </xf>
    <xf numFmtId="3" fontId="7" fillId="0" borderId="32" xfId="0" applyNumberFormat="1" applyFont="1" applyFill="1" applyBorder="1" applyAlignment="1">
      <alignment vertical="center"/>
    </xf>
    <xf numFmtId="3" fontId="7" fillId="0" borderId="23" xfId="0" applyNumberFormat="1" applyFont="1" applyFill="1" applyBorder="1" applyAlignment="1">
      <alignment vertical="center"/>
    </xf>
    <xf numFmtId="3" fontId="13" fillId="0" borderId="37" xfId="0" applyNumberFormat="1" applyFont="1" applyFill="1" applyBorder="1" applyAlignment="1">
      <alignment vertical="center" wrapText="1"/>
    </xf>
    <xf numFmtId="3" fontId="13" fillId="0" borderId="24" xfId="0" applyNumberFormat="1" applyFont="1" applyFill="1" applyBorder="1" applyAlignment="1">
      <alignment vertical="center" wrapText="1"/>
    </xf>
    <xf numFmtId="3" fontId="7" fillId="0" borderId="25" xfId="0" applyNumberFormat="1" applyFont="1" applyFill="1" applyBorder="1" applyAlignment="1">
      <alignment vertical="center" wrapText="1"/>
    </xf>
    <xf numFmtId="4" fontId="7" fillId="0" borderId="26" xfId="0" applyNumberFormat="1" applyFont="1" applyFill="1" applyBorder="1" applyAlignment="1">
      <alignment horizontal="center" vertical="center" wrapText="1"/>
    </xf>
    <xf numFmtId="3" fontId="9" fillId="0" borderId="13" xfId="1" applyNumberFormat="1" applyFont="1" applyFill="1" applyBorder="1" applyAlignment="1">
      <alignment vertical="center" wrapText="1"/>
    </xf>
    <xf numFmtId="3" fontId="7" fillId="0" borderId="42" xfId="0" applyNumberFormat="1" applyFont="1" applyFill="1" applyBorder="1" applyAlignment="1">
      <alignment vertical="center" wrapText="1"/>
    </xf>
    <xf numFmtId="3" fontId="7" fillId="0" borderId="15" xfId="0" applyNumberFormat="1" applyFont="1" applyFill="1" applyBorder="1" applyAlignment="1">
      <alignment vertical="center" wrapText="1"/>
    </xf>
    <xf numFmtId="3" fontId="7" fillId="0" borderId="13" xfId="0" applyNumberFormat="1" applyFont="1" applyFill="1" applyBorder="1" applyAlignment="1">
      <alignment vertical="center" wrapText="1"/>
    </xf>
    <xf numFmtId="3" fontId="9" fillId="0" borderId="4" xfId="1" applyNumberFormat="1" applyFont="1" applyFill="1" applyBorder="1" applyAlignment="1">
      <alignment vertical="center" wrapText="1"/>
    </xf>
    <xf numFmtId="0" fontId="7" fillId="0" borderId="3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vertical="center" wrapText="1"/>
    </xf>
    <xf numFmtId="49" fontId="9" fillId="0" borderId="23" xfId="0" applyNumberFormat="1" applyFont="1" applyFill="1" applyBorder="1" applyAlignment="1">
      <alignment horizontal="center" vertical="center" wrapText="1"/>
    </xf>
    <xf numFmtId="0" fontId="7" fillId="0" borderId="23" xfId="1" applyFont="1" applyFill="1" applyBorder="1" applyAlignment="1">
      <alignment horizontal="center" vertical="center" wrapText="1"/>
    </xf>
    <xf numFmtId="3" fontId="9" fillId="0" borderId="26" xfId="0" applyNumberFormat="1" applyFont="1" applyFill="1" applyBorder="1" applyAlignment="1">
      <alignment vertical="center" wrapText="1"/>
    </xf>
    <xf numFmtId="49" fontId="13" fillId="0" borderId="26" xfId="0" applyNumberFormat="1"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6" xfId="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0" fontId="7" fillId="0" borderId="37" xfId="0" applyFont="1" applyFill="1" applyBorder="1" applyAlignment="1">
      <alignment horizontal="center" vertical="center" wrapText="1"/>
    </xf>
    <xf numFmtId="49" fontId="14" fillId="0" borderId="33" xfId="0" applyNumberFormat="1"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32" xfId="1" applyFont="1" applyFill="1" applyBorder="1" applyAlignment="1">
      <alignment horizontal="center" vertical="center" wrapText="1"/>
    </xf>
    <xf numFmtId="3" fontId="14" fillId="0" borderId="23" xfId="1" applyNumberFormat="1" applyFont="1" applyFill="1" applyBorder="1" applyAlignment="1">
      <alignment vertical="center" wrapText="1"/>
    </xf>
    <xf numFmtId="3" fontId="13" fillId="0" borderId="27" xfId="0" applyNumberFormat="1" applyFont="1" applyFill="1" applyBorder="1" applyAlignment="1">
      <alignment vertical="center" wrapText="1"/>
    </xf>
    <xf numFmtId="0" fontId="13" fillId="0" borderId="23" xfId="1" applyFont="1" applyFill="1" applyBorder="1" applyAlignment="1">
      <alignment horizontal="center" vertical="center" wrapText="1"/>
    </xf>
    <xf numFmtId="0" fontId="7" fillId="0" borderId="33" xfId="1"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4" xfId="1" applyFont="1" applyFill="1" applyBorder="1" applyAlignment="1">
      <alignment horizontal="center" vertical="center" wrapText="1"/>
    </xf>
    <xf numFmtId="49" fontId="9" fillId="0" borderId="0" xfId="0" applyNumberFormat="1" applyFont="1" applyFill="1" applyAlignment="1">
      <alignment horizontal="center" vertical="center"/>
    </xf>
    <xf numFmtId="49" fontId="9" fillId="0" borderId="33" xfId="0" applyNumberFormat="1" applyFont="1" applyFill="1" applyBorder="1" applyAlignment="1">
      <alignment horizontal="center" vertical="center" wrapText="1" shrinkToFit="1"/>
    </xf>
    <xf numFmtId="3" fontId="7" fillId="0" borderId="0" xfId="0" applyNumberFormat="1" applyFont="1" applyAlignment="1">
      <alignment vertical="center"/>
    </xf>
    <xf numFmtId="3" fontId="7" fillId="0" borderId="0" xfId="0" applyNumberFormat="1" applyFont="1" applyFill="1" applyAlignment="1">
      <alignment vertical="center"/>
    </xf>
    <xf numFmtId="3" fontId="9" fillId="6" borderId="18" xfId="1" applyNumberFormat="1" applyFont="1" applyFill="1" applyBorder="1" applyAlignment="1">
      <alignment vertical="center" wrapText="1"/>
    </xf>
    <xf numFmtId="0" fontId="9" fillId="6" borderId="18" xfId="0" applyFont="1" applyFill="1" applyBorder="1" applyAlignment="1">
      <alignment horizontal="center" vertical="center" wrapText="1"/>
    </xf>
    <xf numFmtId="3" fontId="7" fillId="0" borderId="19" xfId="0" applyNumberFormat="1" applyFont="1" applyFill="1" applyBorder="1" applyAlignment="1">
      <alignment vertical="center" wrapText="1"/>
    </xf>
    <xf numFmtId="3" fontId="7" fillId="0" borderId="18"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0" xfId="0" applyNumberFormat="1" applyFont="1" applyFill="1" applyAlignment="1">
      <alignment horizontal="center" vertical="center"/>
    </xf>
    <xf numFmtId="3" fontId="9" fillId="0" borderId="24" xfId="1" applyNumberFormat="1" applyFont="1" applyFill="1" applyBorder="1" applyAlignment="1">
      <alignment vertical="center" wrapText="1"/>
    </xf>
    <xf numFmtId="49" fontId="9" fillId="0" borderId="2" xfId="0" applyNumberFormat="1" applyFont="1" applyFill="1" applyBorder="1" applyAlignment="1">
      <alignment horizontal="center" vertical="center" wrapText="1"/>
    </xf>
    <xf numFmtId="0" fontId="7" fillId="6" borderId="18" xfId="0" applyFont="1" applyFill="1" applyBorder="1" applyAlignment="1">
      <alignment horizontal="center" vertical="center" wrapText="1"/>
    </xf>
    <xf numFmtId="0" fontId="13" fillId="0" borderId="32"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shrinkToFit="1"/>
    </xf>
    <xf numFmtId="49" fontId="9" fillId="0" borderId="23" xfId="0" applyNumberFormat="1" applyFont="1" applyFill="1" applyBorder="1" applyAlignment="1">
      <alignment horizontal="center" vertical="center" wrapText="1" shrinkToFit="1"/>
    </xf>
    <xf numFmtId="49" fontId="14" fillId="0" borderId="23" xfId="0" applyNumberFormat="1" applyFont="1" applyFill="1" applyBorder="1" applyAlignment="1">
      <alignment horizontal="center" vertical="center" wrapText="1" shrinkToFit="1"/>
    </xf>
    <xf numFmtId="0" fontId="7" fillId="0" borderId="35"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shrinkToFit="1"/>
    </xf>
    <xf numFmtId="49" fontId="14" fillId="0" borderId="26"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3" fontId="9" fillId="0" borderId="18" xfId="1" applyNumberFormat="1" applyFont="1" applyFill="1" applyBorder="1" applyAlignment="1">
      <alignment vertical="center" wrapText="1"/>
    </xf>
    <xf numFmtId="3" fontId="9" fillId="0" borderId="3" xfId="1" applyNumberFormat="1" applyFont="1" applyFill="1" applyBorder="1" applyAlignment="1">
      <alignment vertical="center" wrapText="1"/>
    </xf>
    <xf numFmtId="0" fontId="7" fillId="0" borderId="31"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7" fillId="0" borderId="25" xfId="0" applyFont="1" applyFill="1" applyBorder="1" applyAlignment="1">
      <alignment horizontal="center" vertical="center" wrapText="1"/>
    </xf>
    <xf numFmtId="3" fontId="7" fillId="0" borderId="0" xfId="0" applyNumberFormat="1" applyFont="1" applyAlignment="1">
      <alignment horizontal="right" vertical="center"/>
    </xf>
    <xf numFmtId="0" fontId="7" fillId="6" borderId="18" xfId="1" applyFont="1" applyFill="1" applyBorder="1" applyAlignment="1">
      <alignment horizontal="center" vertical="center" wrapText="1"/>
    </xf>
    <xf numFmtId="0" fontId="7" fillId="6" borderId="6"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37" xfId="1" applyFont="1" applyFill="1" applyBorder="1" applyAlignment="1">
      <alignment horizontal="center" vertical="center" wrapText="1"/>
    </xf>
    <xf numFmtId="49" fontId="9" fillId="0" borderId="0" xfId="0" applyNumberFormat="1" applyFont="1" applyAlignment="1">
      <alignment horizontal="center"/>
    </xf>
    <xf numFmtId="0" fontId="8" fillId="0" borderId="2"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3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2" xfId="1" applyFont="1" applyFill="1" applyBorder="1" applyAlignment="1">
      <alignment horizontal="center" vertical="center" wrapText="1"/>
    </xf>
    <xf numFmtId="3" fontId="7" fillId="0" borderId="36" xfId="0" applyNumberFormat="1" applyFont="1" applyFill="1" applyBorder="1" applyAlignment="1">
      <alignment vertical="center" wrapText="1"/>
    </xf>
    <xf numFmtId="0" fontId="7" fillId="0" borderId="30" xfId="0" applyFont="1" applyFill="1" applyBorder="1" applyAlignment="1">
      <alignment horizontal="center" vertical="center" wrapText="1"/>
    </xf>
    <xf numFmtId="3" fontId="9" fillId="0" borderId="14" xfId="1" applyNumberFormat="1" applyFont="1" applyFill="1" applyBorder="1" applyAlignment="1">
      <alignment vertical="center" wrapText="1"/>
    </xf>
    <xf numFmtId="3" fontId="7" fillId="0" borderId="16" xfId="0" applyNumberFormat="1" applyFont="1" applyFill="1" applyBorder="1" applyAlignment="1">
      <alignment vertical="center"/>
    </xf>
    <xf numFmtId="3" fontId="7" fillId="0" borderId="30" xfId="0" applyNumberFormat="1" applyFont="1" applyFill="1" applyBorder="1" applyAlignment="1">
      <alignment vertical="center" wrapText="1"/>
    </xf>
    <xf numFmtId="3" fontId="7" fillId="0" borderId="40" xfId="0" applyNumberFormat="1" applyFont="1" applyFill="1" applyBorder="1" applyAlignment="1">
      <alignment vertical="center" wrapText="1"/>
    </xf>
    <xf numFmtId="49" fontId="14" fillId="0" borderId="23"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3" fontId="9" fillId="0" borderId="14" xfId="0" applyNumberFormat="1" applyFont="1" applyFill="1" applyBorder="1" applyAlignment="1">
      <alignment vertical="center" wrapText="1"/>
    </xf>
    <xf numFmtId="3" fontId="7" fillId="0" borderId="43" xfId="0" applyNumberFormat="1" applyFont="1" applyFill="1" applyBorder="1" applyAlignment="1">
      <alignment vertical="center" wrapText="1"/>
    </xf>
    <xf numFmtId="49" fontId="7" fillId="0" borderId="26" xfId="0" applyNumberFormat="1" applyFont="1" applyFill="1" applyBorder="1" applyAlignment="1">
      <alignment horizontal="center" vertical="center"/>
    </xf>
    <xf numFmtId="0" fontId="8" fillId="0" borderId="28" xfId="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21" fillId="0" borderId="13" xfId="1" applyFont="1" applyFill="1" applyBorder="1" applyAlignment="1">
      <alignment horizontal="center" vertical="center" wrapText="1"/>
    </xf>
    <xf numFmtId="3" fontId="14" fillId="0" borderId="13" xfId="1" applyNumberFormat="1" applyFont="1" applyFill="1" applyBorder="1" applyAlignment="1">
      <alignment vertical="center" wrapText="1"/>
    </xf>
    <xf numFmtId="3" fontId="13" fillId="0" borderId="42" xfId="0" applyNumberFormat="1" applyFont="1" applyFill="1" applyBorder="1" applyAlignment="1">
      <alignment vertical="center" wrapText="1"/>
    </xf>
    <xf numFmtId="3" fontId="14" fillId="0" borderId="13" xfId="0" applyNumberFormat="1" applyFont="1" applyFill="1" applyBorder="1" applyAlignment="1">
      <alignment vertical="center" wrapText="1"/>
    </xf>
    <xf numFmtId="49" fontId="13" fillId="0" borderId="13" xfId="0" applyNumberFormat="1" applyFont="1" applyFill="1" applyBorder="1" applyAlignment="1">
      <alignment horizontal="center" vertical="center" wrapText="1"/>
    </xf>
    <xf numFmtId="0" fontId="7" fillId="0" borderId="23" xfId="0" applyFont="1" applyFill="1" applyBorder="1" applyAlignment="1">
      <alignment horizontal="center" vertical="center"/>
    </xf>
    <xf numFmtId="49" fontId="14"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6" borderId="5" xfId="0" applyFont="1" applyFill="1" applyBorder="1" applyAlignment="1">
      <alignment horizontal="center" vertical="center" wrapText="1"/>
    </xf>
    <xf numFmtId="4" fontId="9" fillId="6" borderId="18" xfId="0" applyNumberFormat="1" applyFont="1" applyFill="1" applyBorder="1" applyAlignment="1">
      <alignment horizontal="center" vertical="center" wrapText="1"/>
    </xf>
    <xf numFmtId="3" fontId="9" fillId="0" borderId="16" xfId="1" applyNumberFormat="1" applyFont="1" applyFill="1" applyBorder="1" applyAlignment="1">
      <alignment vertical="center" wrapText="1"/>
    </xf>
    <xf numFmtId="3" fontId="7" fillId="0" borderId="1" xfId="0" applyNumberFormat="1" applyFont="1" applyFill="1" applyBorder="1" applyAlignment="1">
      <alignment vertical="center" wrapText="1"/>
    </xf>
    <xf numFmtId="3" fontId="9" fillId="0" borderId="28" xfId="1" applyNumberFormat="1" applyFont="1" applyFill="1" applyBorder="1" applyAlignment="1">
      <alignment vertical="center" wrapText="1"/>
    </xf>
    <xf numFmtId="49" fontId="7" fillId="0" borderId="14"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shrinkToFit="1"/>
    </xf>
    <xf numFmtId="3" fontId="7" fillId="0" borderId="29" xfId="0" applyNumberFormat="1" applyFont="1" applyFill="1" applyBorder="1" applyAlignment="1">
      <alignment horizontal="right" vertical="center" wrapText="1"/>
    </xf>
    <xf numFmtId="49" fontId="7" fillId="0" borderId="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7" fillId="0" borderId="20" xfId="0" applyNumberFormat="1" applyFont="1" applyFill="1" applyBorder="1" applyAlignment="1">
      <alignment vertical="center"/>
    </xf>
    <xf numFmtId="3" fontId="7" fillId="0" borderId="45" xfId="0" applyNumberFormat="1" applyFont="1" applyFill="1" applyBorder="1" applyAlignment="1">
      <alignment vertical="center" wrapText="1"/>
    </xf>
    <xf numFmtId="3" fontId="13" fillId="0" borderId="20" xfId="0" applyNumberFormat="1" applyFont="1" applyFill="1" applyBorder="1" applyAlignment="1">
      <alignment vertical="center" wrapText="1"/>
    </xf>
    <xf numFmtId="3" fontId="13" fillId="0" borderId="26" xfId="0" applyNumberFormat="1" applyFont="1" applyFill="1" applyBorder="1" applyAlignment="1">
      <alignment horizontal="right" vertical="center" wrapText="1"/>
    </xf>
    <xf numFmtId="3" fontId="13" fillId="0" borderId="32" xfId="0" applyNumberFormat="1" applyFont="1" applyFill="1" applyBorder="1" applyAlignment="1">
      <alignment horizontal="right" vertical="center" wrapText="1"/>
    </xf>
    <xf numFmtId="49" fontId="13" fillId="0" borderId="31"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xf>
    <xf numFmtId="3" fontId="9" fillId="0" borderId="23" xfId="1" applyNumberFormat="1" applyFont="1" applyFill="1" applyBorder="1" applyAlignment="1">
      <alignment vertical="center"/>
    </xf>
    <xf numFmtId="3" fontId="7" fillId="0" borderId="24" xfId="0" applyNumberFormat="1" applyFont="1" applyFill="1" applyBorder="1" applyAlignment="1">
      <alignment vertical="center"/>
    </xf>
    <xf numFmtId="3" fontId="7" fillId="0" borderId="27" xfId="0" applyNumberFormat="1" applyFont="1" applyFill="1" applyBorder="1" applyAlignment="1">
      <alignment vertical="center"/>
    </xf>
    <xf numFmtId="49" fontId="9" fillId="0" borderId="26" xfId="0" applyNumberFormat="1" applyFont="1" applyFill="1" applyBorder="1" applyAlignment="1">
      <alignment horizontal="center" vertical="center"/>
    </xf>
    <xf numFmtId="3" fontId="9" fillId="0" borderId="26" xfId="1" applyNumberFormat="1" applyFont="1" applyFill="1" applyBorder="1" applyAlignment="1">
      <alignment vertical="center"/>
    </xf>
    <xf numFmtId="0" fontId="7" fillId="0" borderId="32" xfId="0" applyFont="1" applyFill="1" applyBorder="1" applyAlignment="1">
      <alignment horizontal="center" vertical="center"/>
    </xf>
    <xf numFmtId="0" fontId="7" fillId="0" borderId="26" xfId="0" applyFont="1" applyFill="1" applyBorder="1" applyAlignment="1">
      <alignment horizontal="center" vertical="center"/>
    </xf>
    <xf numFmtId="49" fontId="7" fillId="0" borderId="31" xfId="0" applyNumberFormat="1" applyFont="1" applyFill="1" applyBorder="1" applyAlignment="1">
      <alignment horizontal="center" vertical="center"/>
    </xf>
    <xf numFmtId="3" fontId="7" fillId="0" borderId="37" xfId="0" applyNumberFormat="1" applyFont="1" applyFill="1" applyBorder="1" applyAlignment="1">
      <alignment vertical="center"/>
    </xf>
    <xf numFmtId="0" fontId="7" fillId="0" borderId="24" xfId="0" applyFont="1" applyFill="1" applyBorder="1" applyAlignment="1">
      <alignment horizontal="center" vertical="center"/>
    </xf>
    <xf numFmtId="0" fontId="7" fillId="0" borderId="13" xfId="0" applyFont="1" applyFill="1" applyBorder="1" applyAlignment="1">
      <alignment horizontal="center" vertical="center"/>
    </xf>
    <xf numFmtId="49" fontId="7" fillId="0" borderId="40" xfId="0" applyNumberFormat="1" applyFont="1"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Alignment="1">
      <alignment horizontal="right"/>
    </xf>
    <xf numFmtId="49" fontId="14" fillId="0"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3" fontId="13" fillId="0" borderId="8" xfId="0" applyNumberFormat="1" applyFont="1" applyFill="1" applyBorder="1" applyAlignment="1">
      <alignment vertical="center"/>
    </xf>
    <xf numFmtId="49" fontId="13" fillId="0" borderId="47" xfId="0" applyNumberFormat="1" applyFont="1" applyFill="1" applyBorder="1" applyAlignment="1">
      <alignment horizontal="center" vertical="center"/>
    </xf>
    <xf numFmtId="49" fontId="13" fillId="0" borderId="23"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3" fontId="13" fillId="0" borderId="37" xfId="0" applyNumberFormat="1" applyFont="1" applyFill="1" applyBorder="1" applyAlignment="1">
      <alignment vertical="center"/>
    </xf>
    <xf numFmtId="49" fontId="7" fillId="0" borderId="13"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3" fontId="9" fillId="0" borderId="13" xfId="1" applyNumberFormat="1" applyFont="1" applyFill="1" applyBorder="1" applyAlignment="1">
      <alignment vertical="center"/>
    </xf>
    <xf numFmtId="3" fontId="7" fillId="0" borderId="13" xfId="0" applyNumberFormat="1" applyFont="1" applyFill="1" applyBorder="1" applyAlignment="1">
      <alignment vertical="center"/>
    </xf>
    <xf numFmtId="3" fontId="7" fillId="0" borderId="13" xfId="0" applyNumberFormat="1" applyFont="1" applyFill="1" applyBorder="1" applyAlignment="1">
      <alignment horizontal="right" vertical="center"/>
    </xf>
    <xf numFmtId="3" fontId="14" fillId="0" borderId="2" xfId="1" applyNumberFormat="1" applyFont="1" applyFill="1" applyBorder="1" applyAlignment="1">
      <alignment vertical="center"/>
    </xf>
    <xf numFmtId="0" fontId="13" fillId="0" borderId="31" xfId="0" applyNumberFormat="1" applyFont="1" applyFill="1" applyBorder="1" applyAlignment="1">
      <alignment horizontal="center" vertical="center" wrapText="1"/>
    </xf>
    <xf numFmtId="3" fontId="7" fillId="0" borderId="26" xfId="0" applyNumberFormat="1" applyFont="1" applyFill="1" applyBorder="1" applyAlignment="1">
      <alignment horizontal="right" vertical="center"/>
    </xf>
    <xf numFmtId="49" fontId="7" fillId="0" borderId="15"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3" fontId="9" fillId="0" borderId="0" xfId="0" applyNumberFormat="1" applyFont="1" applyAlignment="1">
      <alignment vertical="center"/>
    </xf>
    <xf numFmtId="3" fontId="13" fillId="0" borderId="2" xfId="0" applyNumberFormat="1" applyFont="1" applyFill="1" applyBorder="1" applyAlignment="1">
      <alignment horizontal="right" vertical="center"/>
    </xf>
    <xf numFmtId="3" fontId="13" fillId="0" borderId="26" xfId="0" applyNumberFormat="1" applyFont="1" applyFill="1" applyBorder="1" applyAlignment="1">
      <alignment horizontal="right" vertical="center"/>
    </xf>
    <xf numFmtId="3" fontId="13" fillId="0" borderId="9" xfId="0" applyNumberFormat="1" applyFont="1" applyFill="1" applyBorder="1" applyAlignment="1">
      <alignment horizontal="right" vertical="center"/>
    </xf>
    <xf numFmtId="3" fontId="7" fillId="0" borderId="32" xfId="0" applyNumberFormat="1" applyFont="1" applyFill="1" applyBorder="1" applyAlignment="1">
      <alignment horizontal="right" vertical="center"/>
    </xf>
    <xf numFmtId="3" fontId="13" fillId="0" borderId="32" xfId="0" applyNumberFormat="1" applyFont="1" applyFill="1" applyBorder="1" applyAlignment="1">
      <alignment horizontal="right" vertical="center"/>
    </xf>
    <xf numFmtId="3" fontId="7" fillId="0" borderId="42" xfId="0" applyNumberFormat="1" applyFont="1" applyFill="1" applyBorder="1" applyAlignment="1">
      <alignment horizontal="right" vertical="center"/>
    </xf>
    <xf numFmtId="3" fontId="13" fillId="0" borderId="59" xfId="0" applyNumberFormat="1" applyFont="1" applyFill="1" applyBorder="1" applyAlignment="1">
      <alignment vertical="center"/>
    </xf>
    <xf numFmtId="3" fontId="7" fillId="0" borderId="5" xfId="0" applyNumberFormat="1" applyFont="1" applyFill="1" applyBorder="1" applyAlignment="1">
      <alignment horizontal="right" vertical="center"/>
    </xf>
    <xf numFmtId="3" fontId="9" fillId="0" borderId="26" xfId="0" applyNumberFormat="1" applyFont="1" applyFill="1" applyBorder="1" applyAlignment="1">
      <alignment vertical="center"/>
    </xf>
    <xf numFmtId="0" fontId="13" fillId="0" borderId="23" xfId="0" applyFont="1" applyFill="1" applyBorder="1" applyAlignment="1">
      <alignment horizontal="center" vertical="center"/>
    </xf>
    <xf numFmtId="3" fontId="14" fillId="0" borderId="23" xfId="1" applyNumberFormat="1" applyFont="1" applyFill="1" applyBorder="1" applyAlignment="1">
      <alignment vertical="center"/>
    </xf>
    <xf numFmtId="3" fontId="13" fillId="0" borderId="27" xfId="0" applyNumberFormat="1" applyFont="1" applyFill="1" applyBorder="1" applyAlignment="1">
      <alignment vertical="center"/>
    </xf>
    <xf numFmtId="3" fontId="7" fillId="0" borderId="52" xfId="0" applyNumberFormat="1" applyFont="1" applyFill="1" applyBorder="1" applyAlignment="1">
      <alignment vertical="center" wrapText="1"/>
    </xf>
    <xf numFmtId="0" fontId="11" fillId="0" borderId="24" xfId="0"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49" fontId="7" fillId="6" borderId="18" xfId="0" applyNumberFormat="1" applyFont="1" applyFill="1" applyBorder="1" applyAlignment="1">
      <alignment horizontal="center" vertical="center" wrapText="1"/>
    </xf>
    <xf numFmtId="49" fontId="7" fillId="6" borderId="18" xfId="1"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shrinkToFit="1"/>
    </xf>
    <xf numFmtId="0" fontId="13" fillId="0" borderId="14" xfId="0" applyFont="1" applyFill="1" applyBorder="1" applyAlignment="1">
      <alignment horizontal="center" vertical="center" wrapText="1"/>
    </xf>
    <xf numFmtId="0" fontId="13" fillId="0" borderId="16" xfId="1" applyFont="1" applyFill="1" applyBorder="1" applyAlignment="1">
      <alignment horizontal="center" vertical="center" wrapText="1"/>
    </xf>
    <xf numFmtId="0" fontId="21" fillId="0" borderId="30" xfId="1" applyFont="1" applyFill="1" applyBorder="1" applyAlignment="1">
      <alignment horizontal="center" vertical="center" wrapText="1"/>
    </xf>
    <xf numFmtId="3" fontId="14" fillId="0" borderId="14" xfId="1" applyNumberFormat="1" applyFont="1" applyFill="1" applyBorder="1" applyAlignment="1">
      <alignment vertical="center" wrapText="1"/>
    </xf>
    <xf numFmtId="3" fontId="13" fillId="0" borderId="14" xfId="0" applyNumberFormat="1" applyFont="1" applyFill="1" applyBorder="1" applyAlignment="1">
      <alignment vertical="center" wrapText="1"/>
    </xf>
    <xf numFmtId="3" fontId="13" fillId="0" borderId="30" xfId="0" applyNumberFormat="1" applyFont="1" applyFill="1" applyBorder="1" applyAlignment="1">
      <alignment vertical="center" wrapText="1"/>
    </xf>
    <xf numFmtId="3" fontId="13" fillId="0" borderId="16" xfId="0" applyNumberFormat="1" applyFont="1" applyFill="1" applyBorder="1" applyAlignment="1">
      <alignment vertical="center" wrapText="1"/>
    </xf>
    <xf numFmtId="3" fontId="7" fillId="0" borderId="1" xfId="0" applyNumberFormat="1" applyFont="1" applyFill="1" applyBorder="1" applyAlignment="1">
      <alignment vertical="center"/>
    </xf>
    <xf numFmtId="3" fontId="7" fillId="0" borderId="5" xfId="0" applyNumberFormat="1" applyFont="1" applyFill="1" applyBorder="1" applyAlignment="1">
      <alignment vertical="center"/>
    </xf>
    <xf numFmtId="0" fontId="7" fillId="0" borderId="15" xfId="0" applyFont="1" applyFill="1" applyBorder="1" applyAlignment="1">
      <alignment horizontal="center" vertical="center" wrapText="1"/>
    </xf>
    <xf numFmtId="3" fontId="12" fillId="0" borderId="23" xfId="1" applyNumberFormat="1" applyFont="1" applyFill="1" applyBorder="1" applyAlignment="1">
      <alignment vertical="center" wrapText="1"/>
    </xf>
    <xf numFmtId="0" fontId="11" fillId="0" borderId="26" xfId="0" applyFont="1" applyFill="1" applyBorder="1" applyAlignment="1">
      <alignment horizontal="center" vertical="center" wrapText="1"/>
    </xf>
    <xf numFmtId="3" fontId="14" fillId="0" borderId="31" xfId="1" applyNumberFormat="1" applyFont="1" applyFill="1" applyBorder="1" applyAlignment="1">
      <alignment vertical="center" wrapText="1"/>
    </xf>
    <xf numFmtId="0" fontId="7" fillId="0" borderId="18" xfId="1" applyFont="1" applyFill="1" applyBorder="1" applyAlignment="1">
      <alignment horizontal="center" vertical="center" wrapText="1"/>
    </xf>
    <xf numFmtId="3" fontId="7" fillId="0" borderId="5"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13" fillId="0" borderId="13" xfId="1" applyFont="1" applyFill="1" applyBorder="1" applyAlignment="1">
      <alignment horizontal="center" vertical="center" wrapText="1"/>
    </xf>
    <xf numFmtId="3" fontId="14" fillId="0" borderId="30" xfId="1" applyNumberFormat="1" applyFont="1" applyFill="1" applyBorder="1" applyAlignment="1">
      <alignment vertical="center" wrapText="1"/>
    </xf>
    <xf numFmtId="3" fontId="13" fillId="0" borderId="45" xfId="0" applyNumberFormat="1" applyFont="1" applyFill="1" applyBorder="1" applyAlignment="1">
      <alignment vertical="center" wrapText="1"/>
    </xf>
    <xf numFmtId="3" fontId="13" fillId="0" borderId="1" xfId="0" applyNumberFormat="1" applyFont="1" applyFill="1" applyBorder="1" applyAlignment="1">
      <alignment vertical="center" wrapText="1"/>
    </xf>
    <xf numFmtId="49" fontId="13" fillId="0" borderId="15" xfId="0" applyNumberFormat="1" applyFont="1" applyFill="1" applyBorder="1" applyAlignment="1">
      <alignment horizontal="center" vertical="center" wrapText="1"/>
    </xf>
    <xf numFmtId="3" fontId="9" fillId="0" borderId="31" xfId="1" applyNumberFormat="1" applyFont="1" applyFill="1" applyBorder="1" applyAlignment="1">
      <alignment horizontal="right" vertical="center" wrapText="1"/>
    </xf>
    <xf numFmtId="3" fontId="7" fillId="0" borderId="63" xfId="0" applyNumberFormat="1" applyFont="1" applyFill="1" applyBorder="1" applyAlignment="1">
      <alignment vertical="center" wrapText="1"/>
    </xf>
    <xf numFmtId="49" fontId="13" fillId="0" borderId="37" xfId="0" applyNumberFormat="1" applyFont="1" applyFill="1" applyBorder="1" applyAlignment="1">
      <alignment horizontal="center" vertical="center" wrapText="1"/>
    </xf>
    <xf numFmtId="3" fontId="14" fillId="0" borderId="15" xfId="1" applyNumberFormat="1" applyFont="1" applyFill="1" applyBorder="1" applyAlignment="1">
      <alignment horizontal="right" vertical="center" wrapText="1"/>
    </xf>
    <xf numFmtId="3" fontId="13" fillId="0" borderId="19" xfId="0" applyNumberFormat="1" applyFont="1" applyFill="1" applyBorder="1" applyAlignment="1">
      <alignment vertical="center" wrapText="1"/>
    </xf>
    <xf numFmtId="0" fontId="13" fillId="0" borderId="16" xfId="0"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center" wrapText="1"/>
    </xf>
    <xf numFmtId="3" fontId="9" fillId="0" borderId="34" xfId="1" applyNumberFormat="1" applyFont="1" applyFill="1" applyBorder="1" applyAlignment="1">
      <alignment vertical="center" wrapText="1"/>
    </xf>
    <xf numFmtId="3" fontId="9" fillId="0" borderId="15" xfId="1" applyNumberFormat="1" applyFont="1" applyFill="1" applyBorder="1" applyAlignment="1">
      <alignment vertical="center" wrapText="1"/>
    </xf>
    <xf numFmtId="3" fontId="9" fillId="0" borderId="31" xfId="1" applyNumberFormat="1" applyFont="1" applyFill="1" applyBorder="1" applyAlignment="1">
      <alignment vertical="center"/>
    </xf>
    <xf numFmtId="3" fontId="9" fillId="0" borderId="15" xfId="1" applyNumberFormat="1" applyFont="1" applyFill="1" applyBorder="1" applyAlignment="1">
      <alignment vertical="center"/>
    </xf>
    <xf numFmtId="3" fontId="14" fillId="0" borderId="25" xfId="1" applyNumberFormat="1" applyFont="1" applyFill="1" applyBorder="1" applyAlignment="1">
      <alignment vertical="center"/>
    </xf>
    <xf numFmtId="3" fontId="7" fillId="0" borderId="31" xfId="0" applyNumberFormat="1" applyFont="1" applyFill="1" applyBorder="1" applyAlignment="1">
      <alignment vertical="center"/>
    </xf>
    <xf numFmtId="3" fontId="13" fillId="0" borderId="2" xfId="0" applyNumberFormat="1" applyFont="1" applyFill="1" applyBorder="1" applyAlignment="1">
      <alignment vertical="center" wrapText="1"/>
    </xf>
    <xf numFmtId="3" fontId="7" fillId="0" borderId="9" xfId="0" applyNumberFormat="1" applyFont="1" applyFill="1" applyBorder="1" applyAlignment="1">
      <alignment vertical="center"/>
    </xf>
    <xf numFmtId="3" fontId="9" fillId="0" borderId="2" xfId="1" applyNumberFormat="1" applyFont="1" applyFill="1" applyBorder="1" applyAlignment="1">
      <alignment vertical="center"/>
    </xf>
    <xf numFmtId="3" fontId="9" fillId="0" borderId="13" xfId="0" applyNumberFormat="1" applyFont="1" applyFill="1" applyBorder="1" applyAlignment="1">
      <alignment horizontal="right" vertical="center" wrapText="1"/>
    </xf>
    <xf numFmtId="0" fontId="13" fillId="0" borderId="27"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3" xfId="1" applyFont="1" applyFill="1" applyBorder="1" applyAlignment="1">
      <alignment horizontal="center" vertical="center" wrapText="1"/>
    </xf>
    <xf numFmtId="3" fontId="9" fillId="0" borderId="10" xfId="1" applyNumberFormat="1" applyFont="1" applyFill="1" applyBorder="1" applyAlignment="1">
      <alignment vertical="center" wrapText="1"/>
    </xf>
    <xf numFmtId="3" fontId="7" fillId="0" borderId="11"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13" fillId="0" borderId="14" xfId="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3" fontId="12" fillId="0" borderId="24" xfId="1" applyNumberFormat="1" applyFont="1" applyFill="1" applyBorder="1" applyAlignment="1">
      <alignment vertical="center" wrapText="1"/>
    </xf>
    <xf numFmtId="3" fontId="7" fillId="0" borderId="0" xfId="0" applyNumberFormat="1" applyFont="1" applyAlignment="1">
      <alignment horizontal="center" vertical="center"/>
    </xf>
    <xf numFmtId="0" fontId="7" fillId="0" borderId="16"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2" borderId="32" xfId="0" applyFont="1" applyFill="1" applyBorder="1" applyAlignment="1">
      <alignment horizontal="center" vertical="center" wrapText="1"/>
    </xf>
    <xf numFmtId="3" fontId="13" fillId="0" borderId="37" xfId="0" applyNumberFormat="1" applyFont="1" applyFill="1" applyBorder="1" applyAlignment="1">
      <alignment horizontal="right" vertical="center" wrapText="1"/>
    </xf>
    <xf numFmtId="49" fontId="14" fillId="0" borderId="13" xfId="0" applyNumberFormat="1" applyFont="1" applyFill="1" applyBorder="1" applyAlignment="1">
      <alignment horizontal="center" vertical="center"/>
    </xf>
    <xf numFmtId="3" fontId="14" fillId="0" borderId="13" xfId="1" applyNumberFormat="1" applyFont="1" applyFill="1" applyBorder="1" applyAlignment="1">
      <alignment vertical="center"/>
    </xf>
    <xf numFmtId="49" fontId="13" fillId="0" borderId="15" xfId="0" applyNumberFormat="1" applyFont="1" applyFill="1" applyBorder="1" applyAlignment="1">
      <alignment horizontal="center" vertical="center"/>
    </xf>
    <xf numFmtId="3" fontId="12" fillId="0" borderId="31" xfId="1" applyNumberFormat="1" applyFont="1" applyFill="1" applyBorder="1" applyAlignment="1">
      <alignment vertical="center" wrapText="1"/>
    </xf>
    <xf numFmtId="0" fontId="21" fillId="0" borderId="25" xfId="1" applyFont="1" applyFill="1" applyBorder="1" applyAlignment="1">
      <alignment horizontal="center" vertical="center" wrapText="1"/>
    </xf>
    <xf numFmtId="3" fontId="9" fillId="5" borderId="26" xfId="1" applyNumberFormat="1" applyFont="1" applyFill="1" applyBorder="1" applyAlignment="1">
      <alignment vertical="center" wrapText="1"/>
    </xf>
    <xf numFmtId="3" fontId="9" fillId="5" borderId="2" xfId="1" applyNumberFormat="1" applyFont="1" applyFill="1" applyBorder="1" applyAlignment="1">
      <alignment vertical="center" wrapText="1"/>
    </xf>
    <xf numFmtId="3" fontId="12" fillId="0" borderId="25" xfId="1" applyNumberFormat="1" applyFont="1" applyFill="1" applyBorder="1" applyAlignment="1">
      <alignment vertical="center" wrapText="1"/>
    </xf>
    <xf numFmtId="3" fontId="14" fillId="0" borderId="15" xfId="1" applyNumberFormat="1" applyFont="1" applyFill="1" applyBorder="1" applyAlignment="1">
      <alignment vertical="center"/>
    </xf>
    <xf numFmtId="3" fontId="9" fillId="0" borderId="2" xfId="0" applyNumberFormat="1" applyFont="1" applyFill="1" applyBorder="1" applyAlignment="1">
      <alignment horizontal="right" vertical="center"/>
    </xf>
    <xf numFmtId="3" fontId="9" fillId="0" borderId="4" xfId="0" applyNumberFormat="1" applyFont="1" applyFill="1" applyBorder="1" applyAlignment="1">
      <alignment vertical="center" wrapText="1"/>
    </xf>
    <xf numFmtId="3" fontId="9" fillId="0" borderId="26" xfId="0" applyNumberFormat="1" applyFont="1" applyFill="1" applyBorder="1" applyAlignment="1">
      <alignment horizontal="right" vertical="center"/>
    </xf>
    <xf numFmtId="3" fontId="9" fillId="0" borderId="23" xfId="0" applyNumberFormat="1" applyFont="1" applyFill="1" applyBorder="1" applyAlignment="1">
      <alignment horizontal="right" vertical="center"/>
    </xf>
    <xf numFmtId="3" fontId="7" fillId="0" borderId="23"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0" fontId="7"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shrinkToFit="1"/>
    </xf>
    <xf numFmtId="3" fontId="13" fillId="0" borderId="42" xfId="0" applyNumberFormat="1" applyFont="1" applyFill="1" applyBorder="1" applyAlignment="1">
      <alignment horizontal="right" vertical="center" wrapText="1"/>
    </xf>
    <xf numFmtId="0" fontId="11" fillId="0" borderId="26" xfId="1" applyFont="1" applyFill="1" applyBorder="1" applyAlignment="1">
      <alignment horizontal="center" vertical="center" wrapText="1"/>
    </xf>
    <xf numFmtId="3" fontId="9" fillId="0" borderId="15" xfId="1" applyNumberFormat="1" applyFont="1" applyFill="1" applyBorder="1" applyAlignment="1">
      <alignment horizontal="right" vertical="center" wrapText="1"/>
    </xf>
    <xf numFmtId="0" fontId="26" fillId="0" borderId="0" xfId="0" applyFont="1"/>
    <xf numFmtId="0" fontId="7" fillId="0" borderId="31" xfId="0" applyFont="1" applyFill="1" applyBorder="1" applyAlignment="1">
      <alignment horizontal="center" vertical="center"/>
    </xf>
    <xf numFmtId="3" fontId="9" fillId="0" borderId="30"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6" xfId="1" applyFont="1" applyFill="1" applyBorder="1" applyAlignment="1">
      <alignment horizontal="center" vertical="center" wrapText="1"/>
    </xf>
    <xf numFmtId="3" fontId="9" fillId="0" borderId="25" xfId="1" applyNumberFormat="1" applyFont="1" applyFill="1" applyBorder="1" applyAlignment="1">
      <alignment horizontal="right" vertical="center" wrapText="1"/>
    </xf>
    <xf numFmtId="3" fontId="13" fillId="0" borderId="63" xfId="0" applyNumberFormat="1" applyFont="1" applyFill="1" applyBorder="1" applyAlignment="1">
      <alignment vertical="center" wrapText="1"/>
    </xf>
    <xf numFmtId="3" fontId="0" fillId="0" borderId="0" xfId="0" applyNumberFormat="1"/>
    <xf numFmtId="0" fontId="11" fillId="0" borderId="2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7" fillId="0" borderId="35" xfId="1" applyFont="1" applyFill="1" applyBorder="1" applyAlignment="1">
      <alignment horizontal="center" vertical="center" wrapText="1"/>
    </xf>
    <xf numFmtId="0" fontId="8" fillId="0" borderId="31" xfId="0" applyFont="1" applyFill="1" applyBorder="1" applyAlignment="1">
      <alignment horizontal="center" vertical="center" wrapText="1"/>
    </xf>
    <xf numFmtId="3" fontId="14" fillId="0" borderId="15" xfId="1" applyNumberFormat="1" applyFont="1" applyFill="1" applyBorder="1" applyAlignment="1">
      <alignment vertical="center" wrapText="1"/>
    </xf>
    <xf numFmtId="0" fontId="13" fillId="0" borderId="42" xfId="0"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0" fontId="8" fillId="0" borderId="25" xfId="1" applyFont="1" applyFill="1" applyBorder="1" applyAlignment="1">
      <alignment horizontal="center" vertical="center" wrapText="1"/>
    </xf>
    <xf numFmtId="0" fontId="7" fillId="0" borderId="42" xfId="1" applyFont="1" applyFill="1" applyBorder="1" applyAlignment="1">
      <alignment horizontal="center" vertical="center" wrapText="1"/>
    </xf>
    <xf numFmtId="3" fontId="7" fillId="0" borderId="42" xfId="0" applyNumberFormat="1" applyFont="1" applyFill="1" applyBorder="1" applyAlignment="1">
      <alignment horizontal="right" vertical="center" wrapText="1"/>
    </xf>
    <xf numFmtId="0" fontId="8" fillId="0" borderId="23"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8" fillId="0" borderId="26" xfId="1" applyFont="1" applyFill="1" applyBorder="1" applyAlignment="1">
      <alignment horizontal="center" vertical="center" wrapText="1"/>
    </xf>
    <xf numFmtId="0" fontId="21" fillId="0" borderId="23" xfId="1" applyFont="1" applyFill="1" applyBorder="1" applyAlignment="1">
      <alignment horizontal="center" vertical="center" wrapText="1"/>
    </xf>
    <xf numFmtId="0" fontId="7" fillId="2" borderId="23" xfId="0" applyFont="1" applyFill="1" applyBorder="1" applyAlignment="1">
      <alignment horizontal="center" vertical="center"/>
    </xf>
    <xf numFmtId="0" fontId="7" fillId="2" borderId="2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26" xfId="0" applyFont="1" applyFill="1" applyBorder="1" applyAlignment="1">
      <alignment horizontal="center" wrapText="1"/>
    </xf>
    <xf numFmtId="3" fontId="9" fillId="0" borderId="13" xfId="0" applyNumberFormat="1" applyFont="1" applyFill="1" applyBorder="1" applyAlignment="1">
      <alignment vertical="center" wrapText="1"/>
    </xf>
    <xf numFmtId="3" fontId="9" fillId="0" borderId="12" xfId="1" applyNumberFormat="1" applyFont="1" applyFill="1" applyBorder="1" applyAlignment="1">
      <alignment vertical="center" wrapText="1"/>
    </xf>
    <xf numFmtId="3" fontId="9" fillId="0" borderId="30" xfId="1" applyNumberFormat="1" applyFont="1" applyFill="1" applyBorder="1" applyAlignment="1">
      <alignment vertical="center" wrapText="1"/>
    </xf>
    <xf numFmtId="4" fontId="7" fillId="0" borderId="13" xfId="0" applyNumberFormat="1" applyFont="1" applyFill="1" applyBorder="1" applyAlignment="1">
      <alignment horizontal="center" vertical="center" wrapText="1"/>
    </xf>
    <xf numFmtId="3" fontId="9" fillId="0" borderId="27" xfId="0" applyNumberFormat="1" applyFont="1" applyFill="1" applyBorder="1" applyAlignment="1">
      <alignment vertical="center" wrapText="1"/>
    </xf>
    <xf numFmtId="3" fontId="9" fillId="0" borderId="19" xfId="0" applyNumberFormat="1" applyFont="1" applyFill="1" applyBorder="1" applyAlignment="1">
      <alignment vertical="center" wrapText="1"/>
    </xf>
    <xf numFmtId="0" fontId="0" fillId="0" borderId="0" xfId="0" applyFill="1" applyBorder="1"/>
    <xf numFmtId="3" fontId="9" fillId="0" borderId="14" xfId="0" applyNumberFormat="1" applyFont="1" applyFill="1" applyBorder="1" applyAlignment="1">
      <alignment horizontal="right" vertical="center"/>
    </xf>
    <xf numFmtId="0" fontId="8" fillId="0" borderId="19" xfId="1" applyFont="1" applyFill="1" applyBorder="1" applyAlignment="1">
      <alignment horizontal="center" vertical="center" wrapText="1"/>
    </xf>
    <xf numFmtId="3" fontId="9" fillId="0" borderId="35" xfId="1" applyNumberFormat="1" applyFont="1" applyFill="1" applyBorder="1" applyAlignment="1">
      <alignment vertical="center" wrapText="1"/>
    </xf>
    <xf numFmtId="0" fontId="8" fillId="0" borderId="13" xfId="0" applyFont="1" applyFill="1" applyBorder="1" applyAlignment="1">
      <alignment horizontal="center" vertical="center" wrapText="1"/>
    </xf>
    <xf numFmtId="49" fontId="7" fillId="0" borderId="23" xfId="0" applyNumberFormat="1" applyFont="1" applyFill="1" applyBorder="1" applyAlignment="1">
      <alignment horizontal="center" vertical="center" wrapText="1" shrinkToFit="1"/>
    </xf>
    <xf numFmtId="0" fontId="8" fillId="0" borderId="19" xfId="0" applyFont="1" applyFill="1" applyBorder="1" applyAlignment="1">
      <alignment horizontal="center" vertical="center" wrapText="1"/>
    </xf>
    <xf numFmtId="3" fontId="7" fillId="0" borderId="2" xfId="0" applyNumberFormat="1" applyFont="1" applyFill="1" applyBorder="1" applyAlignment="1">
      <alignment vertical="center"/>
    </xf>
    <xf numFmtId="3" fontId="7" fillId="0" borderId="59" xfId="0" applyNumberFormat="1" applyFont="1" applyFill="1" applyBorder="1" applyAlignment="1">
      <alignment vertical="center"/>
    </xf>
    <xf numFmtId="49" fontId="13" fillId="0" borderId="23" xfId="0" applyNumberFormat="1" applyFont="1" applyFill="1" applyBorder="1" applyAlignment="1">
      <alignment horizontal="center" vertical="center" wrapText="1"/>
    </xf>
    <xf numFmtId="3" fontId="14" fillId="0" borderId="26" xfId="0"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3" fontId="7" fillId="0" borderId="27" xfId="0" applyNumberFormat="1" applyFont="1" applyFill="1" applyBorder="1" applyAlignment="1">
      <alignment horizontal="right" vertical="center"/>
    </xf>
    <xf numFmtId="49" fontId="7" fillId="0" borderId="25" xfId="1"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xf>
    <xf numFmtId="0" fontId="21" fillId="0" borderId="13" xfId="0" applyFont="1" applyFill="1" applyBorder="1" applyAlignment="1">
      <alignment horizontal="center" vertical="center" wrapText="1"/>
    </xf>
    <xf numFmtId="3" fontId="7" fillId="0" borderId="41" xfId="0" applyNumberFormat="1" applyFont="1" applyFill="1" applyBorder="1" applyAlignment="1">
      <alignment vertical="center" wrapText="1"/>
    </xf>
    <xf numFmtId="3" fontId="7" fillId="0" borderId="19" xfId="0" applyNumberFormat="1" applyFont="1" applyFill="1" applyBorder="1" applyAlignment="1">
      <alignment vertical="center"/>
    </xf>
    <xf numFmtId="3" fontId="7" fillId="0" borderId="8" xfId="0" applyNumberFormat="1" applyFont="1" applyFill="1" applyBorder="1" applyAlignment="1">
      <alignment vertical="center"/>
    </xf>
    <xf numFmtId="3" fontId="13" fillId="0" borderId="19" xfId="0" applyNumberFormat="1" applyFont="1" applyFill="1" applyBorder="1" applyAlignment="1">
      <alignment vertical="center"/>
    </xf>
    <xf numFmtId="3" fontId="13" fillId="0" borderId="20" xfId="0" applyNumberFormat="1" applyFont="1" applyFill="1" applyBorder="1" applyAlignment="1">
      <alignment horizontal="right" vertical="center" wrapText="1"/>
    </xf>
    <xf numFmtId="3" fontId="7" fillId="0" borderId="45" xfId="0" applyNumberFormat="1" applyFont="1" applyFill="1" applyBorder="1" applyAlignment="1">
      <alignment vertical="center"/>
    </xf>
    <xf numFmtId="3" fontId="7" fillId="0" borderId="21" xfId="0" applyNumberFormat="1" applyFont="1" applyFill="1" applyBorder="1" applyAlignment="1">
      <alignment vertical="center"/>
    </xf>
    <xf numFmtId="3" fontId="7" fillId="0" borderId="63" xfId="0" applyNumberFormat="1" applyFont="1" applyFill="1" applyBorder="1" applyAlignment="1">
      <alignment vertical="center"/>
    </xf>
    <xf numFmtId="3" fontId="7" fillId="0" borderId="20" xfId="0" applyNumberFormat="1" applyFont="1" applyFill="1" applyBorder="1" applyAlignment="1">
      <alignment horizontal="right" vertical="center"/>
    </xf>
    <xf numFmtId="3" fontId="13" fillId="0" borderId="21" xfId="0" applyNumberFormat="1" applyFont="1" applyFill="1" applyBorder="1" applyAlignment="1">
      <alignment vertical="center"/>
    </xf>
    <xf numFmtId="3" fontId="13" fillId="0" borderId="45" xfId="0" applyNumberFormat="1" applyFont="1" applyFill="1" applyBorder="1" applyAlignment="1">
      <alignment vertical="center"/>
    </xf>
    <xf numFmtId="0" fontId="8" fillId="0" borderId="42" xfId="0" applyFont="1" applyFill="1" applyBorder="1" applyAlignment="1">
      <alignment horizontal="center" vertical="center" wrapText="1"/>
    </xf>
    <xf numFmtId="49" fontId="9" fillId="0" borderId="42" xfId="0" applyNumberFormat="1" applyFont="1" applyFill="1" applyBorder="1" applyAlignment="1">
      <alignment horizontal="center" vertical="center" wrapText="1" shrinkToFit="1"/>
    </xf>
    <xf numFmtId="3" fontId="7" fillId="0" borderId="25" xfId="0" applyNumberFormat="1" applyFont="1" applyFill="1" applyBorder="1" applyAlignment="1">
      <alignment vertical="center"/>
    </xf>
    <xf numFmtId="3" fontId="7" fillId="0" borderId="15" xfId="0" applyNumberFormat="1" applyFont="1" applyFill="1" applyBorder="1" applyAlignment="1">
      <alignment vertical="center"/>
    </xf>
    <xf numFmtId="0" fontId="7" fillId="6" borderId="12" xfId="0" applyFont="1" applyFill="1" applyBorder="1" applyAlignment="1">
      <alignment horizontal="center" vertical="center" wrapText="1"/>
    </xf>
    <xf numFmtId="3" fontId="11" fillId="0" borderId="20" xfId="0" applyNumberFormat="1" applyFont="1" applyFill="1" applyBorder="1" applyAlignment="1">
      <alignment vertical="center" wrapText="1"/>
    </xf>
    <xf numFmtId="3" fontId="11" fillId="0" borderId="37" xfId="0" applyNumberFormat="1" applyFont="1" applyFill="1" applyBorder="1" applyAlignment="1">
      <alignment vertical="center" wrapText="1"/>
    </xf>
    <xf numFmtId="0" fontId="13" fillId="0" borderId="2" xfId="1" applyFont="1" applyFill="1" applyBorder="1" applyAlignment="1">
      <alignment horizontal="center" vertical="center" wrapText="1"/>
    </xf>
    <xf numFmtId="3" fontId="14" fillId="0" borderId="25" xfId="1" applyNumberFormat="1" applyFont="1" applyFill="1" applyBorder="1" applyAlignment="1">
      <alignment vertical="center" wrapText="1"/>
    </xf>
    <xf numFmtId="3" fontId="13" fillId="0" borderId="21"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3" fontId="9" fillId="2" borderId="23" xfId="1" applyNumberFormat="1" applyFont="1" applyFill="1" applyBorder="1" applyAlignment="1">
      <alignment vertical="center" wrapText="1"/>
    </xf>
    <xf numFmtId="3" fontId="7" fillId="2" borderId="37" xfId="0" applyNumberFormat="1" applyFont="1" applyFill="1" applyBorder="1" applyAlignment="1">
      <alignment vertical="center" wrapText="1"/>
    </xf>
    <xf numFmtId="0" fontId="7" fillId="2" borderId="2" xfId="0" applyFont="1" applyFill="1" applyBorder="1" applyAlignment="1">
      <alignment horizontal="center" vertical="center" wrapText="1"/>
    </xf>
    <xf numFmtId="3" fontId="9" fillId="2" borderId="26" xfId="1" applyNumberFormat="1" applyFont="1" applyFill="1" applyBorder="1" applyAlignment="1">
      <alignment vertical="center" wrapText="1"/>
    </xf>
    <xf numFmtId="49" fontId="7" fillId="2" borderId="26" xfId="0" applyNumberFormat="1" applyFont="1" applyFill="1" applyBorder="1" applyAlignment="1">
      <alignment horizontal="center" vertical="center" wrapText="1"/>
    </xf>
    <xf numFmtId="3" fontId="7" fillId="2" borderId="31" xfId="0" applyNumberFormat="1" applyFont="1" applyFill="1" applyBorder="1" applyAlignment="1">
      <alignment vertical="center" wrapText="1"/>
    </xf>
    <xf numFmtId="3" fontId="9" fillId="2" borderId="32" xfId="1" applyNumberFormat="1" applyFont="1" applyFill="1" applyBorder="1" applyAlignment="1">
      <alignment vertical="center" wrapText="1"/>
    </xf>
    <xf numFmtId="0" fontId="7" fillId="2" borderId="24" xfId="0" applyFont="1" applyFill="1" applyBorder="1" applyAlignment="1">
      <alignment horizontal="center" vertical="center" wrapText="1"/>
    </xf>
    <xf numFmtId="3" fontId="11" fillId="0" borderId="23" xfId="0" applyNumberFormat="1" applyFont="1" applyFill="1" applyBorder="1" applyAlignment="1">
      <alignment vertical="center" wrapText="1"/>
    </xf>
    <xf numFmtId="0" fontId="7" fillId="2" borderId="26" xfId="1" applyFont="1" applyFill="1" applyBorder="1" applyAlignment="1">
      <alignment horizontal="center" vertical="center" wrapText="1"/>
    </xf>
    <xf numFmtId="3" fontId="7" fillId="2" borderId="26" xfId="0" applyNumberFormat="1" applyFont="1" applyFill="1" applyBorder="1" applyAlignment="1">
      <alignment vertical="center" wrapText="1"/>
    </xf>
    <xf numFmtId="3" fontId="7" fillId="2" borderId="24" xfId="0" applyNumberFormat="1" applyFont="1" applyFill="1" applyBorder="1" applyAlignment="1">
      <alignment vertical="center" wrapText="1"/>
    </xf>
    <xf numFmtId="0" fontId="7" fillId="2" borderId="13" xfId="0" applyFont="1" applyFill="1" applyBorder="1" applyAlignment="1">
      <alignment horizontal="center" vertical="center" wrapText="1"/>
    </xf>
    <xf numFmtId="3" fontId="9" fillId="2" borderId="13" xfId="1" applyNumberFormat="1" applyFont="1" applyFill="1" applyBorder="1" applyAlignment="1">
      <alignment vertical="center" wrapText="1"/>
    </xf>
    <xf numFmtId="3" fontId="7" fillId="2" borderId="27" xfId="0" applyNumberFormat="1" applyFont="1" applyFill="1" applyBorder="1" applyAlignment="1">
      <alignment vertical="center" wrapText="1"/>
    </xf>
    <xf numFmtId="0" fontId="7" fillId="2" borderId="31" xfId="0" applyFont="1" applyFill="1" applyBorder="1" applyAlignment="1">
      <alignment horizontal="center" vertical="center" wrapText="1"/>
    </xf>
    <xf numFmtId="0" fontId="21" fillId="0" borderId="2" xfId="1" applyFont="1" applyFill="1" applyBorder="1" applyAlignment="1">
      <alignment horizontal="center" vertical="center" wrapText="1"/>
    </xf>
    <xf numFmtId="49" fontId="13" fillId="0" borderId="4" xfId="0" applyNumberFormat="1" applyFont="1" applyFill="1" applyBorder="1" applyAlignment="1">
      <alignment horizontal="center" vertical="center"/>
    </xf>
    <xf numFmtId="3" fontId="7" fillId="2" borderId="23" xfId="0" applyNumberFormat="1" applyFont="1" applyFill="1" applyBorder="1" applyAlignment="1">
      <alignment vertical="center"/>
    </xf>
    <xf numFmtId="3" fontId="7" fillId="2" borderId="37" xfId="0" applyNumberFormat="1" applyFont="1" applyFill="1" applyBorder="1" applyAlignment="1">
      <alignment vertical="center"/>
    </xf>
    <xf numFmtId="3" fontId="13" fillId="0" borderId="13" xfId="0" applyNumberFormat="1" applyFont="1" applyFill="1" applyBorder="1" applyAlignment="1">
      <alignment horizontal="right" vertical="center"/>
    </xf>
    <xf numFmtId="3" fontId="13" fillId="0" borderId="13" xfId="0" applyNumberFormat="1" applyFont="1" applyFill="1" applyBorder="1" applyAlignment="1">
      <alignment horizontal="center" vertical="center" wrapText="1"/>
    </xf>
    <xf numFmtId="3" fontId="7" fillId="2" borderId="14" xfId="0" applyNumberFormat="1" applyFont="1" applyFill="1" applyBorder="1" applyAlignment="1">
      <alignment vertical="center" wrapText="1"/>
    </xf>
    <xf numFmtId="3" fontId="14" fillId="2" borderId="26" xfId="1" applyNumberFormat="1" applyFont="1" applyFill="1" applyBorder="1" applyAlignment="1">
      <alignment vertical="center" wrapText="1"/>
    </xf>
    <xf numFmtId="3" fontId="7" fillId="2" borderId="1" xfId="0" applyNumberFormat="1" applyFont="1" applyFill="1" applyBorder="1" applyAlignment="1">
      <alignment vertical="center" wrapText="1"/>
    </xf>
    <xf numFmtId="0" fontId="13" fillId="0" borderId="24" xfId="1" applyFont="1" applyFill="1" applyBorder="1" applyAlignment="1">
      <alignment horizontal="center" vertical="center" wrapText="1"/>
    </xf>
    <xf numFmtId="3" fontId="13" fillId="0" borderId="24" xfId="0" applyNumberFormat="1" applyFont="1" applyFill="1" applyBorder="1" applyAlignment="1">
      <alignment horizontal="right" vertical="center" wrapText="1"/>
    </xf>
    <xf numFmtId="0" fontId="13" fillId="0" borderId="23" xfId="0" applyNumberFormat="1" applyFont="1" applyFill="1" applyBorder="1" applyAlignment="1">
      <alignment horizontal="center" vertical="center" wrapText="1"/>
    </xf>
    <xf numFmtId="3" fontId="9" fillId="0" borderId="23" xfId="0" applyNumberFormat="1" applyFont="1" applyFill="1" applyBorder="1" applyAlignment="1">
      <alignment vertical="center" wrapText="1"/>
    </xf>
    <xf numFmtId="3" fontId="14" fillId="0" borderId="23" xfId="0" applyNumberFormat="1" applyFont="1" applyFill="1" applyBorder="1" applyAlignment="1">
      <alignment vertical="center" wrapText="1"/>
    </xf>
    <xf numFmtId="3" fontId="11" fillId="0" borderId="24" xfId="0" applyNumberFormat="1" applyFont="1" applyFill="1" applyBorder="1" applyAlignment="1">
      <alignment vertical="center" wrapText="1"/>
    </xf>
    <xf numFmtId="0" fontId="7" fillId="2" borderId="40" xfId="0" applyFont="1" applyFill="1" applyBorder="1" applyAlignment="1">
      <alignment horizontal="center" vertical="center" wrapText="1"/>
    </xf>
    <xf numFmtId="3" fontId="11" fillId="0" borderId="27" xfId="0" applyNumberFormat="1" applyFont="1" applyFill="1" applyBorder="1" applyAlignment="1">
      <alignment vertical="center" wrapText="1"/>
    </xf>
    <xf numFmtId="49" fontId="13" fillId="0" borderId="25" xfId="0" applyNumberFormat="1" applyFont="1" applyFill="1" applyBorder="1" applyAlignment="1">
      <alignment horizontal="center" vertical="center" wrapText="1"/>
    </xf>
    <xf numFmtId="0" fontId="13" fillId="2" borderId="24" xfId="0" applyFont="1" applyFill="1" applyBorder="1" applyAlignment="1">
      <alignment horizontal="center" vertical="center" wrapText="1"/>
    </xf>
    <xf numFmtId="3" fontId="14" fillId="0" borderId="42" xfId="1" applyNumberFormat="1" applyFont="1" applyFill="1" applyBorder="1" applyAlignment="1">
      <alignment vertical="center" wrapText="1"/>
    </xf>
    <xf numFmtId="3" fontId="9" fillId="2" borderId="23" xfId="0" applyNumberFormat="1" applyFont="1" applyFill="1" applyBorder="1" applyAlignment="1">
      <alignment vertical="center" wrapText="1"/>
    </xf>
    <xf numFmtId="1" fontId="7" fillId="6" borderId="18" xfId="1" applyNumberFormat="1" applyFont="1" applyFill="1" applyBorder="1" applyAlignment="1">
      <alignment horizontal="center" vertical="center" wrapText="1"/>
    </xf>
    <xf numFmtId="3" fontId="7" fillId="6" borderId="18" xfId="0" applyNumberFormat="1"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0" fontId="9" fillId="0" borderId="18" xfId="1" applyFont="1" applyFill="1" applyBorder="1" applyAlignment="1">
      <alignment horizontal="center" vertical="center" wrapText="1"/>
    </xf>
    <xf numFmtId="4" fontId="9" fillId="0" borderId="52"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167" fontId="14" fillId="0" borderId="26" xfId="0" applyNumberFormat="1" applyFont="1" applyFill="1" applyBorder="1" applyAlignment="1">
      <alignment horizontal="center" vertical="center" wrapText="1"/>
    </xf>
    <xf numFmtId="167" fontId="14" fillId="0" borderId="26" xfId="0" applyNumberFormat="1" applyFont="1" applyFill="1" applyBorder="1" applyAlignment="1">
      <alignment horizontal="center" vertical="center" wrapText="1" shrinkToFit="1"/>
    </xf>
    <xf numFmtId="167" fontId="9" fillId="0" borderId="26" xfId="0" applyNumberFormat="1" applyFont="1" applyFill="1" applyBorder="1" applyAlignment="1">
      <alignment horizontal="center" vertical="center" wrapText="1"/>
    </xf>
    <xf numFmtId="167" fontId="9" fillId="0" borderId="26" xfId="0" applyNumberFormat="1" applyFont="1" applyFill="1" applyBorder="1" applyAlignment="1">
      <alignment horizontal="center" vertical="center" wrapText="1" shrinkToFit="1"/>
    </xf>
    <xf numFmtId="167" fontId="9" fillId="0" borderId="14" xfId="0" applyNumberFormat="1" applyFont="1" applyFill="1" applyBorder="1" applyAlignment="1">
      <alignment horizontal="center" vertical="center" wrapText="1"/>
    </xf>
    <xf numFmtId="0" fontId="9" fillId="0" borderId="12" xfId="1" applyFont="1" applyFill="1" applyBorder="1" applyAlignment="1">
      <alignment horizontal="center" vertical="center" wrapText="1"/>
    </xf>
    <xf numFmtId="49" fontId="13" fillId="0" borderId="30" xfId="0" applyNumberFormat="1" applyFont="1" applyFill="1" applyBorder="1" applyAlignment="1">
      <alignment horizontal="center" vertical="center"/>
    </xf>
    <xf numFmtId="0" fontId="9" fillId="0" borderId="14" xfId="0" applyFont="1" applyFill="1" applyBorder="1" applyAlignment="1">
      <alignment horizontal="center" vertical="center" wrapText="1"/>
    </xf>
    <xf numFmtId="3" fontId="7" fillId="0" borderId="6" xfId="0" applyNumberFormat="1" applyFont="1" applyFill="1" applyBorder="1" applyAlignment="1">
      <alignment vertical="center" wrapText="1"/>
    </xf>
    <xf numFmtId="3" fontId="7" fillId="0" borderId="18" xfId="0" applyNumberFormat="1" applyFont="1" applyFill="1" applyBorder="1" applyAlignment="1">
      <alignment vertical="center" wrapText="1"/>
    </xf>
    <xf numFmtId="49" fontId="7" fillId="0" borderId="2" xfId="0" applyNumberFormat="1" applyFont="1" applyFill="1" applyBorder="1" applyAlignment="1">
      <alignment horizontal="center" vertical="center" wrapText="1" shrinkToFit="1"/>
    </xf>
    <xf numFmtId="0" fontId="7" fillId="0" borderId="27" xfId="1" applyFont="1" applyFill="1" applyBorder="1" applyAlignment="1">
      <alignment horizontal="center" vertical="center" wrapText="1"/>
    </xf>
    <xf numFmtId="0" fontId="8" fillId="0" borderId="32" xfId="0" applyFont="1" applyFill="1" applyBorder="1" applyAlignment="1">
      <alignment horizontal="center" vertical="center" wrapText="1"/>
    </xf>
    <xf numFmtId="3" fontId="7" fillId="0" borderId="35" xfId="0" applyNumberFormat="1" applyFont="1" applyFill="1" applyBorder="1" applyAlignment="1">
      <alignment horizontal="right" vertical="center" wrapText="1"/>
    </xf>
    <xf numFmtId="0" fontId="8" fillId="0" borderId="15" xfId="1" applyFont="1" applyFill="1" applyBorder="1" applyAlignment="1">
      <alignment horizontal="center" vertical="center" wrapText="1"/>
    </xf>
    <xf numFmtId="49" fontId="9" fillId="0" borderId="18" xfId="0" applyNumberFormat="1" applyFont="1" applyFill="1" applyBorder="1" applyAlignment="1">
      <alignment horizontal="center" vertical="center" wrapText="1" shrinkToFit="1"/>
    </xf>
    <xf numFmtId="0" fontId="7" fillId="0" borderId="6" xfId="1" applyFont="1" applyFill="1" applyBorder="1" applyAlignment="1">
      <alignment horizontal="center" vertical="center" wrapText="1"/>
    </xf>
    <xf numFmtId="3" fontId="7" fillId="0" borderId="6" xfId="0" applyNumberFormat="1" applyFont="1" applyFill="1" applyBorder="1" applyAlignment="1">
      <alignment horizontal="right" vertical="center" wrapText="1"/>
    </xf>
    <xf numFmtId="49" fontId="7" fillId="0" borderId="12" xfId="0" applyNumberFormat="1" applyFont="1" applyFill="1" applyBorder="1" applyAlignment="1">
      <alignment horizontal="center" vertical="center" wrapText="1"/>
    </xf>
    <xf numFmtId="3" fontId="9" fillId="0" borderId="26" xfId="1" applyNumberFormat="1" applyFont="1" applyFill="1" applyBorder="1" applyAlignment="1">
      <alignment horizontal="right" vertical="center" wrapText="1"/>
    </xf>
    <xf numFmtId="3" fontId="9" fillId="0" borderId="14" xfId="1" applyNumberFormat="1" applyFont="1" applyFill="1" applyBorder="1" applyAlignment="1">
      <alignment vertical="center"/>
    </xf>
    <xf numFmtId="0" fontId="8" fillId="0" borderId="24" xfId="0" applyFont="1" applyFill="1" applyBorder="1" applyAlignment="1">
      <alignment horizontal="center" vertical="center" wrapText="1"/>
    </xf>
    <xf numFmtId="49" fontId="7" fillId="0" borderId="23" xfId="0" applyNumberFormat="1" applyFont="1" applyFill="1" applyBorder="1" applyAlignment="1">
      <alignment horizontal="center" vertical="center"/>
    </xf>
    <xf numFmtId="0" fontId="10" fillId="6" borderId="6" xfId="1" applyFont="1" applyFill="1" applyBorder="1" applyAlignment="1">
      <alignment horizontal="left" vertical="center" wrapText="1"/>
    </xf>
    <xf numFmtId="0" fontId="10" fillId="6" borderId="5" xfId="1" applyFont="1" applyFill="1" applyBorder="1" applyAlignment="1">
      <alignment horizontal="left" vertical="center" wrapText="1"/>
    </xf>
    <xf numFmtId="4" fontId="10" fillId="6" borderId="18" xfId="1" applyNumberFormat="1" applyFont="1" applyFill="1" applyBorder="1" applyAlignment="1">
      <alignment horizontal="left" vertical="center" wrapText="1"/>
    </xf>
    <xf numFmtId="3" fontId="7" fillId="0" borderId="16" xfId="0" applyNumberFormat="1" applyFont="1" applyFill="1" applyBorder="1" applyAlignment="1">
      <alignment horizontal="center" vertical="center" wrapText="1"/>
    </xf>
    <xf numFmtId="3" fontId="7" fillId="0" borderId="16" xfId="0" applyNumberFormat="1" applyFont="1" applyFill="1" applyBorder="1" applyAlignment="1">
      <alignment horizontal="right" vertical="center"/>
    </xf>
    <xf numFmtId="3" fontId="7" fillId="0" borderId="21" xfId="0" applyNumberFormat="1" applyFont="1" applyFill="1" applyBorder="1" applyAlignment="1">
      <alignment horizontal="right" vertical="center" wrapText="1"/>
    </xf>
    <xf numFmtId="3" fontId="29" fillId="0" borderId="0" xfId="0" applyNumberFormat="1" applyFont="1" applyFill="1" applyAlignment="1">
      <alignment horizontal="right" vertical="center"/>
    </xf>
    <xf numFmtId="166" fontId="7" fillId="0" borderId="0" xfId="0" applyNumberFormat="1" applyFont="1" applyAlignment="1">
      <alignment vertical="center"/>
    </xf>
    <xf numFmtId="49" fontId="7" fillId="5" borderId="26" xfId="0" applyNumberFormat="1" applyFont="1" applyFill="1" applyBorder="1" applyAlignment="1">
      <alignment horizontal="center" vertical="center" wrapText="1"/>
    </xf>
    <xf numFmtId="0" fontId="21" fillId="0" borderId="9" xfId="1" applyFont="1" applyFill="1" applyBorder="1" applyAlignment="1">
      <alignment horizontal="center" vertical="center" wrapText="1"/>
    </xf>
    <xf numFmtId="3" fontId="13" fillId="0" borderId="8" xfId="0" applyNumberFormat="1" applyFont="1" applyFill="1" applyBorder="1" applyAlignment="1">
      <alignment vertical="center" wrapText="1"/>
    </xf>
    <xf numFmtId="3" fontId="13" fillId="0" borderId="59" xfId="0" applyNumberFormat="1" applyFont="1" applyFill="1" applyBorder="1" applyAlignment="1">
      <alignment vertical="center" wrapText="1"/>
    </xf>
    <xf numFmtId="3" fontId="13" fillId="0" borderId="9" xfId="0" applyNumberFormat="1" applyFont="1" applyFill="1" applyBorder="1" applyAlignment="1">
      <alignment vertical="center" wrapText="1"/>
    </xf>
    <xf numFmtId="3" fontId="13" fillId="0" borderId="2" xfId="0" applyNumberFormat="1" applyFont="1" applyFill="1" applyBorder="1" applyAlignment="1">
      <alignment horizontal="right" vertical="center" wrapText="1"/>
    </xf>
    <xf numFmtId="49" fontId="13" fillId="0" borderId="4" xfId="0" applyNumberFormat="1" applyFont="1" applyFill="1" applyBorder="1" applyAlignment="1">
      <alignment horizontal="center" vertical="center" wrapText="1"/>
    </xf>
    <xf numFmtId="49" fontId="7" fillId="0" borderId="57" xfId="0" applyNumberFormat="1" applyFont="1" applyFill="1" applyBorder="1" applyAlignment="1">
      <alignment horizontal="center" vertical="center"/>
    </xf>
    <xf numFmtId="0" fontId="8" fillId="0" borderId="23" xfId="0" applyFont="1" applyFill="1" applyBorder="1" applyAlignment="1">
      <alignment horizontal="center" wrapText="1"/>
    </xf>
    <xf numFmtId="3" fontId="12" fillId="0" borderId="26" xfId="1" applyNumberFormat="1" applyFont="1" applyFill="1" applyBorder="1" applyAlignment="1">
      <alignment horizontal="right" vertical="center" wrapText="1"/>
    </xf>
    <xf numFmtId="3" fontId="9" fillId="2" borderId="25" xfId="1" applyNumberFormat="1" applyFont="1" applyFill="1" applyBorder="1" applyAlignment="1">
      <alignment vertical="center" wrapText="1"/>
    </xf>
    <xf numFmtId="0" fontId="11" fillId="0" borderId="25" xfId="0"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49" fontId="13" fillId="0" borderId="30" xfId="0" applyNumberFormat="1" applyFont="1" applyFill="1" applyBorder="1" applyAlignment="1">
      <alignment horizontal="center" vertical="center" wrapText="1"/>
    </xf>
    <xf numFmtId="0" fontId="8" fillId="0" borderId="14" xfId="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3" fontId="9" fillId="0" borderId="25" xfId="1" applyNumberFormat="1" applyFont="1" applyFill="1" applyBorder="1" applyAlignment="1">
      <alignment vertical="center"/>
    </xf>
    <xf numFmtId="3" fontId="9" fillId="6" borderId="18" xfId="1" applyNumberFormat="1" applyFont="1" applyFill="1" applyBorder="1" applyAlignment="1">
      <alignment horizontal="right" vertical="center" wrapText="1"/>
    </xf>
    <xf numFmtId="0" fontId="8" fillId="0" borderId="0" xfId="0" applyFont="1" applyAlignment="1">
      <alignment horizontal="right" vertical="center" wrapText="1"/>
    </xf>
    <xf numFmtId="0" fontId="13" fillId="0" borderId="19" xfId="0" applyFont="1" applyFill="1" applyBorder="1" applyAlignment="1">
      <alignment horizontal="center" vertical="center" wrapText="1"/>
    </xf>
    <xf numFmtId="49" fontId="7" fillId="0" borderId="26" xfId="0" applyNumberFormat="1" applyFont="1" applyFill="1" applyBorder="1" applyAlignment="1">
      <alignment horizontal="center" vertical="center" wrapText="1" shrinkToFit="1"/>
    </xf>
    <xf numFmtId="3" fontId="9" fillId="0" borderId="25" xfId="0" applyNumberFormat="1" applyFont="1" applyFill="1" applyBorder="1" applyAlignment="1">
      <alignment horizontal="right" vertical="center"/>
    </xf>
    <xf numFmtId="49" fontId="7" fillId="0" borderId="8" xfId="0" applyNumberFormat="1" applyFont="1" applyFill="1" applyBorder="1" applyAlignment="1">
      <alignment horizontal="center" vertical="center" wrapText="1"/>
    </xf>
    <xf numFmtId="3" fontId="9" fillId="0" borderId="13" xfId="1" applyNumberFormat="1" applyFont="1" applyFill="1" applyBorder="1" applyAlignment="1">
      <alignment horizontal="right" vertical="center" wrapText="1"/>
    </xf>
    <xf numFmtId="3" fontId="7" fillId="0" borderId="9" xfId="0" applyNumberFormat="1" applyFont="1" applyFill="1" applyBorder="1" applyAlignment="1">
      <alignment horizontal="right" vertical="center"/>
    </xf>
    <xf numFmtId="0" fontId="8" fillId="0" borderId="22" xfId="1" applyFont="1" applyFill="1" applyBorder="1" applyAlignment="1">
      <alignment horizontal="center" vertical="center" wrapText="1"/>
    </xf>
    <xf numFmtId="3" fontId="9" fillId="0" borderId="23" xfId="1"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xf>
    <xf numFmtId="3" fontId="7" fillId="0" borderId="51" xfId="0" applyNumberFormat="1" applyFont="1" applyFill="1" applyBorder="1" applyAlignment="1">
      <alignment vertical="center" wrapText="1"/>
    </xf>
    <xf numFmtId="3" fontId="9" fillId="0" borderId="14" xfId="1"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5" xfId="0" applyNumberFormat="1" applyFont="1" applyFill="1" applyBorder="1" applyAlignment="1">
      <alignment horizontal="center" vertical="center" wrapText="1"/>
    </xf>
    <xf numFmtId="3" fontId="7" fillId="0" borderId="63"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9" fillId="0" borderId="13" xfId="1" applyNumberFormat="1" applyFont="1" applyFill="1" applyBorder="1" applyAlignment="1">
      <alignment horizontal="center" vertical="center" wrapText="1"/>
    </xf>
    <xf numFmtId="3" fontId="9" fillId="0" borderId="15" xfId="1"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7" fillId="0" borderId="63"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3" fontId="7" fillId="0" borderId="50"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9" fillId="0" borderId="30" xfId="0" applyNumberFormat="1" applyFont="1" applyFill="1" applyBorder="1" applyAlignment="1">
      <alignment horizontal="center" vertical="center" wrapText="1"/>
    </xf>
    <xf numFmtId="0" fontId="7" fillId="5" borderId="26" xfId="1" applyFont="1" applyFill="1" applyBorder="1" applyAlignment="1">
      <alignment horizontal="center" vertical="center" wrapText="1"/>
    </xf>
    <xf numFmtId="3" fontId="7" fillId="2" borderId="27" xfId="0" applyNumberFormat="1" applyFont="1" applyFill="1" applyBorder="1" applyAlignment="1">
      <alignment vertical="center"/>
    </xf>
    <xf numFmtId="3" fontId="7" fillId="2" borderId="21" xfId="0" applyNumberFormat="1" applyFont="1" applyFill="1" applyBorder="1" applyAlignment="1">
      <alignment vertical="center"/>
    </xf>
    <xf numFmtId="3" fontId="7" fillId="2" borderId="21" xfId="0" applyNumberFormat="1" applyFont="1" applyFill="1" applyBorder="1" applyAlignment="1">
      <alignment vertical="center" wrapText="1"/>
    </xf>
    <xf numFmtId="49" fontId="7" fillId="2" borderId="26" xfId="0" applyNumberFormat="1" applyFont="1" applyFill="1" applyBorder="1" applyAlignment="1">
      <alignment horizontal="center" vertical="center"/>
    </xf>
    <xf numFmtId="0" fontId="8" fillId="2" borderId="26" xfId="1" applyFont="1" applyFill="1" applyBorder="1" applyAlignment="1">
      <alignment horizontal="center" vertical="center" wrapText="1"/>
    </xf>
    <xf numFmtId="3" fontId="7" fillId="2" borderId="20" xfId="0" applyNumberFormat="1" applyFont="1" applyFill="1" applyBorder="1" applyAlignment="1">
      <alignment vertical="center" wrapText="1"/>
    </xf>
    <xf numFmtId="3" fontId="7" fillId="2" borderId="32" xfId="0" applyNumberFormat="1" applyFont="1" applyFill="1" applyBorder="1" applyAlignment="1">
      <alignment vertical="center" wrapText="1"/>
    </xf>
    <xf numFmtId="3" fontId="7" fillId="2" borderId="32" xfId="0" applyNumberFormat="1" applyFont="1" applyFill="1" applyBorder="1" applyAlignment="1">
      <alignment horizontal="right" vertical="center"/>
    </xf>
    <xf numFmtId="49" fontId="9" fillId="2" borderId="26" xfId="0" applyNumberFormat="1" applyFont="1" applyFill="1" applyBorder="1" applyAlignment="1">
      <alignment horizontal="center" vertical="center" wrapText="1" shrinkToFit="1"/>
    </xf>
    <xf numFmtId="3" fontId="7" fillId="2" borderId="26" xfId="0" applyNumberFormat="1" applyFont="1" applyFill="1" applyBorder="1" applyAlignment="1">
      <alignment horizontal="right" vertical="center"/>
    </xf>
    <xf numFmtId="3" fontId="9" fillId="2" borderId="30" xfId="1" applyNumberFormat="1" applyFont="1" applyFill="1" applyBorder="1" applyAlignment="1">
      <alignment vertical="center" wrapText="1"/>
    </xf>
    <xf numFmtId="49" fontId="7" fillId="2" borderId="13" xfId="0" applyNumberFormat="1" applyFont="1" applyFill="1" applyBorder="1" applyAlignment="1">
      <alignment horizontal="center" vertical="center"/>
    </xf>
    <xf numFmtId="49" fontId="7" fillId="5" borderId="23" xfId="0" applyNumberFormat="1" applyFont="1" applyFill="1" applyBorder="1" applyAlignment="1">
      <alignment horizontal="center" vertical="center" wrapText="1"/>
    </xf>
    <xf numFmtId="49" fontId="9" fillId="5" borderId="33" xfId="0" applyNumberFormat="1" applyFont="1" applyFill="1" applyBorder="1" applyAlignment="1">
      <alignment horizontal="center" vertical="center" wrapText="1"/>
    </xf>
    <xf numFmtId="0" fontId="7" fillId="5" borderId="33" xfId="0"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shrinkToFit="1"/>
    </xf>
    <xf numFmtId="3" fontId="11" fillId="0" borderId="26" xfId="0" applyNumberFormat="1" applyFont="1" applyFill="1" applyBorder="1" applyAlignment="1">
      <alignment vertical="center" wrapText="1"/>
    </xf>
    <xf numFmtId="49" fontId="11" fillId="0" borderId="31"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9" fillId="2" borderId="26" xfId="0" applyNumberFormat="1" applyFont="1" applyFill="1" applyBorder="1" applyAlignment="1">
      <alignment horizontal="center" vertical="center" wrapText="1"/>
    </xf>
    <xf numFmtId="0" fontId="8" fillId="2" borderId="31" xfId="0" applyFont="1" applyFill="1" applyBorder="1" applyAlignment="1">
      <alignment horizontal="center" vertical="center" wrapText="1"/>
    </xf>
    <xf numFmtId="49" fontId="7" fillId="2" borderId="31" xfId="0" applyNumberFormat="1" applyFont="1" applyFill="1" applyBorder="1" applyAlignment="1">
      <alignment horizontal="center" vertical="center" wrapText="1"/>
    </xf>
    <xf numFmtId="49" fontId="9" fillId="2" borderId="23"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3" fontId="9" fillId="2" borderId="13" xfId="0" applyNumberFormat="1" applyFont="1" applyFill="1" applyBorder="1" applyAlignment="1">
      <alignment horizontal="right" vertical="center" wrapText="1"/>
    </xf>
    <xf numFmtId="0" fontId="33" fillId="0" borderId="26" xfId="0" applyFont="1" applyFill="1" applyBorder="1" applyAlignment="1">
      <alignment horizontal="center" vertical="center" wrapText="1"/>
    </xf>
    <xf numFmtId="0" fontId="8" fillId="2" borderId="26" xfId="0" applyFont="1" applyFill="1" applyBorder="1" applyAlignment="1">
      <alignment horizontal="center" vertical="center" wrapText="1"/>
    </xf>
    <xf numFmtId="49" fontId="12" fillId="0" borderId="23" xfId="0" applyNumberFormat="1" applyFont="1" applyFill="1" applyBorder="1" applyAlignment="1">
      <alignment horizontal="center" vertical="center" wrapText="1"/>
    </xf>
    <xf numFmtId="3" fontId="11" fillId="0" borderId="21" xfId="0" applyNumberFormat="1" applyFont="1" applyFill="1" applyBorder="1" applyAlignment="1">
      <alignment vertical="center" wrapText="1"/>
    </xf>
    <xf numFmtId="3" fontId="13" fillId="0" borderId="24" xfId="0" applyNumberFormat="1" applyFont="1" applyFill="1" applyBorder="1" applyAlignment="1">
      <alignment horizontal="right" vertical="center"/>
    </xf>
    <xf numFmtId="49" fontId="11" fillId="0" borderId="25" xfId="0" applyNumberFormat="1" applyFont="1" applyFill="1" applyBorder="1" applyAlignment="1">
      <alignment horizontal="center" vertical="center" wrapText="1"/>
    </xf>
    <xf numFmtId="3" fontId="9" fillId="2" borderId="23" xfId="0" applyNumberFormat="1" applyFont="1" applyFill="1" applyBorder="1" applyAlignment="1">
      <alignment horizontal="right" vertical="center"/>
    </xf>
    <xf numFmtId="49" fontId="7" fillId="2" borderId="25" xfId="0" applyNumberFormat="1"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3" fontId="14" fillId="0" borderId="20" xfId="0" applyNumberFormat="1" applyFont="1" applyFill="1" applyBorder="1" applyAlignment="1">
      <alignment vertical="center" wrapText="1"/>
    </xf>
    <xf numFmtId="49" fontId="12" fillId="0" borderId="2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xf>
    <xf numFmtId="0" fontId="7" fillId="2" borderId="2" xfId="1" applyFont="1" applyFill="1" applyBorder="1" applyAlignment="1">
      <alignment horizontal="center" vertical="center" wrapText="1"/>
    </xf>
    <xf numFmtId="3" fontId="9" fillId="2" borderId="4" xfId="1" applyNumberFormat="1" applyFont="1" applyFill="1" applyBorder="1" applyAlignment="1">
      <alignment vertical="center" wrapText="1"/>
    </xf>
    <xf numFmtId="0" fontId="7" fillId="2" borderId="22" xfId="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3" fontId="13" fillId="2" borderId="26" xfId="0" applyNumberFormat="1" applyFont="1" applyFill="1" applyBorder="1" applyAlignment="1">
      <alignment vertical="center" wrapText="1"/>
    </xf>
    <xf numFmtId="3" fontId="13" fillId="2" borderId="37" xfId="0" applyNumberFormat="1" applyFont="1" applyFill="1" applyBorder="1" applyAlignment="1">
      <alignment vertical="center" wrapText="1"/>
    </xf>
    <xf numFmtId="3" fontId="14" fillId="0" borderId="25" xfId="0" applyNumberFormat="1" applyFont="1" applyFill="1" applyBorder="1" applyAlignment="1">
      <alignment vertical="center" wrapText="1"/>
    </xf>
    <xf numFmtId="0" fontId="13" fillId="2" borderId="26" xfId="0" applyFont="1" applyFill="1" applyBorder="1" applyAlignment="1">
      <alignment horizontal="center" vertical="center" wrapText="1"/>
    </xf>
    <xf numFmtId="49" fontId="9" fillId="2" borderId="33" xfId="0" applyNumberFormat="1" applyFont="1" applyFill="1" applyBorder="1" applyAlignment="1">
      <alignment horizontal="center" vertical="center" wrapText="1"/>
    </xf>
    <xf numFmtId="3" fontId="7" fillId="2" borderId="38" xfId="0" applyNumberFormat="1" applyFont="1" applyFill="1" applyBorder="1" applyAlignment="1">
      <alignment vertical="center" wrapText="1"/>
    </xf>
    <xf numFmtId="3" fontId="7" fillId="2" borderId="35" xfId="0" applyNumberFormat="1" applyFont="1" applyFill="1" applyBorder="1" applyAlignment="1">
      <alignment horizontal="right" vertical="center" wrapText="1"/>
    </xf>
    <xf numFmtId="3" fontId="7" fillId="2" borderId="32" xfId="0" applyNumberFormat="1" applyFont="1" applyFill="1" applyBorder="1" applyAlignment="1">
      <alignment horizontal="right" vertical="center" wrapText="1"/>
    </xf>
    <xf numFmtId="0" fontId="7" fillId="2" borderId="23" xfId="1" applyFont="1" applyFill="1" applyBorder="1" applyAlignment="1">
      <alignment horizontal="center" vertical="center" wrapText="1"/>
    </xf>
    <xf numFmtId="3" fontId="7" fillId="2" borderId="36" xfId="0" applyNumberFormat="1" applyFont="1" applyFill="1" applyBorder="1" applyAlignment="1">
      <alignment vertical="center" wrapText="1"/>
    </xf>
    <xf numFmtId="3" fontId="7" fillId="2" borderId="42" xfId="0" applyNumberFormat="1" applyFont="1" applyFill="1" applyBorder="1" applyAlignment="1">
      <alignment horizontal="right" vertical="center" wrapText="1"/>
    </xf>
    <xf numFmtId="49" fontId="9" fillId="2" borderId="23" xfId="0" applyNumberFormat="1" applyFont="1" applyFill="1" applyBorder="1" applyAlignment="1">
      <alignment horizontal="center" vertical="center" wrapText="1" shrinkToFit="1"/>
    </xf>
    <xf numFmtId="3" fontId="7" fillId="2" borderId="24" xfId="0" applyNumberFormat="1" applyFont="1" applyFill="1" applyBorder="1" applyAlignment="1">
      <alignment horizontal="right" vertical="center" wrapText="1"/>
    </xf>
    <xf numFmtId="0" fontId="0" fillId="0" borderId="0" xfId="0" applyAlignment="1">
      <alignment horizontal="center" vertical="center"/>
    </xf>
    <xf numFmtId="0" fontId="3" fillId="0" borderId="0" xfId="0" applyFont="1" applyAlignment="1">
      <alignment horizontal="center"/>
    </xf>
    <xf numFmtId="167" fontId="12" fillId="0" borderId="26" xfId="0" applyNumberFormat="1" applyFont="1" applyFill="1" applyBorder="1" applyAlignment="1">
      <alignment horizontal="center" vertical="center" wrapText="1"/>
    </xf>
    <xf numFmtId="167" fontId="12" fillId="0" borderId="26" xfId="0" applyNumberFormat="1" applyFont="1" applyFill="1" applyBorder="1" applyAlignment="1">
      <alignment horizontal="center" vertical="center" wrapText="1" shrinkToFit="1"/>
    </xf>
    <xf numFmtId="49" fontId="11" fillId="0" borderId="37" xfId="0" applyNumberFormat="1" applyFont="1" applyFill="1" applyBorder="1" applyAlignment="1">
      <alignment horizontal="center" vertical="center" wrapText="1"/>
    </xf>
    <xf numFmtId="0" fontId="11" fillId="0" borderId="23" xfId="1" applyFont="1" applyFill="1" applyBorder="1" applyAlignment="1">
      <alignment horizontal="center" vertical="center" wrapText="1"/>
    </xf>
    <xf numFmtId="49" fontId="7" fillId="2" borderId="37" xfId="0" applyNumberFormat="1" applyFont="1" applyFill="1" applyBorder="1" applyAlignment="1">
      <alignment horizontal="center" vertical="center" wrapText="1"/>
    </xf>
    <xf numFmtId="0" fontId="8" fillId="0" borderId="18" xfId="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9" fillId="5" borderId="2" xfId="0" applyNumberFormat="1" applyFont="1" applyFill="1" applyBorder="1" applyAlignment="1">
      <alignment horizontal="center" vertical="center" wrapText="1"/>
    </xf>
    <xf numFmtId="49" fontId="9" fillId="5" borderId="2" xfId="0" applyNumberFormat="1" applyFont="1" applyFill="1" applyBorder="1" applyAlignment="1">
      <alignment horizontal="center" vertical="center" wrapText="1" shrinkToFit="1"/>
    </xf>
    <xf numFmtId="49" fontId="7" fillId="5" borderId="4" xfId="0" applyNumberFormat="1" applyFont="1" applyFill="1" applyBorder="1" applyAlignment="1">
      <alignment horizontal="center" vertical="center" wrapText="1"/>
    </xf>
    <xf numFmtId="0" fontId="7" fillId="5" borderId="2" xfId="1" applyFont="1" applyFill="1" applyBorder="1" applyAlignment="1">
      <alignment horizontal="center" vertical="center" wrapText="1"/>
    </xf>
    <xf numFmtId="49" fontId="9" fillId="5" borderId="26" xfId="0" applyNumberFormat="1" applyFont="1" applyFill="1" applyBorder="1" applyAlignment="1">
      <alignment horizontal="center" vertical="center" wrapText="1" shrinkToFit="1"/>
    </xf>
    <xf numFmtId="3" fontId="7" fillId="0" borderId="62" xfId="0" applyNumberFormat="1" applyFont="1" applyFill="1" applyBorder="1" applyAlignment="1">
      <alignment horizontal="center" vertical="center" wrapText="1"/>
    </xf>
    <xf numFmtId="3" fontId="9" fillId="0" borderId="15"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0" fontId="13" fillId="2" borderId="31" xfId="0" applyFont="1" applyFill="1" applyBorder="1" applyAlignment="1">
      <alignment horizontal="center" vertical="center" wrapText="1"/>
    </xf>
    <xf numFmtId="167" fontId="9" fillId="2" borderId="3" xfId="0" applyNumberFormat="1" applyFont="1" applyFill="1" applyBorder="1" applyAlignment="1">
      <alignment horizontal="center" vertical="center" wrapText="1"/>
    </xf>
    <xf numFmtId="167" fontId="9" fillId="2" borderId="22" xfId="0" applyNumberFormat="1" applyFont="1" applyFill="1" applyBorder="1" applyAlignment="1">
      <alignment horizontal="center" vertical="center" wrapText="1" shrinkToFit="1"/>
    </xf>
    <xf numFmtId="3" fontId="7" fillId="0" borderId="30" xfId="0" applyNumberFormat="1" applyFont="1" applyFill="1" applyBorder="1" applyAlignment="1">
      <alignment horizontal="center" vertical="center" wrapText="1"/>
    </xf>
    <xf numFmtId="49" fontId="7" fillId="2" borderId="32" xfId="0" applyNumberFormat="1" applyFont="1" applyFill="1" applyBorder="1" applyAlignment="1">
      <alignment horizontal="center" vertical="center" wrapText="1"/>
    </xf>
    <xf numFmtId="3" fontId="9" fillId="2" borderId="31" xfId="1" applyNumberFormat="1" applyFont="1" applyFill="1" applyBorder="1" applyAlignment="1">
      <alignment vertical="center" wrapText="1"/>
    </xf>
    <xf numFmtId="3" fontId="7" fillId="2" borderId="40" xfId="0" applyNumberFormat="1" applyFont="1" applyFill="1" applyBorder="1" applyAlignment="1">
      <alignment vertical="center" wrapText="1"/>
    </xf>
    <xf numFmtId="0" fontId="13" fillId="2" borderId="23" xfId="0" applyFont="1" applyFill="1" applyBorder="1" applyAlignment="1">
      <alignment horizontal="center" vertical="center" wrapText="1"/>
    </xf>
    <xf numFmtId="0" fontId="21" fillId="2" borderId="26" xfId="0" applyFont="1" applyFill="1" applyBorder="1" applyAlignment="1">
      <alignment horizontal="center" vertical="center" wrapText="1"/>
    </xf>
    <xf numFmtId="3" fontId="13" fillId="2" borderId="20" xfId="0" applyNumberFormat="1" applyFont="1" applyFill="1" applyBorder="1" applyAlignment="1">
      <alignment vertical="center" wrapText="1"/>
    </xf>
    <xf numFmtId="3" fontId="13" fillId="2" borderId="27" xfId="0" applyNumberFormat="1" applyFont="1" applyFill="1" applyBorder="1" applyAlignment="1">
      <alignment vertical="center" wrapText="1"/>
    </xf>
    <xf numFmtId="3" fontId="13" fillId="2" borderId="32" xfId="0" applyNumberFormat="1" applyFont="1" applyFill="1" applyBorder="1" applyAlignment="1">
      <alignment vertical="center" wrapText="1"/>
    </xf>
    <xf numFmtId="3" fontId="7" fillId="0" borderId="13" xfId="0" applyNumberFormat="1" applyFont="1" applyFill="1" applyBorder="1" applyAlignment="1">
      <alignment horizontal="right" vertical="center" wrapText="1"/>
    </xf>
    <xf numFmtId="3" fontId="9" fillId="2" borderId="2" xfId="1" applyNumberFormat="1" applyFont="1" applyFill="1" applyBorder="1" applyAlignment="1">
      <alignment vertical="center" wrapText="1"/>
    </xf>
    <xf numFmtId="3" fontId="9" fillId="2" borderId="14" xfId="1" applyNumberFormat="1" applyFont="1" applyFill="1" applyBorder="1" applyAlignment="1">
      <alignment vertical="center" wrapText="1"/>
    </xf>
    <xf numFmtId="3" fontId="7" fillId="5" borderId="26"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49" fontId="7" fillId="0" borderId="30" xfId="1"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0" fontId="7" fillId="0" borderId="19" xfId="1" applyFont="1" applyFill="1" applyBorder="1" applyAlignment="1">
      <alignment horizontal="center" vertical="center" wrapText="1"/>
    </xf>
    <xf numFmtId="0" fontId="10" fillId="6" borderId="18" xfId="1"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2" borderId="23"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0" fontId="33" fillId="0" borderId="23" xfId="0" applyFont="1" applyFill="1" applyBorder="1" applyAlignment="1">
      <alignment horizontal="center" vertical="center" wrapText="1"/>
    </xf>
    <xf numFmtId="0" fontId="21" fillId="2" borderId="23" xfId="0" applyFont="1" applyFill="1" applyBorder="1" applyAlignment="1">
      <alignment horizontal="center" vertical="center" wrapText="1"/>
    </xf>
    <xf numFmtId="3" fontId="7" fillId="0" borderId="56" xfId="0" applyNumberFormat="1" applyFont="1" applyFill="1" applyBorder="1" applyAlignment="1">
      <alignment vertical="center" wrapText="1"/>
    </xf>
    <xf numFmtId="0" fontId="7" fillId="0" borderId="57" xfId="0" applyFont="1" applyFill="1" applyBorder="1" applyAlignment="1">
      <alignment horizontal="center" vertical="center" wrapText="1"/>
    </xf>
    <xf numFmtId="3" fontId="7" fillId="0" borderId="39" xfId="0" applyNumberFormat="1" applyFont="1" applyFill="1" applyBorder="1" applyAlignment="1">
      <alignment vertical="center" wrapText="1"/>
    </xf>
    <xf numFmtId="3" fontId="7" fillId="0" borderId="3" xfId="0"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wrapText="1"/>
    </xf>
    <xf numFmtId="3" fontId="9" fillId="0" borderId="14" xfId="1" applyNumberFormat="1" applyFont="1" applyFill="1" applyBorder="1" applyAlignment="1">
      <alignment horizontal="right" vertical="center" wrapText="1"/>
    </xf>
    <xf numFmtId="3" fontId="9" fillId="0" borderId="33" xfId="1" applyNumberFormat="1" applyFont="1" applyFill="1" applyBorder="1" applyAlignment="1">
      <alignment horizontal="right" vertical="center" wrapText="1"/>
    </xf>
    <xf numFmtId="3" fontId="9" fillId="0" borderId="18" xfId="1" applyNumberFormat="1" applyFont="1" applyFill="1" applyBorder="1" applyAlignment="1">
      <alignment horizontal="right" vertical="center" wrapText="1"/>
    </xf>
    <xf numFmtId="3" fontId="9" fillId="5" borderId="2" xfId="1" applyNumberFormat="1" applyFont="1" applyFill="1" applyBorder="1" applyAlignment="1">
      <alignment horizontal="right" vertical="center" wrapText="1"/>
    </xf>
    <xf numFmtId="3" fontId="14" fillId="0" borderId="23" xfId="1" applyNumberFormat="1" applyFont="1" applyFill="1" applyBorder="1" applyAlignment="1">
      <alignment horizontal="right" vertical="center" wrapText="1"/>
    </xf>
    <xf numFmtId="3" fontId="7" fillId="10" borderId="23" xfId="0" applyNumberFormat="1" applyFont="1" applyFill="1" applyBorder="1" applyAlignment="1">
      <alignment horizontal="right" vertical="center" wrapText="1"/>
    </xf>
    <xf numFmtId="3" fontId="9" fillId="0" borderId="2" xfId="1" applyNumberFormat="1" applyFont="1" applyFill="1" applyBorder="1" applyAlignment="1">
      <alignment horizontal="right" vertical="center" wrapText="1"/>
    </xf>
    <xf numFmtId="3" fontId="7" fillId="0" borderId="55" xfId="0" applyNumberFormat="1" applyFont="1" applyFill="1" applyBorder="1" applyAlignment="1">
      <alignment horizontal="center" vertical="center" wrapText="1"/>
    </xf>
    <xf numFmtId="49" fontId="7" fillId="0" borderId="13" xfId="1" applyNumberFormat="1" applyFont="1" applyFill="1" applyBorder="1" applyAlignment="1">
      <alignment horizontal="center" vertical="center" wrapText="1"/>
    </xf>
    <xf numFmtId="0" fontId="13" fillId="0" borderId="19" xfId="1" applyFont="1" applyFill="1" applyBorder="1" applyAlignment="1">
      <alignment horizontal="center" vertical="center" wrapText="1"/>
    </xf>
    <xf numFmtId="3" fontId="14" fillId="0" borderId="13" xfId="1" applyNumberFormat="1" applyFont="1" applyFill="1" applyBorder="1" applyAlignment="1">
      <alignment horizontal="right" vertical="center" wrapText="1"/>
    </xf>
    <xf numFmtId="49" fontId="7" fillId="0" borderId="33" xfId="0" applyNumberFormat="1" applyFont="1" applyFill="1" applyBorder="1" applyAlignment="1">
      <alignment horizontal="center" vertical="center" wrapText="1"/>
    </xf>
    <xf numFmtId="3" fontId="13" fillId="0" borderId="27"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xf>
    <xf numFmtId="3" fontId="9" fillId="0" borderId="4" xfId="1" applyNumberFormat="1" applyFont="1" applyFill="1" applyBorder="1" applyAlignment="1">
      <alignment horizontal="right" vertical="center" wrapText="1"/>
    </xf>
    <xf numFmtId="3" fontId="7" fillId="0" borderId="15" xfId="0" applyNumberFormat="1" applyFont="1" applyFill="1" applyBorder="1" applyAlignment="1">
      <alignment horizontal="center" vertical="center" wrapText="1"/>
    </xf>
    <xf numFmtId="3" fontId="9" fillId="5" borderId="26" xfId="1" applyNumberFormat="1" applyFont="1" applyFill="1" applyBorder="1" applyAlignment="1">
      <alignment horizontal="right" vertical="center" wrapText="1"/>
    </xf>
    <xf numFmtId="4" fontId="7" fillId="0" borderId="1"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3" fontId="9" fillId="0" borderId="30" xfId="1" applyNumberFormat="1" applyFont="1" applyFill="1" applyBorder="1" applyAlignment="1">
      <alignment horizontal="right" vertical="center" wrapText="1"/>
    </xf>
    <xf numFmtId="49" fontId="9" fillId="0" borderId="11" xfId="0" applyNumberFormat="1" applyFont="1" applyFill="1" applyBorder="1" applyAlignment="1">
      <alignment horizontal="center" vertical="center" wrapText="1" shrinkToFit="1"/>
    </xf>
    <xf numFmtId="0" fontId="8" fillId="0" borderId="7" xfId="0" applyFont="1" applyFill="1" applyBorder="1" applyAlignment="1">
      <alignment horizontal="center" vertical="center" wrapText="1"/>
    </xf>
    <xf numFmtId="3" fontId="9" fillId="0" borderId="3"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24" fillId="0" borderId="0" xfId="0" applyFont="1" applyFill="1" applyBorder="1"/>
    <xf numFmtId="3" fontId="9" fillId="2" borderId="23" xfId="1" applyNumberFormat="1" applyFont="1" applyFill="1" applyBorder="1" applyAlignment="1">
      <alignment horizontal="right" vertical="center" wrapText="1"/>
    </xf>
    <xf numFmtId="3" fontId="7" fillId="2" borderId="23" xfId="0" applyNumberFormat="1" applyFont="1" applyFill="1" applyBorder="1" applyAlignment="1">
      <alignment horizontal="right" vertical="center" wrapText="1"/>
    </xf>
    <xf numFmtId="0" fontId="7" fillId="2" borderId="14" xfId="0" applyFont="1" applyFill="1" applyBorder="1" applyAlignment="1">
      <alignment horizontal="center" vertical="center" wrapText="1"/>
    </xf>
    <xf numFmtId="3" fontId="9" fillId="2" borderId="33" xfId="1" applyNumberFormat="1" applyFont="1" applyFill="1" applyBorder="1" applyAlignment="1">
      <alignment horizontal="right" vertical="center" wrapText="1"/>
    </xf>
    <xf numFmtId="49" fontId="14" fillId="2" borderId="26" xfId="0" applyNumberFormat="1" applyFont="1" applyFill="1" applyBorder="1" applyAlignment="1">
      <alignment horizontal="center" vertical="center" wrapText="1"/>
    </xf>
    <xf numFmtId="49" fontId="14" fillId="2" borderId="26" xfId="0" applyNumberFormat="1" applyFont="1" applyFill="1" applyBorder="1" applyAlignment="1">
      <alignment horizontal="center" vertical="center" wrapText="1" shrinkToFit="1"/>
    </xf>
    <xf numFmtId="0" fontId="13" fillId="2" borderId="26" xfId="1" applyFont="1" applyFill="1" applyBorder="1" applyAlignment="1">
      <alignment horizontal="center" vertical="center" wrapText="1"/>
    </xf>
    <xf numFmtId="3" fontId="13" fillId="2" borderId="26" xfId="0" applyNumberFormat="1" applyFont="1" applyFill="1" applyBorder="1" applyAlignment="1">
      <alignment horizontal="right" vertical="center" wrapText="1"/>
    </xf>
    <xf numFmtId="49" fontId="13" fillId="2" borderId="31" xfId="0" applyNumberFormat="1" applyFont="1" applyFill="1" applyBorder="1" applyAlignment="1">
      <alignment horizontal="center" vertical="center" wrapText="1"/>
    </xf>
    <xf numFmtId="49" fontId="13" fillId="2" borderId="26" xfId="0" applyNumberFormat="1" applyFont="1" applyFill="1" applyBorder="1" applyAlignment="1">
      <alignment horizontal="center" vertical="center" wrapText="1"/>
    </xf>
    <xf numFmtId="3" fontId="13" fillId="0" borderId="23" xfId="0" applyNumberFormat="1" applyFont="1" applyFill="1" applyBorder="1" applyAlignment="1">
      <alignment horizontal="right" vertical="center"/>
    </xf>
    <xf numFmtId="3" fontId="14" fillId="0" borderId="25" xfId="0" applyNumberFormat="1" applyFont="1" applyFill="1" applyBorder="1" applyAlignment="1">
      <alignment horizontal="right" vertical="center"/>
    </xf>
    <xf numFmtId="3" fontId="12" fillId="0" borderId="23" xfId="1" applyNumberFormat="1" applyFont="1" applyFill="1" applyBorder="1" applyAlignment="1">
      <alignment horizontal="right" vertical="center" wrapText="1"/>
    </xf>
    <xf numFmtId="49" fontId="7" fillId="0" borderId="2"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3" fontId="9" fillId="2" borderId="2" xfId="1" applyNumberFormat="1" applyFont="1" applyFill="1" applyBorder="1" applyAlignment="1">
      <alignment horizontal="right" vertical="center" wrapText="1"/>
    </xf>
    <xf numFmtId="49" fontId="7" fillId="0" borderId="1" xfId="0" applyNumberFormat="1" applyFont="1" applyFill="1" applyBorder="1" applyAlignment="1">
      <alignment horizontal="center" vertical="center"/>
    </xf>
    <xf numFmtId="3" fontId="9" fillId="0" borderId="12" xfId="1" applyNumberFormat="1" applyFont="1" applyFill="1" applyBorder="1" applyAlignment="1">
      <alignment horizontal="right" vertical="center" wrapText="1"/>
    </xf>
    <xf numFmtId="3" fontId="9" fillId="5" borderId="31" xfId="1" applyNumberFormat="1" applyFont="1" applyFill="1" applyBorder="1" applyAlignment="1">
      <alignment horizontal="right" vertical="center" wrapText="1"/>
    </xf>
    <xf numFmtId="3" fontId="9" fillId="2" borderId="25" xfId="1" applyNumberFormat="1" applyFont="1" applyFill="1" applyBorder="1" applyAlignment="1">
      <alignment horizontal="right" vertical="center" wrapText="1"/>
    </xf>
    <xf numFmtId="3" fontId="12" fillId="0" borderId="25" xfId="1" applyNumberFormat="1" applyFont="1" applyFill="1" applyBorder="1" applyAlignment="1">
      <alignment horizontal="right" vertical="center" wrapText="1"/>
    </xf>
    <xf numFmtId="0" fontId="7" fillId="0" borderId="4" xfId="0" applyFont="1" applyFill="1" applyBorder="1" applyAlignment="1">
      <alignment horizontal="center" vertical="center" wrapText="1"/>
    </xf>
    <xf numFmtId="3" fontId="9" fillId="5" borderId="4" xfId="1" applyNumberFormat="1" applyFont="1" applyFill="1" applyBorder="1" applyAlignment="1">
      <alignment horizontal="right" vertical="center" wrapText="1"/>
    </xf>
    <xf numFmtId="49" fontId="7" fillId="0" borderId="5" xfId="0" applyNumberFormat="1" applyFont="1" applyFill="1" applyBorder="1" applyAlignment="1">
      <alignment horizontal="center" vertical="center" wrapText="1"/>
    </xf>
    <xf numFmtId="3" fontId="14" fillId="0" borderId="25" xfId="1" applyNumberFormat="1" applyFont="1" applyFill="1" applyBorder="1" applyAlignment="1">
      <alignment horizontal="right" vertical="center" wrapText="1"/>
    </xf>
    <xf numFmtId="3" fontId="14" fillId="0" borderId="4" xfId="1" applyNumberFormat="1" applyFont="1" applyFill="1" applyBorder="1" applyAlignment="1">
      <alignment vertical="center" wrapText="1"/>
    </xf>
    <xf numFmtId="3" fontId="14" fillId="2" borderId="13" xfId="1" applyNumberFormat="1" applyFont="1" applyFill="1" applyBorder="1" applyAlignment="1">
      <alignment vertical="center" wrapText="1"/>
    </xf>
    <xf numFmtId="3" fontId="14" fillId="2" borderId="25" xfId="1" applyNumberFormat="1" applyFont="1" applyFill="1" applyBorder="1" applyAlignment="1">
      <alignment vertical="center" wrapText="1"/>
    </xf>
    <xf numFmtId="3" fontId="13" fillId="2" borderId="24" xfId="0" applyNumberFormat="1" applyFont="1" applyFill="1" applyBorder="1" applyAlignment="1">
      <alignment vertical="center" wrapText="1"/>
    </xf>
    <xf numFmtId="3" fontId="13" fillId="2" borderId="59" xfId="0" applyNumberFormat="1" applyFont="1" applyFill="1" applyBorder="1" applyAlignment="1">
      <alignment vertical="center" wrapText="1"/>
    </xf>
    <xf numFmtId="0" fontId="13" fillId="2" borderId="2" xfId="0" applyFont="1" applyFill="1" applyBorder="1" applyAlignment="1">
      <alignment horizontal="center" vertical="center" wrapText="1"/>
    </xf>
    <xf numFmtId="0" fontId="13" fillId="2" borderId="2" xfId="1" applyFont="1" applyFill="1" applyBorder="1" applyAlignment="1">
      <alignment horizontal="center" vertical="center" wrapText="1"/>
    </xf>
    <xf numFmtId="49" fontId="14" fillId="2" borderId="2" xfId="0" applyNumberFormat="1" applyFont="1" applyFill="1" applyBorder="1" applyAlignment="1">
      <alignment horizontal="center" vertical="center" wrapText="1" shrinkToFit="1"/>
    </xf>
    <xf numFmtId="3" fontId="14" fillId="2" borderId="23" xfId="1" applyNumberFormat="1" applyFont="1" applyFill="1" applyBorder="1" applyAlignment="1">
      <alignment vertical="center" wrapText="1"/>
    </xf>
    <xf numFmtId="3" fontId="13" fillId="2" borderId="23" xfId="0" applyNumberFormat="1" applyFont="1" applyFill="1" applyBorder="1" applyAlignment="1">
      <alignment horizontal="right" vertical="center" wrapText="1"/>
    </xf>
    <xf numFmtId="0" fontId="13" fillId="2" borderId="23" xfId="1" applyFont="1" applyFill="1" applyBorder="1" applyAlignment="1">
      <alignment horizontal="center" vertical="center" wrapText="1"/>
    </xf>
    <xf numFmtId="3" fontId="9" fillId="0" borderId="32" xfId="0" applyNumberFormat="1" applyFont="1" applyFill="1" applyBorder="1" applyAlignment="1">
      <alignment horizontal="right" vertical="center" wrapText="1"/>
    </xf>
    <xf numFmtId="3" fontId="9" fillId="0" borderId="24" xfId="0" applyNumberFormat="1" applyFont="1" applyFill="1" applyBorder="1" applyAlignment="1">
      <alignment horizontal="right" vertical="center" wrapText="1"/>
    </xf>
    <xf numFmtId="3" fontId="9" fillId="0" borderId="42" xfId="0" applyNumberFormat="1" applyFont="1" applyFill="1" applyBorder="1" applyAlignment="1">
      <alignment horizontal="right" vertical="center" wrapText="1"/>
    </xf>
    <xf numFmtId="3" fontId="9" fillId="0" borderId="11" xfId="0" applyNumberFormat="1" applyFont="1" applyFill="1" applyBorder="1" applyAlignment="1">
      <alignment horizontal="right" vertical="center" wrapText="1"/>
    </xf>
    <xf numFmtId="3" fontId="7" fillId="0" borderId="33" xfId="0" applyNumberFormat="1" applyFont="1" applyFill="1" applyBorder="1" applyAlignment="1">
      <alignment horizontal="right" vertical="center" wrapText="1"/>
    </xf>
    <xf numFmtId="3" fontId="7" fillId="0" borderId="22" xfId="0" applyNumberFormat="1" applyFont="1" applyFill="1" applyBorder="1" applyAlignment="1">
      <alignment horizontal="right" vertical="center" wrapText="1"/>
    </xf>
    <xf numFmtId="3" fontId="13" fillId="0" borderId="23" xfId="0" applyNumberFormat="1" applyFont="1" applyFill="1" applyBorder="1" applyAlignment="1">
      <alignment horizontal="right" vertical="center" wrapText="1"/>
    </xf>
    <xf numFmtId="3" fontId="7" fillId="0" borderId="14" xfId="0" applyNumberFormat="1" applyFont="1" applyFill="1" applyBorder="1" applyAlignment="1">
      <alignment horizontal="right" vertical="center" wrapText="1"/>
    </xf>
    <xf numFmtId="3" fontId="7" fillId="0" borderId="2" xfId="0" applyNumberFormat="1" applyFont="1" applyFill="1" applyBorder="1" applyAlignment="1">
      <alignment horizontal="right" vertical="center"/>
    </xf>
    <xf numFmtId="3" fontId="7" fillId="0" borderId="18" xfId="0" applyNumberFormat="1" applyFont="1" applyFill="1" applyBorder="1" applyAlignment="1">
      <alignment horizontal="right" vertical="center" wrapText="1"/>
    </xf>
    <xf numFmtId="3" fontId="13" fillId="0" borderId="33" xfId="0" applyNumberFormat="1" applyFont="1" applyFill="1" applyBorder="1" applyAlignment="1">
      <alignment horizontal="right" vertical="center" wrapText="1"/>
    </xf>
    <xf numFmtId="3" fontId="7" fillId="0" borderId="2" xfId="0" applyNumberFormat="1" applyFont="1" applyFill="1" applyBorder="1" applyAlignment="1">
      <alignment horizontal="right" vertical="center" wrapText="1"/>
    </xf>
    <xf numFmtId="3" fontId="9" fillId="0" borderId="34" xfId="1" applyNumberFormat="1" applyFont="1" applyFill="1" applyBorder="1" applyAlignment="1">
      <alignment horizontal="right" vertical="center" wrapText="1"/>
    </xf>
    <xf numFmtId="3" fontId="7" fillId="0" borderId="25" xfId="0" applyNumberFormat="1" applyFont="1" applyFill="1" applyBorder="1" applyAlignment="1">
      <alignment horizontal="right" vertical="center"/>
    </xf>
    <xf numFmtId="3" fontId="7" fillId="3" borderId="13" xfId="0" applyNumberFormat="1" applyFont="1" applyFill="1" applyBorder="1" applyAlignment="1">
      <alignment horizontal="right" vertical="center" wrapText="1"/>
    </xf>
    <xf numFmtId="3" fontId="14" fillId="0" borderId="19" xfId="0" applyNumberFormat="1" applyFont="1" applyFill="1" applyBorder="1" applyAlignment="1">
      <alignment vertical="center" wrapText="1"/>
    </xf>
    <xf numFmtId="3" fontId="13" fillId="2" borderId="32" xfId="0" applyNumberFormat="1" applyFont="1" applyFill="1" applyBorder="1" applyAlignment="1">
      <alignment horizontal="right" vertical="center" wrapText="1"/>
    </xf>
    <xf numFmtId="3" fontId="13" fillId="2" borderId="24" xfId="0" applyNumberFormat="1" applyFont="1" applyFill="1" applyBorder="1" applyAlignment="1">
      <alignment horizontal="right" vertical="center" wrapText="1"/>
    </xf>
    <xf numFmtId="4" fontId="9" fillId="6" borderId="12" xfId="0" applyNumberFormat="1" applyFont="1" applyFill="1" applyBorder="1" applyAlignment="1">
      <alignment horizontal="center" vertical="center" wrapText="1"/>
    </xf>
    <xf numFmtId="3" fontId="9" fillId="0" borderId="26" xfId="0" applyNumberFormat="1" applyFont="1" applyFill="1" applyBorder="1" applyAlignment="1">
      <alignment horizontal="right" vertical="center" wrapText="1"/>
    </xf>
    <xf numFmtId="3" fontId="9" fillId="0" borderId="2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3" fontId="7" fillId="3" borderId="14" xfId="0" applyNumberFormat="1" applyFont="1" applyFill="1" applyBorder="1" applyAlignment="1">
      <alignment horizontal="right" vertical="center" wrapText="1"/>
    </xf>
    <xf numFmtId="166" fontId="7" fillId="0" borderId="0" xfId="0" applyNumberFormat="1" applyFont="1" applyAlignment="1">
      <alignment horizontal="center" vertical="center"/>
    </xf>
    <xf numFmtId="3" fontId="13" fillId="3" borderId="23" xfId="0" applyNumberFormat="1" applyFont="1" applyFill="1" applyBorder="1" applyAlignment="1">
      <alignment horizontal="right" vertical="center" wrapText="1"/>
    </xf>
    <xf numFmtId="0" fontId="9" fillId="0" borderId="14" xfId="1" applyFont="1" applyFill="1" applyBorder="1" applyAlignment="1">
      <alignment horizontal="center" vertical="center" wrapText="1"/>
    </xf>
    <xf numFmtId="0" fontId="10" fillId="0" borderId="14" xfId="1" applyFont="1" applyFill="1" applyBorder="1" applyAlignment="1">
      <alignment horizontal="center" vertical="center" wrapText="1"/>
    </xf>
    <xf numFmtId="4" fontId="9" fillId="0" borderId="63"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0" borderId="14" xfId="0" applyNumberFormat="1" applyFont="1" applyFill="1" applyBorder="1" applyAlignment="1">
      <alignment horizontal="right" vertical="center" wrapText="1"/>
    </xf>
    <xf numFmtId="4" fontId="9" fillId="0" borderId="1" xfId="0" applyNumberFormat="1" applyFont="1" applyFill="1" applyBorder="1" applyAlignment="1">
      <alignment horizontal="right" vertical="center" wrapText="1"/>
    </xf>
    <xf numFmtId="49" fontId="9" fillId="0" borderId="16"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shrinkToFit="1"/>
    </xf>
    <xf numFmtId="0" fontId="8" fillId="0" borderId="42" xfId="1"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7" xfId="1" applyFont="1" applyFill="1" applyBorder="1" applyAlignment="1">
      <alignment horizontal="center" vertical="center" wrapText="1"/>
    </xf>
    <xf numFmtId="0" fontId="8" fillId="0" borderId="37" xfId="1" applyFont="1" applyFill="1" applyBorder="1" applyAlignment="1">
      <alignment horizontal="center" vertical="center" wrapText="1"/>
    </xf>
    <xf numFmtId="3" fontId="7" fillId="0" borderId="21" xfId="0" applyNumberFormat="1" applyFont="1" applyFill="1" applyBorder="1" applyAlignment="1">
      <alignment horizontal="right" vertical="center"/>
    </xf>
    <xf numFmtId="49" fontId="7" fillId="0" borderId="34"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3" fontId="13" fillId="0" borderId="14" xfId="0" applyNumberFormat="1" applyFont="1" applyFill="1" applyBorder="1" applyAlignment="1">
      <alignment horizontal="right" vertical="center" wrapText="1"/>
    </xf>
    <xf numFmtId="3" fontId="7" fillId="3" borderId="18" xfId="0" applyNumberFormat="1" applyFont="1" applyFill="1" applyBorder="1" applyAlignment="1">
      <alignment horizontal="right" vertical="center" wrapText="1"/>
    </xf>
    <xf numFmtId="3" fontId="13" fillId="3" borderId="14" xfId="0" applyNumberFormat="1" applyFont="1" applyFill="1" applyBorder="1" applyAlignment="1">
      <alignment horizontal="right" vertical="center" wrapText="1"/>
    </xf>
    <xf numFmtId="3" fontId="13" fillId="3" borderId="13" xfId="0" applyNumberFormat="1" applyFont="1" applyFill="1" applyBorder="1" applyAlignment="1">
      <alignment horizontal="right" vertical="center" wrapText="1"/>
    </xf>
    <xf numFmtId="49" fontId="14" fillId="0" borderId="2" xfId="0" applyNumberFormat="1" applyFont="1" applyFill="1" applyBorder="1" applyAlignment="1">
      <alignment horizontal="center" vertical="center" wrapText="1" shrinkToFit="1"/>
    </xf>
    <xf numFmtId="3" fontId="13" fillId="0" borderId="16" xfId="0" applyNumberFormat="1" applyFont="1" applyFill="1" applyBorder="1" applyAlignment="1">
      <alignment horizontal="right" vertical="center" wrapText="1"/>
    </xf>
    <xf numFmtId="3" fontId="13" fillId="0" borderId="9" xfId="0" applyNumberFormat="1" applyFont="1" applyFill="1" applyBorder="1" applyAlignment="1">
      <alignment horizontal="right" vertical="center" wrapText="1"/>
    </xf>
    <xf numFmtId="3" fontId="13" fillId="0" borderId="42" xfId="0" applyNumberFormat="1" applyFont="1" applyFill="1" applyBorder="1" applyAlignment="1">
      <alignment horizontal="right" vertical="center"/>
    </xf>
    <xf numFmtId="3" fontId="9" fillId="0" borderId="15" xfId="0" applyNumberFormat="1" applyFont="1" applyFill="1" applyBorder="1" applyAlignment="1">
      <alignment vertical="center" wrapText="1"/>
    </xf>
    <xf numFmtId="3" fontId="7" fillId="0" borderId="31" xfId="0" applyNumberFormat="1" applyFont="1" applyFill="1" applyBorder="1" applyAlignment="1">
      <alignment horizontal="right" vertical="center"/>
    </xf>
    <xf numFmtId="3" fontId="13" fillId="0" borderId="31" xfId="0" applyNumberFormat="1" applyFont="1" applyFill="1" applyBorder="1" applyAlignment="1">
      <alignment horizontal="right" vertical="center"/>
    </xf>
    <xf numFmtId="3" fontId="7" fillId="0" borderId="15"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3" fontId="13" fillId="0" borderId="27" xfId="0" applyNumberFormat="1" applyFont="1" applyFill="1" applyBorder="1" applyAlignment="1">
      <alignment horizontal="right" vertical="center"/>
    </xf>
    <xf numFmtId="3" fontId="7" fillId="0" borderId="30"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3" fontId="9" fillId="0" borderId="38" xfId="0" applyNumberFormat="1" applyFont="1" applyFill="1" applyBorder="1" applyAlignment="1">
      <alignment vertical="center" wrapText="1"/>
    </xf>
    <xf numFmtId="3" fontId="14" fillId="0" borderId="38" xfId="0" applyNumberFormat="1" applyFont="1" applyFill="1" applyBorder="1" applyAlignment="1">
      <alignment vertical="center" wrapText="1"/>
    </xf>
    <xf numFmtId="3" fontId="9" fillId="0" borderId="5" xfId="0" applyNumberFormat="1" applyFont="1" applyFill="1" applyBorder="1" applyAlignment="1">
      <alignment vertical="center" wrapText="1"/>
    </xf>
    <xf numFmtId="3" fontId="7" fillId="2" borderId="13" xfId="0" applyNumberFormat="1" applyFont="1" applyFill="1" applyBorder="1" applyAlignment="1">
      <alignment horizontal="right" vertical="center" wrapText="1"/>
    </xf>
    <xf numFmtId="0" fontId="7" fillId="0" borderId="2" xfId="0" applyFont="1" applyFill="1" applyBorder="1" applyAlignment="1">
      <alignment horizontal="center" vertical="center"/>
    </xf>
    <xf numFmtId="49" fontId="13" fillId="0" borderId="48" xfId="0" applyNumberFormat="1" applyFont="1" applyFill="1" applyBorder="1" applyAlignment="1">
      <alignment horizontal="center" vertical="center"/>
    </xf>
    <xf numFmtId="0" fontId="30" fillId="0" borderId="23"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14" xfId="0" applyFont="1" applyFill="1" applyBorder="1" applyAlignment="1">
      <alignment horizontal="center" vertical="center" wrapText="1"/>
    </xf>
    <xf numFmtId="3" fontId="14" fillId="2" borderId="31" xfId="1" applyNumberFormat="1" applyFont="1" applyFill="1" applyBorder="1" applyAlignment="1">
      <alignment vertical="center" wrapText="1"/>
    </xf>
    <xf numFmtId="3" fontId="11" fillId="0" borderId="23" xfId="0" applyNumberFormat="1" applyFont="1" applyFill="1" applyBorder="1" applyAlignment="1">
      <alignment horizontal="right" vertical="center" wrapText="1"/>
    </xf>
    <xf numFmtId="2" fontId="7" fillId="5" borderId="9" xfId="0" applyNumberFormat="1" applyFont="1" applyFill="1" applyBorder="1" applyAlignment="1">
      <alignment horizontal="center" vertical="center" wrapText="1"/>
    </xf>
    <xf numFmtId="3" fontId="9" fillId="0" borderId="27" xfId="0" applyNumberFormat="1" applyFont="1" applyFill="1" applyBorder="1" applyAlignment="1">
      <alignment horizontal="right" vertical="center" wrapText="1"/>
    </xf>
    <xf numFmtId="3" fontId="9" fillId="0" borderId="37" xfId="0" applyNumberFormat="1" applyFont="1" applyFill="1" applyBorder="1" applyAlignment="1">
      <alignment horizontal="right" vertical="center" wrapText="1"/>
    </xf>
    <xf numFmtId="3" fontId="9" fillId="0" borderId="19" xfId="0" applyNumberFormat="1" applyFont="1" applyFill="1" applyBorder="1" applyAlignment="1">
      <alignment horizontal="right" vertical="center" wrapText="1"/>
    </xf>
    <xf numFmtId="3" fontId="14" fillId="0" borderId="13" xfId="0" applyNumberFormat="1" applyFont="1" applyFill="1" applyBorder="1" applyAlignment="1">
      <alignment horizontal="right" vertical="center" wrapText="1"/>
    </xf>
    <xf numFmtId="3" fontId="14" fillId="0" borderId="42" xfId="0" applyNumberFormat="1" applyFont="1" applyFill="1" applyBorder="1" applyAlignment="1">
      <alignment horizontal="right" vertical="center" wrapText="1"/>
    </xf>
    <xf numFmtId="3" fontId="14" fillId="0" borderId="19" xfId="0" applyNumberFormat="1" applyFont="1" applyFill="1" applyBorder="1" applyAlignment="1">
      <alignment horizontal="right" vertical="center" wrapText="1"/>
    </xf>
    <xf numFmtId="3" fontId="9" fillId="0" borderId="7" xfId="0" applyNumberFormat="1" applyFont="1" applyFill="1" applyBorder="1" applyAlignment="1">
      <alignment horizontal="right" vertical="center" wrapText="1"/>
    </xf>
    <xf numFmtId="0" fontId="23" fillId="0" borderId="0" xfId="0" applyFont="1" applyFill="1" applyBorder="1"/>
    <xf numFmtId="3" fontId="7" fillId="2" borderId="25" xfId="0" applyNumberFormat="1" applyFont="1" applyFill="1" applyBorder="1" applyAlignment="1">
      <alignment horizontal="right" vertical="center" wrapText="1"/>
    </xf>
    <xf numFmtId="3" fontId="7" fillId="2" borderId="23" xfId="0" applyNumberFormat="1" applyFont="1" applyFill="1" applyBorder="1" applyAlignment="1">
      <alignment horizontal="center" vertical="center" wrapText="1"/>
    </xf>
    <xf numFmtId="3" fontId="7" fillId="0" borderId="41" xfId="0" applyNumberFormat="1" applyFont="1" applyFill="1" applyBorder="1" applyAlignment="1">
      <alignment horizontal="right" vertical="center" wrapText="1"/>
    </xf>
    <xf numFmtId="3" fontId="14" fillId="0" borderId="44" xfId="0" applyNumberFormat="1" applyFont="1" applyFill="1" applyBorder="1" applyAlignment="1">
      <alignment horizontal="right" vertical="center" wrapText="1"/>
    </xf>
    <xf numFmtId="3" fontId="14" fillId="0" borderId="20" xfId="0" applyNumberFormat="1" applyFont="1" applyFill="1" applyBorder="1" applyAlignment="1">
      <alignment horizontal="right" vertical="center" wrapText="1"/>
    </xf>
    <xf numFmtId="3" fontId="9" fillId="0" borderId="54" xfId="0" applyNumberFormat="1" applyFont="1" applyFill="1" applyBorder="1" applyAlignment="1">
      <alignment horizontal="right" vertical="center" wrapText="1"/>
    </xf>
    <xf numFmtId="3" fontId="9" fillId="0" borderId="21" xfId="0" applyNumberFormat="1" applyFont="1" applyFill="1" applyBorder="1" applyAlignment="1">
      <alignment horizontal="right" vertical="center" wrapText="1"/>
    </xf>
    <xf numFmtId="3" fontId="9" fillId="0" borderId="44" xfId="0" applyNumberFormat="1" applyFont="1" applyFill="1" applyBorder="1" applyAlignment="1">
      <alignment horizontal="right" vertical="center" wrapText="1"/>
    </xf>
    <xf numFmtId="3" fontId="7" fillId="0" borderId="20" xfId="0" applyNumberFormat="1" applyFont="1" applyFill="1" applyBorder="1" applyAlignment="1">
      <alignment horizontal="right" vertical="center" wrapText="1"/>
    </xf>
    <xf numFmtId="3" fontId="9" fillId="0" borderId="20" xfId="0" applyNumberFormat="1" applyFont="1" applyFill="1" applyBorder="1" applyAlignment="1">
      <alignment horizontal="right" vertical="center" wrapText="1"/>
    </xf>
    <xf numFmtId="3" fontId="14" fillId="0" borderId="55" xfId="0" applyNumberFormat="1" applyFont="1" applyFill="1" applyBorder="1" applyAlignment="1">
      <alignment horizontal="right" vertical="center" wrapText="1"/>
    </xf>
    <xf numFmtId="3" fontId="13" fillId="0" borderId="45" xfId="0" applyNumberFormat="1" applyFont="1" applyFill="1" applyBorder="1" applyAlignment="1">
      <alignment horizontal="right" vertical="center" wrapText="1"/>
    </xf>
    <xf numFmtId="3" fontId="14" fillId="0" borderId="45" xfId="0" applyNumberFormat="1" applyFont="1" applyFill="1" applyBorder="1" applyAlignment="1">
      <alignment horizontal="right" vertical="center" wrapText="1"/>
    </xf>
    <xf numFmtId="3" fontId="9" fillId="0" borderId="62" xfId="0" applyNumberFormat="1" applyFont="1" applyFill="1" applyBorder="1" applyAlignment="1">
      <alignment horizontal="right" vertical="center" wrapText="1"/>
    </xf>
    <xf numFmtId="3" fontId="7" fillId="0" borderId="63" xfId="0" applyNumberFormat="1" applyFont="1" applyFill="1" applyBorder="1" applyAlignment="1">
      <alignment horizontal="right" vertical="center" wrapText="1"/>
    </xf>
    <xf numFmtId="3" fontId="9" fillId="0" borderId="63" xfId="0" applyNumberFormat="1" applyFont="1" applyFill="1" applyBorder="1" applyAlignment="1">
      <alignment horizontal="right" vertical="center" wrapText="1"/>
    </xf>
    <xf numFmtId="3" fontId="9" fillId="0" borderId="55" xfId="0" applyNumberFormat="1" applyFont="1" applyFill="1" applyBorder="1" applyAlignment="1">
      <alignment horizontal="right" vertical="center" wrapText="1"/>
    </xf>
    <xf numFmtId="3" fontId="7" fillId="0" borderId="45" xfId="0" applyNumberFormat="1" applyFont="1" applyFill="1" applyBorder="1" applyAlignment="1">
      <alignment horizontal="right" vertical="center" wrapText="1"/>
    </xf>
    <xf numFmtId="3" fontId="9" fillId="0" borderId="45" xfId="0" applyNumberFormat="1" applyFont="1" applyFill="1" applyBorder="1" applyAlignment="1">
      <alignment horizontal="right" vertical="center" wrapText="1"/>
    </xf>
    <xf numFmtId="3" fontId="7" fillId="0" borderId="25" xfId="0" applyNumberFormat="1" applyFont="1" applyFill="1" applyBorder="1" applyAlignment="1">
      <alignment horizontal="right" vertical="center" wrapText="1"/>
    </xf>
    <xf numFmtId="0" fontId="30" fillId="0" borderId="2"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0" fillId="0" borderId="0" xfId="0" applyFill="1" applyBorder="1" applyAlignment="1">
      <alignment horizontal="center"/>
    </xf>
    <xf numFmtId="0" fontId="0" fillId="0" borderId="0" xfId="0" applyFont="1" applyFill="1" applyBorder="1"/>
    <xf numFmtId="0" fontId="25" fillId="0" borderId="0" xfId="0" applyFont="1" applyFill="1" applyBorder="1"/>
    <xf numFmtId="0" fontId="32" fillId="0" borderId="0" xfId="0" applyFont="1" applyFill="1" applyBorder="1"/>
    <xf numFmtId="0" fontId="30" fillId="0" borderId="0" xfId="0" applyFont="1" applyFill="1" applyBorder="1"/>
    <xf numFmtId="0" fontId="0" fillId="0" borderId="0" xfId="0" applyFill="1" applyBorder="1" applyAlignment="1">
      <alignment horizontal="center" vertical="center"/>
    </xf>
    <xf numFmtId="0" fontId="0" fillId="0" borderId="0" xfId="0" applyFill="1" applyBorder="1" applyAlignment="1">
      <alignment horizontal="right"/>
    </xf>
    <xf numFmtId="3" fontId="7" fillId="0" borderId="9" xfId="0" applyNumberFormat="1" applyFont="1" applyFill="1" applyBorder="1" applyAlignment="1">
      <alignment horizontal="right" vertical="center" wrapText="1"/>
    </xf>
    <xf numFmtId="49" fontId="7" fillId="0" borderId="4" xfId="0" applyNumberFormat="1" applyFont="1" applyFill="1" applyBorder="1" applyAlignment="1">
      <alignment horizontal="center" vertical="center"/>
    </xf>
    <xf numFmtId="3" fontId="9" fillId="0" borderId="58" xfId="0" applyNumberFormat="1" applyFont="1" applyFill="1" applyBorder="1" applyAlignment="1">
      <alignment horizontal="right" vertical="center" wrapText="1"/>
    </xf>
    <xf numFmtId="3" fontId="9" fillId="0" borderId="59" xfId="0" applyNumberFormat="1" applyFont="1" applyFill="1" applyBorder="1" applyAlignment="1">
      <alignment horizontal="right" vertical="center" wrapText="1"/>
    </xf>
    <xf numFmtId="3" fontId="9" fillId="0" borderId="60" xfId="0" applyNumberFormat="1" applyFont="1" applyFill="1" applyBorder="1" applyAlignment="1">
      <alignment horizontal="right" vertical="center" wrapText="1"/>
    </xf>
    <xf numFmtId="3" fontId="7" fillId="0" borderId="61" xfId="0" applyNumberFormat="1" applyFont="1" applyFill="1" applyBorder="1" applyAlignment="1">
      <alignment horizontal="right" vertical="center" wrapText="1"/>
    </xf>
    <xf numFmtId="3" fontId="9" fillId="0" borderId="61" xfId="0" applyNumberFormat="1" applyFont="1" applyFill="1" applyBorder="1" applyAlignment="1">
      <alignment horizontal="right" vertical="center" wrapText="1"/>
    </xf>
    <xf numFmtId="1" fontId="7" fillId="0" borderId="2" xfId="0" applyNumberFormat="1" applyFont="1" applyFill="1" applyBorder="1" applyAlignment="1">
      <alignment horizontal="right" vertical="center" wrapText="1"/>
    </xf>
    <xf numFmtId="2" fontId="7" fillId="0" borderId="9" xfId="0" applyNumberFormat="1" applyFont="1" applyFill="1" applyBorder="1" applyAlignment="1">
      <alignment horizontal="center" vertical="center" wrapText="1"/>
    </xf>
    <xf numFmtId="3" fontId="7" fillId="0" borderId="19" xfId="3" applyNumberFormat="1" applyFont="1" applyFill="1" applyBorder="1" applyAlignment="1">
      <alignment vertical="center"/>
    </xf>
    <xf numFmtId="3" fontId="7" fillId="0" borderId="45" xfId="3" applyNumberFormat="1" applyFont="1" applyFill="1" applyBorder="1" applyAlignment="1">
      <alignment vertical="center"/>
    </xf>
    <xf numFmtId="3" fontId="7" fillId="0" borderId="31" xfId="0" applyNumberFormat="1" applyFont="1" applyFill="1" applyBorder="1" applyAlignment="1">
      <alignment horizontal="right" vertical="center" wrapText="1"/>
    </xf>
    <xf numFmtId="49" fontId="7" fillId="0" borderId="27" xfId="0" applyNumberFormat="1" applyFont="1" applyFill="1" applyBorder="1" applyAlignment="1">
      <alignment horizontal="center" vertical="center"/>
    </xf>
    <xf numFmtId="0" fontId="30" fillId="0" borderId="18" xfId="0" applyFont="1" applyFill="1" applyBorder="1" applyAlignment="1">
      <alignment horizontal="center" vertical="center" wrapText="1"/>
    </xf>
    <xf numFmtId="0" fontId="30" fillId="0" borderId="22" xfId="0" applyFont="1" applyFill="1" applyBorder="1" applyAlignment="1">
      <alignment horizontal="center" vertical="center" wrapText="1"/>
    </xf>
    <xf numFmtId="1" fontId="9" fillId="0" borderId="22" xfId="1" applyNumberFormat="1" applyFont="1" applyFill="1" applyBorder="1" applyAlignment="1">
      <alignment vertical="center" wrapText="1"/>
    </xf>
    <xf numFmtId="2" fontId="8" fillId="0" borderId="2"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shrinkToFit="1"/>
    </xf>
    <xf numFmtId="49" fontId="9" fillId="0" borderId="26" xfId="0" applyNumberFormat="1" applyFont="1" applyFill="1" applyBorder="1" applyAlignment="1">
      <alignment horizontal="center" vertical="center" shrinkToFit="1"/>
    </xf>
    <xf numFmtId="3" fontId="7" fillId="3" borderId="14" xfId="0" applyNumberFormat="1" applyFont="1" applyFill="1" applyBorder="1" applyAlignment="1">
      <alignment horizontal="center" vertical="center" wrapText="1"/>
    </xf>
    <xf numFmtId="3" fontId="7" fillId="3" borderId="2" xfId="0" applyNumberFormat="1" applyFont="1" applyFill="1" applyBorder="1" applyAlignment="1">
      <alignment horizontal="right" vertical="center" wrapText="1"/>
    </xf>
    <xf numFmtId="3" fontId="7" fillId="3" borderId="23" xfId="0" applyNumberFormat="1" applyFont="1" applyFill="1" applyBorder="1" applyAlignment="1">
      <alignment horizontal="right" vertical="center"/>
    </xf>
    <xf numFmtId="3" fontId="7" fillId="3" borderId="26" xfId="0" applyNumberFormat="1" applyFont="1" applyFill="1" applyBorder="1" applyAlignment="1">
      <alignment horizontal="right" vertical="center"/>
    </xf>
    <xf numFmtId="3" fontId="7" fillId="10" borderId="42" xfId="0" applyNumberFormat="1" applyFont="1" applyFill="1" applyBorder="1" applyAlignment="1">
      <alignment horizontal="right" vertical="center" wrapText="1"/>
    </xf>
    <xf numFmtId="3" fontId="7" fillId="10" borderId="42" xfId="0" applyNumberFormat="1" applyFont="1" applyFill="1" applyBorder="1" applyAlignment="1">
      <alignment horizontal="center" vertical="center" wrapText="1"/>
    </xf>
    <xf numFmtId="3" fontId="7" fillId="10" borderId="16" xfId="0" applyNumberFormat="1" applyFont="1" applyFill="1" applyBorder="1" applyAlignment="1">
      <alignment horizontal="center" vertical="center" wrapText="1"/>
    </xf>
    <xf numFmtId="3" fontId="7" fillId="10" borderId="16" xfId="0" applyNumberFormat="1" applyFont="1" applyFill="1" applyBorder="1" applyAlignment="1">
      <alignment horizontal="right" vertical="center" wrapText="1"/>
    </xf>
    <xf numFmtId="3" fontId="7" fillId="10" borderId="6" xfId="0" applyNumberFormat="1" applyFont="1" applyFill="1" applyBorder="1" applyAlignment="1">
      <alignment horizontal="right" vertical="center" wrapText="1"/>
    </xf>
    <xf numFmtId="3" fontId="7" fillId="10" borderId="9" xfId="0" applyNumberFormat="1" applyFont="1" applyFill="1" applyBorder="1" applyAlignment="1">
      <alignment horizontal="right" vertical="center" wrapText="1"/>
    </xf>
    <xf numFmtId="3" fontId="7" fillId="10" borderId="16" xfId="0" applyNumberFormat="1" applyFont="1" applyFill="1" applyBorder="1" applyAlignment="1">
      <alignment horizontal="center" vertical="center"/>
    </xf>
    <xf numFmtId="3" fontId="7" fillId="10" borderId="24" xfId="0" applyNumberFormat="1" applyFont="1" applyFill="1" applyBorder="1" applyAlignment="1">
      <alignment horizontal="right" vertical="center"/>
    </xf>
    <xf numFmtId="3" fontId="7" fillId="10" borderId="32" xfId="0" applyNumberFormat="1" applyFont="1" applyFill="1" applyBorder="1" applyAlignment="1">
      <alignment horizontal="right" vertical="center"/>
    </xf>
    <xf numFmtId="0" fontId="7" fillId="0" borderId="15"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49" fontId="7" fillId="0" borderId="23" xfId="1" applyNumberFormat="1" applyFont="1" applyFill="1" applyBorder="1" applyAlignment="1">
      <alignment horizontal="center" vertical="center" wrapText="1"/>
    </xf>
    <xf numFmtId="3" fontId="9" fillId="0" borderId="22" xfId="1" applyNumberFormat="1" applyFont="1" applyFill="1" applyBorder="1" applyAlignment="1">
      <alignment vertical="center" wrapText="1"/>
    </xf>
    <xf numFmtId="3" fontId="7" fillId="0" borderId="22" xfId="0" applyNumberFormat="1" applyFont="1" applyFill="1" applyBorder="1" applyAlignment="1">
      <alignment vertical="center" wrapText="1"/>
    </xf>
    <xf numFmtId="0" fontId="7" fillId="0" borderId="22" xfId="0" applyFont="1" applyFill="1" applyBorder="1" applyAlignment="1">
      <alignment horizontal="center" vertical="center" wrapText="1"/>
    </xf>
    <xf numFmtId="3" fontId="7" fillId="0" borderId="0" xfId="0" applyNumberFormat="1" applyFont="1" applyFill="1" applyBorder="1" applyAlignment="1">
      <alignment vertical="center" wrapText="1"/>
    </xf>
    <xf numFmtId="3" fontId="7" fillId="0" borderId="26" xfId="0" applyNumberFormat="1" applyFont="1" applyFill="1" applyBorder="1" applyAlignment="1">
      <alignment vertical="center" wrapText="1"/>
    </xf>
    <xf numFmtId="3" fontId="7" fillId="0" borderId="31" xfId="0" applyNumberFormat="1" applyFont="1" applyFill="1" applyBorder="1" applyAlignment="1">
      <alignment vertical="center" wrapText="1"/>
    </xf>
    <xf numFmtId="3" fontId="9" fillId="0" borderId="2" xfId="1" applyNumberFormat="1" applyFont="1" applyFill="1" applyBorder="1" applyAlignment="1">
      <alignment vertical="center" wrapText="1"/>
    </xf>
    <xf numFmtId="0" fontId="7" fillId="0" borderId="14" xfId="0"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0" fontId="7" fillId="0" borderId="32" xfId="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14" xfId="1" applyFont="1" applyFill="1" applyBorder="1" applyAlignment="1">
      <alignment horizontal="center" vertical="center" wrapText="1"/>
    </xf>
    <xf numFmtId="49" fontId="9" fillId="0" borderId="22" xfId="0" applyNumberFormat="1" applyFont="1" applyFill="1" applyBorder="1" applyAlignment="1">
      <alignment horizontal="center" vertical="center" wrapText="1" shrinkToFit="1"/>
    </xf>
    <xf numFmtId="3" fontId="7" fillId="0" borderId="8" xfId="0" applyNumberFormat="1" applyFont="1" applyFill="1" applyBorder="1" applyAlignment="1">
      <alignment vertical="center" wrapText="1"/>
    </xf>
    <xf numFmtId="49" fontId="7" fillId="0" borderId="23" xfId="0" applyNumberFormat="1" applyFont="1" applyFill="1" applyBorder="1" applyAlignment="1">
      <alignment horizontal="center" vertical="center" wrapText="1"/>
    </xf>
    <xf numFmtId="0" fontId="8" fillId="0" borderId="31" xfId="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6" xfId="0" applyFont="1" applyFill="1" applyBorder="1" applyAlignment="1">
      <alignment horizontal="center" vertical="center" wrapText="1"/>
    </xf>
    <xf numFmtId="3" fontId="7" fillId="0" borderId="16" xfId="0" applyNumberFormat="1" applyFont="1" applyFill="1" applyBorder="1" applyAlignment="1">
      <alignment horizontal="right" vertical="center" wrapText="1"/>
    </xf>
    <xf numFmtId="49" fontId="7" fillId="0" borderId="25" xfId="0" applyNumberFormat="1" applyFont="1" applyFill="1" applyBorder="1" applyAlignment="1">
      <alignment horizontal="center" vertical="center" wrapText="1"/>
    </xf>
    <xf numFmtId="3" fontId="7" fillId="0" borderId="32" xfId="0" applyNumberFormat="1" applyFont="1" applyFill="1" applyBorder="1" applyAlignment="1">
      <alignment horizontal="center" vertical="center" wrapText="1"/>
    </xf>
    <xf numFmtId="3" fontId="9" fillId="0" borderId="37" xfId="0" applyNumberFormat="1" applyFont="1" applyFill="1" applyBorder="1" applyAlignment="1">
      <alignment vertical="center" wrapText="1"/>
    </xf>
    <xf numFmtId="3" fontId="7" fillId="0" borderId="21" xfId="0" applyNumberFormat="1" applyFont="1" applyFill="1" applyBorder="1" applyAlignment="1">
      <alignment vertical="center" wrapText="1"/>
    </xf>
    <xf numFmtId="3" fontId="7" fillId="0" borderId="61" xfId="0" applyNumberFormat="1" applyFont="1" applyFill="1" applyBorder="1" applyAlignment="1">
      <alignment vertical="center" wrapText="1"/>
    </xf>
    <xf numFmtId="0" fontId="7" fillId="0" borderId="16" xfId="1" applyFont="1" applyFill="1" applyBorder="1" applyAlignment="1">
      <alignment horizontal="center" vertical="center" wrapText="1"/>
    </xf>
    <xf numFmtId="3" fontId="9" fillId="0" borderId="20" xfId="0" applyNumberFormat="1" applyFont="1" applyFill="1" applyBorder="1" applyAlignment="1">
      <alignment vertical="center" wrapText="1"/>
    </xf>
    <xf numFmtId="3" fontId="7" fillId="0" borderId="11" xfId="0" applyNumberFormat="1" applyFont="1" applyFill="1" applyBorder="1" applyAlignment="1">
      <alignment horizontal="center" vertical="center" wrapText="1"/>
    </xf>
    <xf numFmtId="0" fontId="21" fillId="0" borderId="42" xfId="0" applyFont="1" applyFill="1" applyBorder="1" applyAlignment="1">
      <alignment horizontal="center" vertical="center" wrapText="1"/>
    </xf>
    <xf numFmtId="3" fontId="13" fillId="10" borderId="42" xfId="0" applyNumberFormat="1" applyFont="1" applyFill="1" applyBorder="1" applyAlignment="1">
      <alignment horizontal="right" vertical="center" wrapText="1"/>
    </xf>
    <xf numFmtId="3" fontId="13" fillId="0" borderId="15" xfId="0" applyNumberFormat="1" applyFont="1" applyFill="1" applyBorder="1" applyAlignment="1">
      <alignment horizontal="right" vertical="center"/>
    </xf>
    <xf numFmtId="49" fontId="13" fillId="0" borderId="18" xfId="0" applyNumberFormat="1" applyFont="1" applyFill="1" applyBorder="1" applyAlignment="1">
      <alignment horizontal="center" vertical="center"/>
    </xf>
    <xf numFmtId="3" fontId="7" fillId="0" borderId="31" xfId="0" applyNumberFormat="1" applyFont="1" applyFill="1" applyBorder="1" applyAlignment="1">
      <alignment horizontal="center" vertical="center" wrapText="1"/>
    </xf>
    <xf numFmtId="0" fontId="30" fillId="0" borderId="35" xfId="0" applyFont="1" applyFill="1" applyBorder="1" applyAlignment="1">
      <alignment horizontal="center" vertical="center" wrapText="1"/>
    </xf>
    <xf numFmtId="3" fontId="7" fillId="3" borderId="22" xfId="0" applyNumberFormat="1" applyFont="1" applyFill="1" applyBorder="1" applyAlignment="1">
      <alignment horizontal="right" vertical="center" wrapText="1"/>
    </xf>
    <xf numFmtId="3" fontId="7" fillId="0" borderId="34" xfId="0" applyNumberFormat="1" applyFont="1" applyFill="1" applyBorder="1" applyAlignment="1">
      <alignment horizontal="center" vertical="center" wrapText="1"/>
    </xf>
    <xf numFmtId="3" fontId="7" fillId="0" borderId="38" xfId="0" applyNumberFormat="1" applyFont="1" applyFill="1" applyBorder="1" applyAlignment="1">
      <alignment horizontal="right" vertical="center" wrapText="1"/>
    </xf>
    <xf numFmtId="3" fontId="13" fillId="10" borderId="24" xfId="0" applyNumberFormat="1" applyFont="1" applyFill="1" applyBorder="1" applyAlignment="1">
      <alignment horizontal="right" vertical="center" wrapText="1"/>
    </xf>
    <xf numFmtId="3" fontId="7" fillId="0" borderId="34" xfId="0" applyNumberFormat="1" applyFont="1" applyFill="1" applyBorder="1" applyAlignment="1">
      <alignment horizontal="right" vertical="center" wrapText="1"/>
    </xf>
    <xf numFmtId="3" fontId="7" fillId="0" borderId="28"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 fontId="7" fillId="0" borderId="30" xfId="0" applyNumberFormat="1" applyFont="1" applyFill="1" applyBorder="1" applyAlignment="1">
      <alignment horizontal="right" vertical="center" wrapText="1"/>
    </xf>
    <xf numFmtId="3" fontId="13" fillId="10" borderId="16" xfId="0" applyNumberFormat="1" applyFont="1" applyFill="1" applyBorder="1" applyAlignment="1">
      <alignment horizontal="right" vertical="center" wrapText="1"/>
    </xf>
    <xf numFmtId="3" fontId="7" fillId="0" borderId="32" xfId="1" applyNumberFormat="1" applyFont="1" applyFill="1" applyBorder="1" applyAlignment="1">
      <alignment horizontal="right" vertical="center" wrapText="1"/>
    </xf>
    <xf numFmtId="3" fontId="7" fillId="0" borderId="31" xfId="1" applyNumberFormat="1" applyFont="1" applyFill="1" applyBorder="1" applyAlignment="1">
      <alignment horizontal="right" vertical="center" wrapText="1"/>
    </xf>
    <xf numFmtId="3" fontId="7" fillId="0" borderId="26" xfId="1" applyNumberFormat="1" applyFont="1" applyFill="1" applyBorder="1" applyAlignment="1">
      <alignment horizontal="right" vertical="center" wrapText="1"/>
    </xf>
    <xf numFmtId="3" fontId="7" fillId="0" borderId="37" xfId="1" applyNumberFormat="1" applyFont="1" applyFill="1" applyBorder="1" applyAlignment="1">
      <alignment horizontal="right" vertical="center" wrapText="1"/>
    </xf>
    <xf numFmtId="3" fontId="7" fillId="0" borderId="39"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3" fontId="7" fillId="0" borderId="43" xfId="0" applyNumberFormat="1" applyFont="1" applyFill="1" applyBorder="1" applyAlignment="1">
      <alignment horizontal="right" vertical="center" wrapText="1"/>
    </xf>
    <xf numFmtId="3" fontId="7" fillId="0" borderId="8"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4" fontId="9" fillId="7" borderId="14" xfId="0" applyNumberFormat="1" applyFont="1" applyFill="1" applyBorder="1" applyAlignment="1">
      <alignment horizontal="center" vertical="center" wrapText="1"/>
    </xf>
    <xf numFmtId="4" fontId="9" fillId="7" borderId="16" xfId="0" applyNumberFormat="1" applyFont="1" applyFill="1" applyBorder="1" applyAlignment="1">
      <alignment horizontal="center" vertical="center" wrapText="1"/>
    </xf>
    <xf numFmtId="3" fontId="7" fillId="3" borderId="23" xfId="0" applyNumberFormat="1" applyFont="1" applyFill="1" applyBorder="1" applyAlignment="1">
      <alignment horizontal="center" vertical="center" wrapText="1"/>
    </xf>
    <xf numFmtId="3" fontId="7" fillId="10" borderId="1" xfId="0" applyNumberFormat="1" applyFont="1" applyFill="1" applyBorder="1" applyAlignment="1">
      <alignment horizontal="center" vertical="center" wrapText="1"/>
    </xf>
    <xf numFmtId="3" fontId="7" fillId="3" borderId="30" xfId="0" applyNumberFormat="1" applyFont="1" applyFill="1" applyBorder="1" applyAlignment="1">
      <alignment horizontal="center" vertical="center" wrapText="1"/>
    </xf>
    <xf numFmtId="3" fontId="7" fillId="0" borderId="13" xfId="1" applyNumberFormat="1" applyFont="1" applyFill="1" applyBorder="1" applyAlignment="1">
      <alignment horizontal="center" vertical="center" wrapText="1"/>
    </xf>
    <xf numFmtId="3" fontId="7" fillId="0" borderId="14" xfId="1"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shrinkToFit="1"/>
    </xf>
    <xf numFmtId="167" fontId="7" fillId="0" borderId="14" xfId="0" applyNumberFormat="1" applyFont="1" applyFill="1" applyBorder="1" applyAlignment="1">
      <alignment horizontal="center" vertical="center" wrapText="1"/>
    </xf>
    <xf numFmtId="167" fontId="7" fillId="0" borderId="16" xfId="0" applyNumberFormat="1" applyFont="1" applyFill="1" applyBorder="1" applyAlignment="1">
      <alignment horizontal="center" vertical="center" wrapText="1" shrinkToFit="1"/>
    </xf>
    <xf numFmtId="168" fontId="8" fillId="0" borderId="0" xfId="0" applyNumberFormat="1" applyFont="1" applyAlignment="1">
      <alignment horizontal="right" vertical="center" wrapText="1"/>
    </xf>
    <xf numFmtId="4" fontId="7" fillId="2" borderId="26" xfId="0" applyNumberFormat="1" applyFont="1" applyFill="1" applyBorder="1" applyAlignment="1">
      <alignment horizontal="center" vertical="center" wrapText="1"/>
    </xf>
    <xf numFmtId="0" fontId="34" fillId="2" borderId="0" xfId="0" applyFont="1" applyFill="1"/>
    <xf numFmtId="0" fontId="37" fillId="2" borderId="0" xfId="0" applyFont="1" applyFill="1" applyAlignment="1">
      <alignment horizontal="left" vertical="center"/>
    </xf>
    <xf numFmtId="0" fontId="34" fillId="2" borderId="0" xfId="0" applyFont="1" applyFill="1" applyAlignment="1">
      <alignment horizontal="right"/>
    </xf>
    <xf numFmtId="0" fontId="26" fillId="2" borderId="0" xfId="0" applyFont="1" applyFill="1" applyAlignment="1">
      <alignment horizontal="center"/>
    </xf>
    <xf numFmtId="0" fontId="34" fillId="2" borderId="0" xfId="0" applyFont="1" applyFill="1" applyAlignment="1">
      <alignment horizontal="center" vertical="center"/>
    </xf>
    <xf numFmtId="3" fontId="34" fillId="2" borderId="0" xfId="0" applyNumberFormat="1" applyFont="1" applyFill="1"/>
    <xf numFmtId="0" fontId="34" fillId="0" borderId="0" xfId="0" applyFont="1" applyFill="1" applyBorder="1"/>
    <xf numFmtId="0" fontId="17" fillId="11" borderId="7" xfId="0" applyFont="1" applyFill="1" applyBorder="1" applyAlignment="1">
      <alignment horizontal="center" vertical="center" wrapText="1"/>
    </xf>
    <xf numFmtId="0" fontId="19" fillId="11" borderId="51" xfId="0" applyFont="1" applyFill="1" applyBorder="1" applyAlignment="1">
      <alignment horizontal="center" vertical="center" wrapText="1"/>
    </xf>
    <xf numFmtId="3" fontId="35" fillId="11" borderId="58" xfId="0" applyNumberFormat="1" applyFont="1" applyFill="1" applyBorder="1" applyAlignment="1">
      <alignment horizontal="right" vertical="center"/>
    </xf>
    <xf numFmtId="3" fontId="35" fillId="11" borderId="44" xfId="0" applyNumberFormat="1" applyFont="1" applyFill="1" applyBorder="1" applyAlignment="1">
      <alignment horizontal="right" vertical="center"/>
    </xf>
    <xf numFmtId="3" fontId="35" fillId="11" borderId="51" xfId="0" applyNumberFormat="1" applyFont="1" applyFill="1" applyBorder="1" applyAlignment="1">
      <alignment horizontal="right" vertical="center"/>
    </xf>
    <xf numFmtId="3" fontId="35" fillId="11" borderId="62" xfId="0" applyNumberFormat="1" applyFont="1" applyFill="1" applyBorder="1" applyAlignment="1">
      <alignment horizontal="right" vertical="center"/>
    </xf>
    <xf numFmtId="3" fontId="36" fillId="7" borderId="16" xfId="0" applyNumberFormat="1" applyFont="1" applyFill="1" applyBorder="1" applyAlignment="1">
      <alignment vertical="center"/>
    </xf>
    <xf numFmtId="3" fontId="7" fillId="0" borderId="14" xfId="0" applyNumberFormat="1" applyFont="1" applyFill="1" applyBorder="1" applyAlignment="1">
      <alignment horizontal="right" vertical="center"/>
    </xf>
    <xf numFmtId="3" fontId="7" fillId="0" borderId="14" xfId="0" applyNumberFormat="1" applyFont="1" applyFill="1" applyBorder="1" applyAlignment="1">
      <alignment vertical="center"/>
    </xf>
    <xf numFmtId="49" fontId="9" fillId="0" borderId="14"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shrinkToFit="1"/>
    </xf>
    <xf numFmtId="0" fontId="7" fillId="0" borderId="14" xfId="0" applyFont="1" applyFill="1" applyBorder="1" applyAlignment="1">
      <alignment horizontal="center" vertical="center"/>
    </xf>
    <xf numFmtId="0" fontId="30" fillId="0" borderId="13" xfId="0" applyFont="1" applyFill="1" applyBorder="1" applyAlignment="1">
      <alignment horizontal="center" vertical="center" wrapText="1"/>
    </xf>
    <xf numFmtId="3" fontId="7" fillId="10" borderId="16" xfId="0" applyNumberFormat="1" applyFont="1" applyFill="1" applyBorder="1" applyAlignment="1">
      <alignment horizontal="right" vertical="center"/>
    </xf>
    <xf numFmtId="3" fontId="7" fillId="3" borderId="14" xfId="0" applyNumberFormat="1" applyFont="1" applyFill="1" applyBorder="1" applyAlignment="1">
      <alignment horizontal="right" vertical="center"/>
    </xf>
    <xf numFmtId="49" fontId="9" fillId="0" borderId="16" xfId="0" applyNumberFormat="1" applyFont="1" applyFill="1" applyBorder="1" applyAlignment="1">
      <alignment horizontal="center" vertical="center" wrapText="1" shrinkToFit="1"/>
    </xf>
    <xf numFmtId="3" fontId="9" fillId="0" borderId="30" xfId="0" applyNumberFormat="1" applyFont="1" applyFill="1" applyBorder="1" applyAlignment="1">
      <alignment vertical="center" wrapText="1"/>
    </xf>
    <xf numFmtId="3" fontId="9" fillId="0" borderId="1" xfId="0" applyNumberFormat="1" applyFont="1" applyFill="1" applyBorder="1" applyAlignment="1">
      <alignment vertical="center" wrapText="1"/>
    </xf>
    <xf numFmtId="3" fontId="9" fillId="0" borderId="14"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wrapText="1"/>
    </xf>
    <xf numFmtId="3" fontId="9" fillId="0" borderId="45" xfId="0" applyNumberFormat="1" applyFont="1" applyFill="1" applyBorder="1" applyAlignment="1">
      <alignment vertical="center" wrapText="1"/>
    </xf>
    <xf numFmtId="3" fontId="7" fillId="0" borderId="1" xfId="0" applyNumberFormat="1" applyFont="1" applyFill="1" applyBorder="1" applyAlignment="1">
      <alignment horizontal="right" vertical="center" wrapText="1"/>
    </xf>
    <xf numFmtId="49" fontId="7" fillId="0" borderId="1" xfId="0" applyNumberFormat="1" applyFont="1" applyBorder="1" applyAlignment="1">
      <alignment horizontal="center" vertical="center"/>
    </xf>
    <xf numFmtId="49" fontId="9" fillId="0" borderId="3" xfId="0" applyNumberFormat="1" applyFont="1" applyFill="1" applyBorder="1" applyAlignment="1">
      <alignment horizontal="center" vertical="center" wrapText="1"/>
    </xf>
    <xf numFmtId="0" fontId="9" fillId="0" borderId="16" xfId="1" applyFont="1" applyFill="1" applyBorder="1" applyAlignment="1">
      <alignment horizontal="center" vertical="center" wrapText="1"/>
    </xf>
    <xf numFmtId="3" fontId="11" fillId="0" borderId="32" xfId="0" applyNumberFormat="1" applyFont="1" applyFill="1" applyBorder="1" applyAlignment="1">
      <alignment horizontal="right" vertical="center" wrapText="1"/>
    </xf>
    <xf numFmtId="3" fontId="7" fillId="0" borderId="17" xfId="0" applyNumberFormat="1" applyFont="1" applyFill="1" applyBorder="1" applyAlignment="1">
      <alignment horizontal="right" vertical="center" wrapText="1"/>
    </xf>
    <xf numFmtId="167" fontId="9" fillId="0" borderId="18" xfId="0" applyNumberFormat="1" applyFont="1" applyFill="1" applyBorder="1" applyAlignment="1">
      <alignment horizontal="center" vertical="center" wrapText="1" shrinkToFit="1"/>
    </xf>
    <xf numFmtId="3" fontId="7" fillId="0" borderId="52" xfId="0" applyNumberFormat="1" applyFont="1" applyFill="1" applyBorder="1" applyAlignment="1">
      <alignment horizontal="right" vertical="center" wrapText="1"/>
    </xf>
    <xf numFmtId="2" fontId="8" fillId="0" borderId="13" xfId="0" applyNumberFormat="1" applyFont="1" applyFill="1" applyBorder="1" applyAlignment="1">
      <alignment horizontal="center" vertical="center" wrapText="1"/>
    </xf>
    <xf numFmtId="3" fontId="13" fillId="0" borderId="1" xfId="0" applyNumberFormat="1" applyFont="1" applyFill="1" applyBorder="1" applyAlignment="1">
      <alignment horizontal="right" vertical="center" wrapText="1"/>
    </xf>
    <xf numFmtId="0" fontId="13" fillId="0" borderId="12" xfId="0" applyNumberFormat="1" applyFont="1" applyFill="1" applyBorder="1" applyAlignment="1">
      <alignment horizontal="center" vertical="center" wrapText="1"/>
    </xf>
    <xf numFmtId="0" fontId="13" fillId="0" borderId="25"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166" fontId="7" fillId="0" borderId="0" xfId="0" applyNumberFormat="1" applyFont="1" applyFill="1" applyAlignment="1">
      <alignment vertical="center"/>
    </xf>
    <xf numFmtId="3" fontId="12" fillId="0" borderId="31" xfId="1" applyNumberFormat="1" applyFont="1" applyFill="1" applyBorder="1" applyAlignment="1">
      <alignment horizontal="right" vertical="center" wrapText="1"/>
    </xf>
    <xf numFmtId="0" fontId="34" fillId="2" borderId="0" xfId="0" applyFont="1" applyFill="1" applyAlignment="1">
      <alignment wrapText="1"/>
    </xf>
    <xf numFmtId="0" fontId="8" fillId="0" borderId="15" xfId="0" applyFont="1" applyFill="1" applyBorder="1" applyAlignment="1">
      <alignment horizontal="center" vertical="center" wrapText="1"/>
    </xf>
    <xf numFmtId="165" fontId="8" fillId="0" borderId="0" xfId="0" applyNumberFormat="1" applyFont="1" applyFill="1" applyAlignment="1">
      <alignment horizontal="center" vertical="center" wrapText="1"/>
    </xf>
    <xf numFmtId="0" fontId="7" fillId="0" borderId="0" xfId="0" applyFont="1" applyAlignment="1">
      <alignment horizontal="center" wrapText="1"/>
    </xf>
    <xf numFmtId="0" fontId="19" fillId="11" borderId="11" xfId="0" applyFont="1" applyFill="1" applyBorder="1" applyAlignment="1">
      <alignment horizontal="right" vertical="center" wrapText="1"/>
    </xf>
    <xf numFmtId="0" fontId="0" fillId="0" borderId="0" xfId="0" applyAlignment="1">
      <alignment wrapText="1"/>
    </xf>
    <xf numFmtId="49" fontId="7" fillId="0" borderId="8"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0" fontId="0" fillId="0" borderId="0" xfId="0"/>
    <xf numFmtId="3" fontId="7" fillId="0" borderId="24" xfId="0" applyNumberFormat="1" applyFont="1" applyFill="1" applyBorder="1" applyAlignment="1">
      <alignment vertical="center" wrapText="1"/>
    </xf>
    <xf numFmtId="0" fontId="7" fillId="0" borderId="23" xfId="0" applyFont="1" applyFill="1" applyBorder="1" applyAlignment="1">
      <alignment horizontal="center" vertical="center" wrapText="1"/>
    </xf>
    <xf numFmtId="3" fontId="9" fillId="0" borderId="31" xfId="1" applyNumberFormat="1" applyFont="1" applyFill="1" applyBorder="1" applyAlignment="1">
      <alignment vertical="center" wrapText="1"/>
    </xf>
    <xf numFmtId="3" fontId="7" fillId="0" borderId="27" xfId="0" applyNumberFormat="1" applyFont="1" applyFill="1" applyBorder="1" applyAlignment="1">
      <alignment vertical="center" wrapText="1"/>
    </xf>
    <xf numFmtId="3" fontId="7" fillId="0" borderId="24" xfId="0" applyNumberFormat="1"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2" xfId="1" applyFont="1" applyFill="1" applyBorder="1" applyAlignment="1">
      <alignment horizontal="center" vertical="center" wrapText="1"/>
    </xf>
    <xf numFmtId="49" fontId="9" fillId="0" borderId="2" xfId="0" applyNumberFormat="1" applyFont="1" applyFill="1" applyBorder="1" applyAlignment="1">
      <alignment horizontal="center" vertical="center" wrapText="1" shrinkToFit="1"/>
    </xf>
    <xf numFmtId="3" fontId="7" fillId="0" borderId="0" xfId="0" applyNumberFormat="1" applyFont="1" applyAlignment="1">
      <alignment vertical="center"/>
    </xf>
    <xf numFmtId="3" fontId="7" fillId="0" borderId="0" xfId="0" applyNumberFormat="1" applyFont="1" applyFill="1" applyAlignment="1">
      <alignment vertical="center"/>
    </xf>
    <xf numFmtId="3" fontId="9" fillId="6" borderId="18" xfId="1" applyNumberFormat="1" applyFont="1" applyFill="1" applyBorder="1" applyAlignment="1">
      <alignment vertical="center" wrapText="1"/>
    </xf>
    <xf numFmtId="0" fontId="7" fillId="0" borderId="13" xfId="0" applyFont="1" applyFill="1" applyBorder="1" applyAlignment="1">
      <alignment horizontal="center" vertical="center" wrapText="1"/>
    </xf>
    <xf numFmtId="0" fontId="8" fillId="0" borderId="23" xfId="0" applyFont="1" applyFill="1" applyBorder="1" applyAlignment="1">
      <alignment horizontal="center" vertical="center" wrapText="1"/>
    </xf>
    <xf numFmtId="3" fontId="9" fillId="0" borderId="25" xfId="1" applyNumberFormat="1" applyFont="1" applyFill="1" applyBorder="1" applyAlignment="1">
      <alignment vertical="center" wrapText="1"/>
    </xf>
    <xf numFmtId="49" fontId="7" fillId="0" borderId="28" xfId="0" applyNumberFormat="1" applyFont="1" applyFill="1" applyBorder="1" applyAlignment="1">
      <alignment horizontal="center" vertical="center" wrapText="1"/>
    </xf>
    <xf numFmtId="3" fontId="7" fillId="0" borderId="59" xfId="0" applyNumberFormat="1" applyFont="1" applyFill="1" applyBorder="1" applyAlignment="1">
      <alignment vertical="center" wrapText="1"/>
    </xf>
    <xf numFmtId="0" fontId="8" fillId="0" borderId="26" xfId="0" applyFont="1" applyFill="1" applyBorder="1" applyAlignment="1">
      <alignment horizontal="center" vertical="center" wrapText="1"/>
    </xf>
    <xf numFmtId="3" fontId="8" fillId="0" borderId="0" xfId="0" applyNumberFormat="1" applyFont="1" applyAlignment="1">
      <alignment horizontal="center" vertical="center" wrapText="1"/>
    </xf>
    <xf numFmtId="49" fontId="7" fillId="0" borderId="13" xfId="0" applyNumberFormat="1" applyFont="1" applyFill="1" applyBorder="1" applyAlignment="1">
      <alignment horizontal="center" vertical="center" wrapText="1" shrinkToFit="1"/>
    </xf>
    <xf numFmtId="3" fontId="7" fillId="0" borderId="27" xfId="0" applyNumberFormat="1" applyFont="1" applyFill="1" applyBorder="1" applyAlignment="1">
      <alignment horizontal="right" vertical="center" wrapText="1"/>
    </xf>
    <xf numFmtId="3" fontId="7" fillId="0" borderId="37" xfId="0" applyNumberFormat="1" applyFont="1" applyFill="1" applyBorder="1" applyAlignment="1">
      <alignment horizontal="right" vertical="center" wrapText="1"/>
    </xf>
    <xf numFmtId="3" fontId="7" fillId="0" borderId="42" xfId="0" applyNumberFormat="1" applyFont="1" applyFill="1" applyBorder="1" applyAlignment="1">
      <alignment horizontal="center" vertical="center" wrapText="1"/>
    </xf>
    <xf numFmtId="3" fontId="7" fillId="0" borderId="26" xfId="0" applyNumberFormat="1" applyFont="1" applyFill="1" applyBorder="1" applyAlignment="1">
      <alignment horizontal="center" vertical="center" wrapText="1"/>
    </xf>
    <xf numFmtId="3" fontId="7" fillId="0" borderId="23" xfId="0" applyNumberFormat="1" applyFont="1" applyFill="1" applyBorder="1" applyAlignment="1">
      <alignment horizontal="right" vertical="center" wrapText="1"/>
    </xf>
    <xf numFmtId="3" fontId="7" fillId="0" borderId="59" xfId="0" applyNumberFormat="1" applyFont="1" applyFill="1" applyBorder="1" applyAlignment="1">
      <alignment horizontal="right" vertical="center" wrapText="1"/>
    </xf>
    <xf numFmtId="3" fontId="9" fillId="0" borderId="23" xfId="1" applyNumberFormat="1" applyFont="1" applyFill="1" applyBorder="1" applyAlignment="1">
      <alignment vertical="center" wrapText="1"/>
    </xf>
    <xf numFmtId="0" fontId="7" fillId="0" borderId="26" xfId="0" applyFont="1" applyFill="1" applyBorder="1" applyAlignment="1">
      <alignment horizontal="center" vertical="center" wrapText="1"/>
    </xf>
    <xf numFmtId="3" fontId="9" fillId="0" borderId="26" xfId="1" applyNumberFormat="1" applyFont="1" applyFill="1" applyBorder="1" applyAlignment="1">
      <alignment vertical="center" wrapText="1"/>
    </xf>
    <xf numFmtId="3" fontId="7" fillId="0" borderId="32" xfId="0" applyNumberFormat="1" applyFont="1" applyFill="1" applyBorder="1" applyAlignment="1">
      <alignment vertical="center" wrapText="1"/>
    </xf>
    <xf numFmtId="3" fontId="7" fillId="0" borderId="37" xfId="0" applyNumberFormat="1" applyFont="1" applyFill="1" applyBorder="1" applyAlignment="1">
      <alignment vertical="center" wrapText="1"/>
    </xf>
    <xf numFmtId="3" fontId="7" fillId="0" borderId="32" xfId="0" applyNumberFormat="1" applyFont="1" applyFill="1" applyBorder="1" applyAlignment="1">
      <alignment horizontal="right" vertical="center" wrapText="1"/>
    </xf>
    <xf numFmtId="0" fontId="7" fillId="0" borderId="14" xfId="0" applyFont="1" applyFill="1" applyBorder="1" applyAlignment="1">
      <alignment horizontal="center" vertical="center" wrapText="1"/>
    </xf>
    <xf numFmtId="0" fontId="7" fillId="0" borderId="26" xfId="1" applyFont="1" applyFill="1" applyBorder="1" applyAlignment="1">
      <alignment horizontal="center" vertical="center" wrapText="1"/>
    </xf>
    <xf numFmtId="49" fontId="9" fillId="0" borderId="26" xfId="0" applyNumberFormat="1" applyFont="1" applyFill="1" applyBorder="1" applyAlignment="1">
      <alignment horizontal="center" vertical="center" wrapText="1" shrinkToFit="1"/>
    </xf>
    <xf numFmtId="49" fontId="7" fillId="0" borderId="26" xfId="0"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49" fontId="7" fillId="0" borderId="31"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3" fontId="7" fillId="0" borderId="20" xfId="0" applyNumberFormat="1" applyFont="1" applyFill="1" applyBorder="1" applyAlignment="1">
      <alignment vertical="center" wrapText="1"/>
    </xf>
    <xf numFmtId="3" fontId="7" fillId="0" borderId="26" xfId="0" applyNumberFormat="1" applyFont="1" applyFill="1" applyBorder="1" applyAlignment="1">
      <alignment horizontal="right" vertical="center" wrapText="1"/>
    </xf>
    <xf numFmtId="3" fontId="7" fillId="3" borderId="23" xfId="0" applyNumberFormat="1" applyFont="1" applyFill="1" applyBorder="1" applyAlignment="1">
      <alignment horizontal="right" vertical="center" wrapText="1"/>
    </xf>
    <xf numFmtId="3" fontId="7" fillId="10" borderId="24" xfId="0" applyNumberFormat="1" applyFont="1" applyFill="1" applyBorder="1" applyAlignment="1">
      <alignment horizontal="right" vertical="center" wrapText="1"/>
    </xf>
    <xf numFmtId="3" fontId="7" fillId="10" borderId="32" xfId="0" applyNumberFormat="1" applyFont="1" applyFill="1" applyBorder="1" applyAlignment="1">
      <alignment horizontal="right" vertical="center" wrapText="1"/>
    </xf>
    <xf numFmtId="3" fontId="7" fillId="3" borderId="26" xfId="0" applyNumberFormat="1" applyFont="1" applyFill="1" applyBorder="1" applyAlignment="1">
      <alignment horizontal="right" vertical="center" wrapText="1"/>
    </xf>
    <xf numFmtId="3" fontId="9" fillId="0" borderId="6" xfId="0" applyNumberFormat="1" applyFont="1" applyFill="1" applyBorder="1" applyAlignment="1">
      <alignment horizontal="right" vertical="center" wrapText="1"/>
    </xf>
    <xf numFmtId="49" fontId="9" fillId="0" borderId="6" xfId="0" applyNumberFormat="1" applyFont="1" applyFill="1" applyBorder="1" applyAlignment="1">
      <alignment horizontal="center" vertical="center" wrapText="1" shrinkToFit="1"/>
    </xf>
    <xf numFmtId="0" fontId="8" fillId="0" borderId="5" xfId="0" applyFont="1" applyFill="1" applyBorder="1" applyAlignment="1">
      <alignment horizontal="center" vertical="center" wrapText="1"/>
    </xf>
    <xf numFmtId="3" fontId="9" fillId="0" borderId="18" xfId="0" applyNumberFormat="1" applyFont="1" applyFill="1" applyBorder="1" applyAlignment="1">
      <alignment vertical="center" wrapText="1"/>
    </xf>
    <xf numFmtId="3" fontId="9" fillId="0" borderId="18" xfId="0" applyNumberFormat="1" applyFont="1" applyFill="1" applyBorder="1" applyAlignment="1">
      <alignment horizontal="right" vertical="center" wrapText="1"/>
    </xf>
    <xf numFmtId="3" fontId="9" fillId="0" borderId="5" xfId="0" applyNumberFormat="1" applyFont="1" applyFill="1" applyBorder="1" applyAlignment="1">
      <alignment horizontal="right" vertical="center" wrapText="1"/>
    </xf>
    <xf numFmtId="49" fontId="7" fillId="6" borderId="12" xfId="0" applyNumberFormat="1" applyFont="1" applyFill="1" applyBorder="1" applyAlignment="1">
      <alignment horizontal="center" vertical="center" wrapText="1"/>
    </xf>
    <xf numFmtId="3" fontId="7" fillId="6" borderId="18" xfId="1" applyNumberFormat="1" applyFont="1" applyFill="1" applyBorder="1" applyAlignment="1">
      <alignment horizontal="center" vertical="center" wrapText="1"/>
    </xf>
    <xf numFmtId="3" fontId="7" fillId="6" borderId="12" xfId="1" applyNumberFormat="1" applyFont="1" applyFill="1" applyBorder="1" applyAlignment="1">
      <alignment horizontal="center" vertical="center" wrapText="1"/>
    </xf>
    <xf numFmtId="3" fontId="7" fillId="6" borderId="30" xfId="1" applyNumberFormat="1" applyFont="1" applyFill="1" applyBorder="1" applyAlignment="1">
      <alignment horizontal="center" vertical="center" wrapText="1"/>
    </xf>
    <xf numFmtId="4" fontId="7" fillId="6" borderId="18" xfId="1" applyNumberFormat="1" applyFont="1" applyFill="1" applyBorder="1" applyAlignment="1">
      <alignment horizontal="center" vertical="center" wrapText="1"/>
    </xf>
    <xf numFmtId="49" fontId="7" fillId="6" borderId="12" xfId="1" applyNumberFormat="1" applyFont="1" applyFill="1" applyBorder="1" applyAlignment="1">
      <alignment horizontal="center" vertical="center" wrapText="1"/>
    </xf>
    <xf numFmtId="4" fontId="7" fillId="6" borderId="12" xfId="1" applyNumberFormat="1" applyFont="1" applyFill="1" applyBorder="1" applyAlignment="1">
      <alignment horizontal="center" vertical="center" wrapText="1"/>
    </xf>
    <xf numFmtId="0" fontId="31" fillId="0" borderId="23" xfId="0" applyFont="1" applyFill="1" applyBorder="1" applyAlignment="1">
      <alignment horizontal="center" vertical="center" wrapText="1"/>
    </xf>
    <xf numFmtId="0" fontId="27" fillId="0" borderId="26" xfId="0" applyFont="1" applyFill="1" applyBorder="1" applyAlignment="1">
      <alignment horizontal="center" vertical="center"/>
    </xf>
    <xf numFmtId="3" fontId="13" fillId="0" borderId="31" xfId="0" applyNumberFormat="1" applyFont="1" applyFill="1" applyBorder="1" applyAlignment="1">
      <alignment horizontal="right" vertical="center" wrapText="1"/>
    </xf>
    <xf numFmtId="3" fontId="7" fillId="2" borderId="26" xfId="0" applyNumberFormat="1" applyFont="1" applyFill="1" applyBorder="1" applyAlignment="1">
      <alignment horizontal="center" vertical="center" wrapText="1"/>
    </xf>
    <xf numFmtId="4" fontId="7" fillId="0" borderId="33" xfId="0" applyNumberFormat="1" applyFont="1" applyFill="1" applyBorder="1" applyAlignment="1">
      <alignment horizontal="center" vertical="center" wrapText="1"/>
    </xf>
    <xf numFmtId="0" fontId="17" fillId="0" borderId="0" xfId="0" applyFont="1" applyFill="1" applyBorder="1" applyAlignment="1">
      <alignment horizontal="center"/>
    </xf>
    <xf numFmtId="3" fontId="13" fillId="2" borderId="37" xfId="0" applyNumberFormat="1" applyFont="1" applyFill="1" applyBorder="1" applyAlignment="1">
      <alignment horizontal="right" vertical="center" wrapText="1"/>
    </xf>
    <xf numFmtId="1" fontId="7" fillId="0" borderId="13" xfId="0" applyNumberFormat="1" applyFont="1" applyFill="1" applyBorder="1" applyAlignment="1">
      <alignment horizontal="right" vertical="center" wrapText="1"/>
    </xf>
    <xf numFmtId="3" fontId="7" fillId="3" borderId="13" xfId="0" applyNumberFormat="1" applyFont="1" applyFill="1" applyBorder="1" applyAlignment="1">
      <alignment horizontal="center" vertical="center" wrapText="1"/>
    </xf>
    <xf numFmtId="0" fontId="30" fillId="0" borderId="13" xfId="0" applyFont="1" applyFill="1" applyBorder="1" applyAlignment="1">
      <alignment horizontal="center" vertical="center"/>
    </xf>
    <xf numFmtId="0" fontId="30" fillId="0" borderId="42" xfId="0" applyFont="1" applyFill="1" applyBorder="1" applyAlignment="1">
      <alignment horizontal="center" vertical="center" wrapText="1"/>
    </xf>
    <xf numFmtId="3" fontId="30" fillId="0" borderId="13" xfId="0" applyNumberFormat="1" applyFont="1" applyFill="1" applyBorder="1" applyAlignment="1">
      <alignment horizontal="center" vertical="center"/>
    </xf>
    <xf numFmtId="3" fontId="30" fillId="0" borderId="15" xfId="0" applyNumberFormat="1" applyFont="1" applyFill="1" applyBorder="1" applyAlignment="1">
      <alignment horizontal="center" vertical="center"/>
    </xf>
    <xf numFmtId="3" fontId="30" fillId="0" borderId="19" xfId="0" applyNumberFormat="1" applyFont="1" applyFill="1" applyBorder="1" applyAlignment="1">
      <alignment horizontal="center" vertical="center"/>
    </xf>
    <xf numFmtId="3" fontId="30" fillId="0" borderId="45" xfId="0" applyNumberFormat="1" applyFont="1" applyFill="1" applyBorder="1" applyAlignment="1">
      <alignment horizontal="center" vertical="center"/>
    </xf>
    <xf numFmtId="3" fontId="30" fillId="0" borderId="42" xfId="0" applyNumberFormat="1" applyFont="1" applyFill="1" applyBorder="1" applyAlignment="1">
      <alignment horizontal="center" vertical="center"/>
    </xf>
    <xf numFmtId="3" fontId="30" fillId="0" borderId="42" xfId="0" applyNumberFormat="1" applyFont="1" applyFill="1" applyBorder="1" applyAlignment="1">
      <alignment horizontal="center" vertical="center" wrapText="1"/>
    </xf>
    <xf numFmtId="0" fontId="30" fillId="0" borderId="15" xfId="0" applyFont="1" applyFill="1" applyBorder="1" applyAlignment="1">
      <alignment horizontal="center" vertical="center"/>
    </xf>
    <xf numFmtId="0" fontId="35" fillId="7" borderId="11" xfId="0" applyFont="1" applyFill="1" applyBorder="1" applyAlignment="1">
      <alignment horizontal="center" vertical="center" wrapText="1"/>
    </xf>
    <xf numFmtId="3" fontId="35" fillId="7" borderId="43" xfId="0" applyNumberFormat="1" applyFont="1" applyFill="1" applyBorder="1" applyAlignment="1">
      <alignment vertical="center"/>
    </xf>
    <xf numFmtId="0" fontId="39" fillId="7" borderId="39" xfId="0" applyFont="1" applyFill="1" applyBorder="1" applyAlignment="1">
      <alignment vertical="center"/>
    </xf>
    <xf numFmtId="3" fontId="7" fillId="5" borderId="2" xfId="0" applyNumberFormat="1" applyFont="1" applyFill="1" applyBorder="1" applyAlignment="1">
      <alignment horizontal="center" vertical="center" wrapText="1"/>
    </xf>
    <xf numFmtId="3" fontId="9" fillId="10" borderId="23" xfId="0" applyNumberFormat="1" applyFont="1" applyFill="1" applyBorder="1" applyAlignment="1">
      <alignment horizontal="right" vertical="center" wrapText="1"/>
    </xf>
    <xf numFmtId="3" fontId="9" fillId="10" borderId="26" xfId="0" applyNumberFormat="1" applyFont="1" applyFill="1" applyBorder="1" applyAlignment="1">
      <alignment horizontal="right" vertical="center" wrapText="1"/>
    </xf>
    <xf numFmtId="3" fontId="9" fillId="10" borderId="13" xfId="0" applyNumberFormat="1" applyFont="1" applyFill="1" applyBorder="1" applyAlignment="1">
      <alignment horizontal="center" vertical="center" wrapText="1"/>
    </xf>
    <xf numFmtId="3" fontId="9" fillId="10" borderId="13" xfId="0" applyNumberFormat="1" applyFont="1" applyFill="1" applyBorder="1" applyAlignment="1">
      <alignment horizontal="right" vertical="center" wrapText="1"/>
    </xf>
    <xf numFmtId="3" fontId="14" fillId="10" borderId="13" xfId="0" applyNumberFormat="1" applyFont="1" applyFill="1" applyBorder="1" applyAlignment="1">
      <alignment horizontal="right" vertical="center" wrapText="1"/>
    </xf>
    <xf numFmtId="3" fontId="9" fillId="10" borderId="14" xfId="0" applyNumberFormat="1" applyFont="1" applyFill="1" applyBorder="1" applyAlignment="1">
      <alignment horizontal="right" vertical="center" wrapText="1"/>
    </xf>
    <xf numFmtId="3" fontId="9" fillId="10" borderId="18" xfId="0" applyNumberFormat="1" applyFont="1" applyFill="1" applyBorder="1" applyAlignment="1">
      <alignment horizontal="right" vertical="center" wrapText="1"/>
    </xf>
    <xf numFmtId="3" fontId="9" fillId="10" borderId="14" xfId="0" applyNumberFormat="1" applyFont="1" applyFill="1" applyBorder="1" applyAlignment="1">
      <alignment horizontal="center" vertical="center" wrapText="1"/>
    </xf>
    <xf numFmtId="3" fontId="9" fillId="10" borderId="2" xfId="0" applyNumberFormat="1" applyFont="1" applyFill="1" applyBorder="1" applyAlignment="1">
      <alignment horizontal="right" vertical="center" wrapText="1"/>
    </xf>
    <xf numFmtId="3" fontId="14" fillId="10" borderId="26" xfId="0" applyNumberFormat="1" applyFont="1" applyFill="1" applyBorder="1" applyAlignment="1">
      <alignment horizontal="right" vertical="center" wrapText="1"/>
    </xf>
    <xf numFmtId="3" fontId="9" fillId="10" borderId="22" xfId="0" applyNumberFormat="1" applyFont="1" applyFill="1" applyBorder="1" applyAlignment="1">
      <alignment horizontal="right" vertical="center" wrapText="1"/>
    </xf>
    <xf numFmtId="3" fontId="14" fillId="10" borderId="23" xfId="0" applyNumberFormat="1" applyFont="1" applyFill="1" applyBorder="1" applyAlignment="1">
      <alignment horizontal="right" vertical="center" wrapText="1"/>
    </xf>
    <xf numFmtId="3" fontId="14" fillId="10" borderId="2" xfId="0" applyNumberFormat="1" applyFont="1" applyFill="1" applyBorder="1" applyAlignment="1">
      <alignment horizontal="right" vertical="center" wrapText="1"/>
    </xf>
    <xf numFmtId="3" fontId="14" fillId="10" borderId="14" xfId="0" applyNumberFormat="1" applyFont="1" applyFill="1" applyBorder="1" applyAlignment="1">
      <alignment horizontal="right" vertical="center" wrapText="1"/>
    </xf>
    <xf numFmtId="3" fontId="9" fillId="10" borderId="23" xfId="0" applyNumberFormat="1" applyFont="1" applyFill="1" applyBorder="1" applyAlignment="1">
      <alignment horizontal="right" vertical="center"/>
    </xf>
    <xf numFmtId="3" fontId="9" fillId="10" borderId="26" xfId="0" applyNumberFormat="1" applyFont="1" applyFill="1" applyBorder="1" applyAlignment="1">
      <alignment horizontal="right" vertical="center"/>
    </xf>
    <xf numFmtId="3" fontId="9" fillId="10" borderId="13" xfId="0" applyNumberFormat="1" applyFont="1" applyFill="1" applyBorder="1" applyAlignment="1">
      <alignment horizontal="right" vertical="center"/>
    </xf>
    <xf numFmtId="3" fontId="14" fillId="2" borderId="23" xfId="0" applyNumberFormat="1" applyFont="1" applyFill="1" applyBorder="1" applyAlignment="1">
      <alignment horizontal="right" vertical="center" wrapText="1"/>
    </xf>
    <xf numFmtId="3" fontId="9" fillId="10" borderId="30" xfId="0" applyNumberFormat="1" applyFont="1" applyFill="1" applyBorder="1" applyAlignment="1">
      <alignment horizontal="center" vertical="center" wrapText="1"/>
    </xf>
    <xf numFmtId="3" fontId="40" fillId="0" borderId="0" xfId="0" applyNumberFormat="1" applyFont="1" applyAlignment="1">
      <alignment horizontal="right"/>
    </xf>
    <xf numFmtId="3" fontId="10" fillId="0" borderId="0" xfId="0" applyNumberFormat="1" applyFont="1" applyAlignment="1">
      <alignment horizontal="center" vertical="center" wrapText="1"/>
    </xf>
    <xf numFmtId="3" fontId="9" fillId="0" borderId="0" xfId="0" applyNumberFormat="1" applyFont="1" applyAlignment="1">
      <alignment horizontal="right" vertical="center"/>
    </xf>
    <xf numFmtId="3" fontId="9" fillId="0" borderId="0" xfId="0" applyNumberFormat="1" applyFont="1" applyFill="1" applyAlignment="1">
      <alignment vertical="center"/>
    </xf>
    <xf numFmtId="3" fontId="7" fillId="0" borderId="3" xfId="0" applyNumberFormat="1" applyFont="1" applyFill="1" applyBorder="1" applyAlignment="1">
      <alignment horizontal="right" vertical="center" wrapText="1"/>
    </xf>
    <xf numFmtId="3" fontId="7" fillId="0" borderId="18" xfId="0" applyNumberFormat="1" applyFont="1" applyFill="1" applyBorder="1" applyAlignment="1">
      <alignment horizontal="right" vertical="center"/>
    </xf>
    <xf numFmtId="166" fontId="8" fillId="0" borderId="0" xfId="0" applyNumberFormat="1" applyFont="1" applyAlignment="1">
      <alignment horizontal="center" vertical="center" wrapText="1"/>
    </xf>
    <xf numFmtId="3" fontId="26" fillId="2" borderId="0" xfId="0" applyNumberFormat="1" applyFont="1" applyFill="1"/>
    <xf numFmtId="3" fontId="9" fillId="10" borderId="16" xfId="0" applyNumberFormat="1" applyFont="1" applyFill="1" applyBorder="1" applyAlignment="1">
      <alignment horizontal="center" vertical="center" wrapText="1"/>
    </xf>
    <xf numFmtId="3" fontId="9" fillId="3" borderId="16" xfId="0" applyNumberFormat="1" applyFont="1" applyFill="1" applyBorder="1" applyAlignment="1">
      <alignment horizontal="center" vertical="center" wrapText="1"/>
    </xf>
    <xf numFmtId="3" fontId="9" fillId="10" borderId="18" xfId="0" applyNumberFormat="1" applyFont="1" applyFill="1" applyBorder="1" applyAlignment="1">
      <alignment horizontal="center" vertical="center" wrapText="1"/>
    </xf>
    <xf numFmtId="3" fontId="26" fillId="0" borderId="0" xfId="0" applyNumberFormat="1" applyFont="1"/>
    <xf numFmtId="0" fontId="7" fillId="0" borderId="25" xfId="0" applyFont="1" applyFill="1" applyBorder="1" applyAlignment="1">
      <alignment horizontal="center" vertical="center"/>
    </xf>
    <xf numFmtId="3" fontId="7" fillId="10" borderId="37" xfId="0" applyNumberFormat="1" applyFont="1" applyFill="1" applyBorder="1" applyAlignment="1">
      <alignment horizontal="right" vertical="center" wrapText="1"/>
    </xf>
    <xf numFmtId="3" fontId="7" fillId="3" borderId="31" xfId="0" applyNumberFormat="1" applyFont="1" applyFill="1" applyBorder="1" applyAlignment="1">
      <alignment horizontal="right" vertical="center" wrapText="1"/>
    </xf>
    <xf numFmtId="49" fontId="9" fillId="0" borderId="2" xfId="0" applyNumberFormat="1" applyFont="1" applyFill="1" applyBorder="1" applyAlignment="1">
      <alignment horizontal="center" vertical="center" shrinkToFit="1"/>
    </xf>
    <xf numFmtId="0" fontId="8" fillId="0" borderId="8" xfId="1" applyFont="1" applyFill="1" applyBorder="1" applyAlignment="1">
      <alignment horizontal="center" vertical="center" wrapText="1"/>
    </xf>
    <xf numFmtId="3" fontId="7" fillId="0" borderId="25" xfId="0" applyNumberFormat="1" applyFont="1" applyFill="1" applyBorder="1" applyAlignment="1">
      <alignment horizontal="center" vertical="center" wrapText="1"/>
    </xf>
    <xf numFmtId="3" fontId="7" fillId="0" borderId="11" xfId="0" applyNumberFormat="1" applyFont="1" applyFill="1" applyBorder="1" applyAlignment="1">
      <alignment horizontal="right" vertical="center" wrapText="1"/>
    </xf>
    <xf numFmtId="0" fontId="21" fillId="0" borderId="42" xfId="1" applyFont="1" applyFill="1" applyBorder="1" applyAlignment="1">
      <alignment horizontal="center" vertical="center" wrapText="1"/>
    </xf>
    <xf numFmtId="3" fontId="13" fillId="0" borderId="15" xfId="1" applyNumberFormat="1" applyFont="1" applyFill="1" applyBorder="1" applyAlignment="1">
      <alignment horizontal="right" vertical="center" wrapText="1"/>
    </xf>
    <xf numFmtId="3" fontId="13" fillId="0" borderId="13" xfId="1" applyNumberFormat="1" applyFont="1" applyFill="1" applyBorder="1" applyAlignment="1">
      <alignment horizontal="right" vertical="center" wrapText="1"/>
    </xf>
    <xf numFmtId="3" fontId="13" fillId="0" borderId="15" xfId="0" applyNumberFormat="1" applyFont="1" applyFill="1" applyBorder="1" applyAlignment="1">
      <alignment horizontal="right" vertical="center" wrapText="1"/>
    </xf>
    <xf numFmtId="0" fontId="7" fillId="0" borderId="41" xfId="0" applyFont="1" applyFill="1" applyBorder="1" applyAlignment="1">
      <alignment horizontal="center" vertical="top" wrapText="1"/>
    </xf>
    <xf numFmtId="0" fontId="8" fillId="0" borderId="12" xfId="0" applyFont="1" applyFill="1" applyBorder="1" applyAlignment="1">
      <alignment horizontal="center" vertical="center" wrapText="1"/>
    </xf>
    <xf numFmtId="3" fontId="9" fillId="0" borderId="18" xfId="0" applyNumberFormat="1" applyFont="1" applyFill="1" applyBorder="1" applyAlignment="1">
      <alignment horizontal="right" vertical="center"/>
    </xf>
    <xf numFmtId="3" fontId="7" fillId="0" borderId="6" xfId="0" applyNumberFormat="1" applyFont="1" applyFill="1" applyBorder="1" applyAlignment="1">
      <alignment horizontal="right" vertical="center"/>
    </xf>
    <xf numFmtId="0" fontId="30" fillId="0" borderId="31" xfId="0" applyFont="1" applyFill="1" applyBorder="1" applyAlignment="1">
      <alignment horizontal="center" vertical="center" wrapText="1"/>
    </xf>
    <xf numFmtId="0" fontId="30" fillId="0" borderId="15" xfId="0" applyFont="1" applyFill="1" applyBorder="1" applyAlignment="1">
      <alignment horizontal="center" vertical="center" wrapText="1"/>
    </xf>
    <xf numFmtId="3" fontId="7" fillId="0" borderId="16" xfId="1" applyNumberFormat="1" applyFont="1" applyFill="1" applyBorder="1" applyAlignment="1">
      <alignment horizontal="center" vertical="center" wrapText="1"/>
    </xf>
    <xf numFmtId="3" fontId="13" fillId="2" borderId="13" xfId="0" applyNumberFormat="1" applyFont="1" applyFill="1" applyBorder="1" applyAlignment="1">
      <alignment horizontal="right" vertical="center" wrapText="1"/>
    </xf>
    <xf numFmtId="3" fontId="13" fillId="2" borderId="42" xfId="0" applyNumberFormat="1" applyFont="1" applyFill="1" applyBorder="1" applyAlignment="1">
      <alignment horizontal="right" vertical="center" wrapText="1"/>
    </xf>
    <xf numFmtId="3" fontId="14" fillId="2" borderId="15" xfId="1" applyNumberFormat="1" applyFont="1" applyFill="1" applyBorder="1" applyAlignment="1">
      <alignment vertical="center" wrapText="1"/>
    </xf>
    <xf numFmtId="3" fontId="13" fillId="2" borderId="13" xfId="0" applyNumberFormat="1" applyFont="1" applyFill="1" applyBorder="1" applyAlignment="1">
      <alignment vertical="center" wrapText="1"/>
    </xf>
    <xf numFmtId="3" fontId="13" fillId="2" borderId="45" xfId="0" applyNumberFormat="1" applyFont="1" applyFill="1" applyBorder="1" applyAlignment="1">
      <alignment vertical="center" wrapText="1"/>
    </xf>
    <xf numFmtId="3" fontId="13" fillId="2" borderId="19" xfId="0" applyNumberFormat="1" applyFont="1" applyFill="1" applyBorder="1" applyAlignment="1">
      <alignment vertical="center" wrapText="1"/>
    </xf>
    <xf numFmtId="49" fontId="11" fillId="0" borderId="2" xfId="0" applyNumberFormat="1" applyFont="1" applyFill="1" applyBorder="1" applyAlignment="1">
      <alignment horizontal="center" vertical="center" wrapText="1" shrinkToFit="1"/>
    </xf>
    <xf numFmtId="3" fontId="11" fillId="10" borderId="24" xfId="0" applyNumberFormat="1" applyFont="1" applyFill="1" applyBorder="1" applyAlignment="1">
      <alignment horizontal="right" vertical="center" wrapText="1"/>
    </xf>
    <xf numFmtId="3" fontId="11" fillId="3" borderId="23" xfId="0" applyNumberFormat="1" applyFont="1" applyFill="1" applyBorder="1" applyAlignment="1">
      <alignment horizontal="right" vertical="center" wrapText="1"/>
    </xf>
    <xf numFmtId="3" fontId="12" fillId="10" borderId="23" xfId="0" applyNumberFormat="1" applyFont="1" applyFill="1" applyBorder="1" applyAlignment="1">
      <alignment horizontal="right" vertical="center" wrapText="1"/>
    </xf>
    <xf numFmtId="3" fontId="11" fillId="0" borderId="8" xfId="0" applyNumberFormat="1" applyFont="1" applyFill="1" applyBorder="1" applyAlignment="1">
      <alignment vertical="center" wrapText="1"/>
    </xf>
    <xf numFmtId="3" fontId="11" fillId="0" borderId="24" xfId="0" applyNumberFormat="1" applyFont="1" applyFill="1" applyBorder="1" applyAlignment="1">
      <alignment horizontal="right" vertical="center" wrapText="1"/>
    </xf>
    <xf numFmtId="49" fontId="11" fillId="0" borderId="25" xfId="0" applyNumberFormat="1" applyFont="1" applyFill="1" applyBorder="1" applyAlignment="1">
      <alignment horizontal="center" vertical="center"/>
    </xf>
    <xf numFmtId="49" fontId="11" fillId="0" borderId="4"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wrapText="1" shrinkToFit="1"/>
    </xf>
    <xf numFmtId="0" fontId="7" fillId="2" borderId="14" xfId="1" applyFont="1" applyFill="1" applyBorder="1" applyAlignment="1">
      <alignment horizontal="center" vertical="center" wrapText="1"/>
    </xf>
    <xf numFmtId="0" fontId="8" fillId="2" borderId="14" xfId="0" applyFont="1" applyFill="1" applyBorder="1" applyAlignment="1">
      <alignment horizontal="center" vertical="center" wrapText="1"/>
    </xf>
    <xf numFmtId="3" fontId="7" fillId="2" borderId="63" xfId="0" applyNumberFormat="1" applyFont="1" applyFill="1" applyBorder="1" applyAlignment="1">
      <alignment vertical="center" wrapText="1"/>
    </xf>
    <xf numFmtId="3" fontId="7" fillId="2" borderId="49" xfId="0" applyNumberFormat="1" applyFont="1" applyFill="1" applyBorder="1" applyAlignment="1">
      <alignment vertical="center" wrapText="1"/>
    </xf>
    <xf numFmtId="3" fontId="7" fillId="2" borderId="14" xfId="0" applyNumberFormat="1" applyFont="1" applyFill="1" applyBorder="1" applyAlignment="1">
      <alignment horizontal="right" vertical="center" wrapText="1"/>
    </xf>
    <xf numFmtId="3" fontId="7" fillId="2" borderId="16" xfId="0" applyNumberFormat="1" applyFont="1" applyFill="1" applyBorder="1" applyAlignment="1">
      <alignment horizontal="right" vertical="center" wrapText="1"/>
    </xf>
    <xf numFmtId="0" fontId="7" fillId="2" borderId="30" xfId="0" applyFont="1" applyFill="1" applyBorder="1" applyAlignment="1">
      <alignment horizontal="center" vertical="center" wrapText="1"/>
    </xf>
    <xf numFmtId="49" fontId="7" fillId="2" borderId="14" xfId="0" applyNumberFormat="1" applyFont="1" applyFill="1" applyBorder="1" applyAlignment="1">
      <alignment horizontal="center" vertical="center"/>
    </xf>
    <xf numFmtId="49" fontId="7" fillId="2" borderId="30" xfId="0" applyNumberFormat="1" applyFont="1" applyFill="1" applyBorder="1" applyAlignment="1">
      <alignment horizontal="center" vertical="center"/>
    </xf>
    <xf numFmtId="3" fontId="9" fillId="0" borderId="25" xfId="0" applyNumberFormat="1" applyFont="1" applyFill="1" applyBorder="1" applyAlignment="1">
      <alignment vertical="center" wrapText="1"/>
    </xf>
    <xf numFmtId="3" fontId="9" fillId="0" borderId="30" xfId="1" applyNumberFormat="1" applyFont="1" applyFill="1" applyBorder="1" applyAlignment="1">
      <alignment vertical="center"/>
    </xf>
    <xf numFmtId="3" fontId="9" fillId="0" borderId="4" xfId="1" applyNumberFormat="1" applyFont="1" applyFill="1" applyBorder="1" applyAlignment="1">
      <alignment vertical="center"/>
    </xf>
    <xf numFmtId="3" fontId="14" fillId="0" borderId="4" xfId="1" applyNumberFormat="1" applyFont="1" applyFill="1" applyBorder="1" applyAlignment="1">
      <alignment vertical="center"/>
    </xf>
    <xf numFmtId="3" fontId="13" fillId="10" borderId="9" xfId="0" applyNumberFormat="1" applyFont="1" applyFill="1" applyBorder="1" applyAlignment="1">
      <alignment horizontal="right" vertical="center" wrapText="1"/>
    </xf>
    <xf numFmtId="3" fontId="13" fillId="3" borderId="2" xfId="0" applyNumberFormat="1" applyFont="1" applyFill="1" applyBorder="1" applyAlignment="1">
      <alignment horizontal="right" vertical="center" wrapText="1"/>
    </xf>
    <xf numFmtId="3" fontId="13" fillId="0" borderId="4" xfId="0" applyNumberFormat="1" applyFont="1" applyFill="1" applyBorder="1" applyAlignment="1">
      <alignment horizontal="right" vertical="center"/>
    </xf>
    <xf numFmtId="0" fontId="30"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3" fontId="7" fillId="2" borderId="23" xfId="0" applyNumberFormat="1" applyFont="1" applyFill="1" applyBorder="1" applyAlignment="1">
      <alignment horizontal="right" vertical="center"/>
    </xf>
    <xf numFmtId="3" fontId="9" fillId="2" borderId="23" xfId="0" applyNumberFormat="1" applyFont="1" applyFill="1" applyBorder="1" applyAlignment="1">
      <alignment horizontal="right" vertical="center" wrapText="1"/>
    </xf>
    <xf numFmtId="3" fontId="7" fillId="2" borderId="2" xfId="0" applyNumberFormat="1" applyFont="1" applyFill="1" applyBorder="1" applyAlignment="1">
      <alignment horizontal="right" vertical="center"/>
    </xf>
    <xf numFmtId="3" fontId="7" fillId="2" borderId="27" xfId="0" applyNumberFormat="1" applyFont="1" applyFill="1" applyBorder="1" applyAlignment="1">
      <alignment horizontal="right" vertical="center"/>
    </xf>
    <xf numFmtId="3" fontId="7" fillId="2" borderId="2" xfId="0" applyNumberFormat="1" applyFont="1" applyFill="1" applyBorder="1" applyAlignment="1">
      <alignment horizontal="center" vertical="center" wrapText="1"/>
    </xf>
    <xf numFmtId="49" fontId="7" fillId="2" borderId="25" xfId="0" applyNumberFormat="1" applyFont="1" applyFill="1" applyBorder="1" applyAlignment="1">
      <alignment horizontal="center" vertical="center"/>
    </xf>
    <xf numFmtId="49" fontId="7" fillId="2" borderId="23" xfId="0" applyNumberFormat="1" applyFont="1" applyFill="1" applyBorder="1" applyAlignment="1">
      <alignment horizontal="center" vertical="center"/>
    </xf>
    <xf numFmtId="0" fontId="0" fillId="0" borderId="26" xfId="0" applyFill="1" applyBorder="1" applyAlignment="1">
      <alignment horizontal="center" vertical="center"/>
    </xf>
    <xf numFmtId="3" fontId="7" fillId="0" borderId="40" xfId="0" applyNumberFormat="1" applyFont="1" applyFill="1" applyBorder="1" applyAlignment="1">
      <alignment horizontal="right" vertical="center"/>
    </xf>
    <xf numFmtId="49" fontId="7" fillId="5" borderId="33" xfId="0" applyNumberFormat="1" applyFont="1" applyFill="1" applyBorder="1" applyAlignment="1">
      <alignment horizontal="center" vertical="center" wrapText="1"/>
    </xf>
    <xf numFmtId="0" fontId="7" fillId="5" borderId="35" xfId="0" applyFont="1" applyFill="1" applyBorder="1" applyAlignment="1">
      <alignment horizontal="center" vertical="center" wrapText="1"/>
    </xf>
    <xf numFmtId="3" fontId="7" fillId="5" borderId="33" xfId="0" applyNumberFormat="1" applyFont="1" applyFill="1" applyBorder="1" applyAlignment="1">
      <alignment horizontal="right" vertical="center"/>
    </xf>
    <xf numFmtId="3" fontId="7" fillId="5" borderId="34" xfId="0" applyNumberFormat="1" applyFont="1" applyFill="1" applyBorder="1" applyAlignment="1">
      <alignment horizontal="right" vertical="center"/>
    </xf>
    <xf numFmtId="3" fontId="7" fillId="5" borderId="41" xfId="0" applyNumberFormat="1" applyFont="1" applyFill="1" applyBorder="1" applyAlignment="1">
      <alignment horizontal="right" vertical="center" wrapText="1"/>
    </xf>
    <xf numFmtId="3" fontId="7" fillId="5" borderId="35" xfId="0" applyNumberFormat="1" applyFont="1" applyFill="1" applyBorder="1" applyAlignment="1">
      <alignment horizontal="right" vertical="center" wrapText="1"/>
    </xf>
    <xf numFmtId="3" fontId="7" fillId="5" borderId="38" xfId="0" applyNumberFormat="1" applyFont="1" applyFill="1" applyBorder="1" applyAlignment="1">
      <alignment horizontal="right" vertical="center" wrapText="1"/>
    </xf>
    <xf numFmtId="3" fontId="7" fillId="5" borderId="34" xfId="0" applyNumberFormat="1" applyFont="1" applyFill="1" applyBorder="1" applyAlignment="1">
      <alignment horizontal="right" vertical="center" wrapText="1"/>
    </xf>
    <xf numFmtId="3" fontId="9" fillId="5" borderId="33" xfId="0" applyNumberFormat="1" applyFont="1" applyFill="1" applyBorder="1" applyAlignment="1">
      <alignment horizontal="right" vertical="center" wrapText="1"/>
    </xf>
    <xf numFmtId="3" fontId="7" fillId="5" borderId="38" xfId="0" applyNumberFormat="1" applyFont="1" applyFill="1" applyBorder="1" applyAlignment="1">
      <alignment horizontal="right" vertical="center"/>
    </xf>
    <xf numFmtId="3" fontId="7" fillId="5" borderId="41" xfId="0" applyNumberFormat="1" applyFont="1" applyFill="1" applyBorder="1" applyAlignment="1">
      <alignment horizontal="right" vertical="center"/>
    </xf>
    <xf numFmtId="3" fontId="7" fillId="5" borderId="26" xfId="0" applyNumberFormat="1" applyFont="1" applyFill="1" applyBorder="1" applyAlignment="1">
      <alignment horizontal="right" vertical="center"/>
    </xf>
    <xf numFmtId="3" fontId="7" fillId="5" borderId="33" xfId="0" applyNumberFormat="1" applyFont="1" applyFill="1" applyBorder="1" applyAlignment="1">
      <alignment horizontal="center" vertical="center" wrapText="1"/>
    </xf>
    <xf numFmtId="0" fontId="7" fillId="5" borderId="26" xfId="0" applyFont="1" applyFill="1" applyBorder="1" applyAlignment="1">
      <alignment horizontal="center" vertical="center"/>
    </xf>
    <xf numFmtId="49" fontId="7" fillId="5" borderId="31" xfId="0" applyNumberFormat="1" applyFont="1" applyFill="1" applyBorder="1" applyAlignment="1">
      <alignment horizontal="center" vertical="center"/>
    </xf>
    <xf numFmtId="0" fontId="7" fillId="5" borderId="31" xfId="0" applyFont="1" applyFill="1" applyBorder="1" applyAlignment="1">
      <alignment horizontal="center" vertical="center"/>
    </xf>
    <xf numFmtId="0" fontId="7" fillId="5" borderId="33" xfId="0" applyFont="1" applyFill="1" applyBorder="1" applyAlignment="1">
      <alignment horizontal="center" vertical="center"/>
    </xf>
    <xf numFmtId="49" fontId="7" fillId="5" borderId="34" xfId="0" applyNumberFormat="1" applyFont="1" applyFill="1" applyBorder="1" applyAlignment="1">
      <alignment horizontal="center" vertical="center"/>
    </xf>
    <xf numFmtId="0" fontId="7" fillId="5" borderId="34" xfId="0" applyFont="1" applyFill="1" applyBorder="1" applyAlignment="1">
      <alignment horizontal="center" vertical="center"/>
    </xf>
    <xf numFmtId="49" fontId="9" fillId="0" borderId="1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3" fontId="7" fillId="2" borderId="29" xfId="0" applyNumberFormat="1" applyFont="1" applyFill="1" applyBorder="1" applyAlignment="1">
      <alignment horizontal="right" vertical="center" wrapText="1"/>
    </xf>
    <xf numFmtId="3" fontId="7" fillId="2" borderId="34" xfId="0" applyNumberFormat="1" applyFont="1" applyFill="1" applyBorder="1" applyAlignment="1">
      <alignment horizontal="right" vertical="center" wrapText="1"/>
    </xf>
    <xf numFmtId="3" fontId="7" fillId="2" borderId="22" xfId="0" applyNumberFormat="1" applyFont="1" applyFill="1" applyBorder="1" applyAlignment="1">
      <alignment horizontal="right" vertical="center" wrapText="1"/>
    </xf>
    <xf numFmtId="3" fontId="7" fillId="2" borderId="28" xfId="0" applyNumberFormat="1" applyFont="1" applyFill="1" applyBorder="1" applyAlignment="1">
      <alignment horizontal="right" vertical="center" wrapText="1"/>
    </xf>
    <xf numFmtId="3" fontId="7" fillId="2" borderId="61" xfId="0" applyNumberFormat="1" applyFont="1" applyFill="1" applyBorder="1" applyAlignment="1">
      <alignment horizontal="right" vertical="center" wrapText="1"/>
    </xf>
    <xf numFmtId="3" fontId="9" fillId="2" borderId="58" xfId="0" applyNumberFormat="1" applyFont="1" applyFill="1" applyBorder="1" applyAlignment="1">
      <alignment horizontal="right" vertical="center" wrapText="1"/>
    </xf>
    <xf numFmtId="3" fontId="7" fillId="2" borderId="59" xfId="0" applyNumberFormat="1" applyFont="1" applyFill="1" applyBorder="1" applyAlignment="1">
      <alignment horizontal="right" vertical="center" wrapText="1"/>
    </xf>
    <xf numFmtId="3" fontId="9" fillId="2" borderId="59" xfId="0" applyNumberFormat="1" applyFont="1" applyFill="1" applyBorder="1" applyAlignment="1">
      <alignment horizontal="right" vertical="center" wrapText="1"/>
    </xf>
    <xf numFmtId="3" fontId="7" fillId="2" borderId="8" xfId="0" applyNumberFormat="1" applyFont="1" applyFill="1" applyBorder="1" applyAlignment="1">
      <alignment horizontal="right" vertical="center" wrapText="1"/>
    </xf>
    <xf numFmtId="167" fontId="9" fillId="2" borderId="23" xfId="0" applyNumberFormat="1" applyFont="1" applyFill="1" applyBorder="1" applyAlignment="1">
      <alignment horizontal="center" vertical="center" wrapText="1"/>
    </xf>
    <xf numFmtId="3" fontId="7" fillId="2" borderId="21" xfId="0" applyNumberFormat="1" applyFont="1" applyFill="1" applyBorder="1" applyAlignment="1">
      <alignment horizontal="right" vertical="center" wrapText="1"/>
    </xf>
    <xf numFmtId="3" fontId="9" fillId="2" borderId="54" xfId="0" applyNumberFormat="1" applyFont="1" applyFill="1" applyBorder="1" applyAlignment="1">
      <alignment horizontal="right" vertical="center" wrapText="1"/>
    </xf>
    <xf numFmtId="3" fontId="9" fillId="2" borderId="21" xfId="0" applyNumberFormat="1" applyFont="1" applyFill="1" applyBorder="1" applyAlignment="1">
      <alignment horizontal="right" vertical="center" wrapText="1"/>
    </xf>
    <xf numFmtId="3" fontId="12" fillId="10" borderId="26" xfId="0" applyNumberFormat="1" applyFont="1" applyFill="1" applyBorder="1" applyAlignment="1">
      <alignment horizontal="right" vertical="center" wrapText="1"/>
    </xf>
    <xf numFmtId="3" fontId="11" fillId="0" borderId="31" xfId="0" applyNumberFormat="1" applyFont="1" applyFill="1" applyBorder="1" applyAlignment="1">
      <alignment horizontal="right" vertical="center" wrapText="1"/>
    </xf>
    <xf numFmtId="3" fontId="11" fillId="0" borderId="26" xfId="0" applyNumberFormat="1" applyFont="1" applyFill="1" applyBorder="1" applyAlignment="1">
      <alignment horizontal="right" vertical="center" wrapText="1"/>
    </xf>
    <xf numFmtId="3" fontId="11" fillId="0" borderId="20" xfId="0" applyNumberFormat="1" applyFont="1" applyFill="1" applyBorder="1" applyAlignment="1">
      <alignment horizontal="right" vertical="center" wrapText="1"/>
    </xf>
    <xf numFmtId="3" fontId="12" fillId="0" borderId="54" xfId="0" applyNumberFormat="1" applyFont="1" applyFill="1" applyBorder="1" applyAlignment="1">
      <alignment horizontal="right" vertical="center" wrapText="1"/>
    </xf>
    <xf numFmtId="3" fontId="11" fillId="0" borderId="21" xfId="0" applyNumberFormat="1" applyFont="1" applyFill="1" applyBorder="1" applyAlignment="1">
      <alignment horizontal="right" vertical="center" wrapText="1"/>
    </xf>
    <xf numFmtId="3" fontId="12" fillId="0" borderId="21" xfId="0" applyNumberFormat="1" applyFont="1" applyFill="1" applyBorder="1" applyAlignment="1">
      <alignment horizontal="right" vertical="center" wrapText="1"/>
    </xf>
    <xf numFmtId="3" fontId="7" fillId="2" borderId="20" xfId="0" applyNumberFormat="1" applyFont="1" applyFill="1" applyBorder="1" applyAlignment="1">
      <alignment horizontal="right" vertical="center" wrapText="1"/>
    </xf>
    <xf numFmtId="3" fontId="9" fillId="2" borderId="26" xfId="0" applyNumberFormat="1" applyFont="1" applyFill="1" applyBorder="1" applyAlignment="1">
      <alignment horizontal="right" vertical="center" wrapText="1"/>
    </xf>
    <xf numFmtId="3" fontId="7" fillId="2" borderId="31" xfId="0" applyNumberFormat="1" applyFont="1" applyFill="1" applyBorder="1" applyAlignment="1">
      <alignment horizontal="right" vertical="center" wrapText="1"/>
    </xf>
    <xf numFmtId="3" fontId="7" fillId="2" borderId="26" xfId="0" applyNumberFormat="1" applyFont="1" applyFill="1" applyBorder="1" applyAlignment="1">
      <alignment horizontal="right" vertical="center" wrapText="1"/>
    </xf>
    <xf numFmtId="3" fontId="7" fillId="2" borderId="31" xfId="1" applyNumberFormat="1" applyFont="1" applyFill="1" applyBorder="1" applyAlignment="1">
      <alignment horizontal="right" vertical="center" wrapText="1"/>
    </xf>
    <xf numFmtId="3" fontId="7" fillId="2" borderId="26" xfId="1" applyNumberFormat="1" applyFont="1" applyFill="1" applyBorder="1" applyAlignment="1">
      <alignment horizontal="right" vertical="center" wrapText="1"/>
    </xf>
    <xf numFmtId="3" fontId="9" fillId="2" borderId="44" xfId="0" applyNumberFormat="1" applyFont="1" applyFill="1" applyBorder="1" applyAlignment="1">
      <alignment horizontal="right" vertical="center" wrapText="1"/>
    </xf>
    <xf numFmtId="3" fontId="9" fillId="2" borderId="20" xfId="0" applyNumberFormat="1" applyFont="1" applyFill="1" applyBorder="1" applyAlignment="1">
      <alignment horizontal="right" vertical="center" wrapText="1"/>
    </xf>
    <xf numFmtId="49" fontId="9" fillId="5" borderId="9" xfId="0" applyNumberFormat="1" applyFont="1" applyFill="1" applyBorder="1" applyAlignment="1">
      <alignment horizontal="center" vertical="center" wrapText="1" shrinkToFit="1"/>
    </xf>
    <xf numFmtId="2" fontId="8" fillId="5" borderId="2" xfId="0" applyNumberFormat="1" applyFont="1" applyFill="1" applyBorder="1" applyAlignment="1">
      <alignment horizontal="center" vertical="center" wrapText="1"/>
    </xf>
    <xf numFmtId="3" fontId="7" fillId="5" borderId="58" xfId="0" applyNumberFormat="1" applyFont="1" applyFill="1" applyBorder="1" applyAlignment="1">
      <alignment horizontal="right" vertical="center" wrapText="1"/>
    </xf>
    <xf numFmtId="3" fontId="7" fillId="5" borderId="59" xfId="0" applyNumberFormat="1" applyFont="1" applyFill="1" applyBorder="1" applyAlignment="1">
      <alignment horizontal="right" vertical="center" wrapText="1"/>
    </xf>
    <xf numFmtId="3" fontId="7" fillId="5" borderId="43" xfId="0" applyNumberFormat="1" applyFont="1" applyFill="1" applyBorder="1" applyAlignment="1">
      <alignment horizontal="right" vertical="center" wrapText="1"/>
    </xf>
    <xf numFmtId="3" fontId="7" fillId="5" borderId="9" xfId="0" applyNumberFormat="1" applyFont="1" applyFill="1" applyBorder="1" applyAlignment="1">
      <alignment horizontal="right" vertical="center" wrapText="1"/>
    </xf>
    <xf numFmtId="3" fontId="7" fillId="5" borderId="2" xfId="0" applyNumberFormat="1" applyFont="1" applyFill="1" applyBorder="1" applyAlignment="1">
      <alignment horizontal="right" vertical="center" wrapText="1"/>
    </xf>
    <xf numFmtId="3" fontId="7" fillId="5" borderId="8" xfId="0" applyNumberFormat="1" applyFont="1" applyFill="1" applyBorder="1" applyAlignment="1">
      <alignment horizontal="right" vertical="center" wrapText="1"/>
    </xf>
    <xf numFmtId="1" fontId="7" fillId="5" borderId="2" xfId="0" applyNumberFormat="1" applyFont="1" applyFill="1" applyBorder="1" applyAlignment="1">
      <alignment horizontal="right" vertical="center" wrapText="1"/>
    </xf>
    <xf numFmtId="3" fontId="7" fillId="5" borderId="4" xfId="0" applyNumberFormat="1" applyFont="1" applyFill="1" applyBorder="1" applyAlignment="1">
      <alignment horizontal="right" vertical="center" wrapText="1"/>
    </xf>
    <xf numFmtId="3" fontId="9" fillId="5" borderId="58" xfId="0" applyNumberFormat="1" applyFont="1" applyFill="1" applyBorder="1" applyAlignment="1">
      <alignment horizontal="right" vertical="center" wrapText="1"/>
    </xf>
    <xf numFmtId="3" fontId="9" fillId="5" borderId="59" xfId="0" applyNumberFormat="1" applyFont="1" applyFill="1" applyBorder="1" applyAlignment="1">
      <alignment horizontal="right" vertical="center" wrapText="1"/>
    </xf>
    <xf numFmtId="49" fontId="7" fillId="5" borderId="8" xfId="0" applyNumberFormat="1" applyFont="1" applyFill="1" applyBorder="1" applyAlignment="1">
      <alignment horizontal="center" vertical="center" wrapText="1"/>
    </xf>
    <xf numFmtId="3" fontId="7" fillId="0" borderId="18" xfId="1" applyNumberFormat="1" applyFont="1" applyFill="1" applyBorder="1" applyAlignment="1">
      <alignment horizontal="right" vertical="center" wrapText="1"/>
    </xf>
    <xf numFmtId="3" fontId="7" fillId="0" borderId="5" xfId="0" applyNumberFormat="1" applyFont="1" applyFill="1" applyBorder="1" applyAlignment="1">
      <alignment horizontal="right" vertical="center" wrapText="1"/>
    </xf>
    <xf numFmtId="49" fontId="12" fillId="0" borderId="23" xfId="0" applyNumberFormat="1" applyFont="1" applyFill="1" applyBorder="1" applyAlignment="1">
      <alignment horizontal="center" vertical="center" wrapText="1" shrinkToFit="1"/>
    </xf>
    <xf numFmtId="0" fontId="11" fillId="0" borderId="27" xfId="1" applyFont="1" applyFill="1" applyBorder="1" applyAlignment="1">
      <alignment horizontal="center" vertical="center" wrapText="1"/>
    </xf>
    <xf numFmtId="3" fontId="11" fillId="0" borderId="59" xfId="0" applyNumberFormat="1" applyFont="1" applyFill="1" applyBorder="1" applyAlignment="1">
      <alignment vertical="center" wrapText="1"/>
    </xf>
    <xf numFmtId="3" fontId="11" fillId="0" borderId="27" xfId="0" applyNumberFormat="1" applyFont="1" applyFill="1" applyBorder="1" applyAlignment="1">
      <alignment horizontal="right" vertical="center" wrapText="1"/>
    </xf>
    <xf numFmtId="3" fontId="11" fillId="0" borderId="2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3" fontId="9" fillId="8" borderId="18" xfId="1" applyNumberFormat="1" applyFont="1" applyFill="1" applyBorder="1" applyAlignment="1">
      <alignment vertical="center" wrapText="1"/>
    </xf>
    <xf numFmtId="49" fontId="7" fillId="0" borderId="18" xfId="0" applyNumberFormat="1" applyFont="1" applyFill="1" applyBorder="1" applyAlignment="1">
      <alignment horizontal="center" vertical="center" wrapText="1" shrinkToFit="1"/>
    </xf>
    <xf numFmtId="49" fontId="9" fillId="5" borderId="25" xfId="0"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wrapText="1" shrinkToFit="1"/>
    </xf>
    <xf numFmtId="0" fontId="7"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3" fontId="9" fillId="5" borderId="2" xfId="0" applyNumberFormat="1" applyFont="1" applyFill="1" applyBorder="1" applyAlignment="1">
      <alignment horizontal="right" vertical="center" wrapText="1"/>
    </xf>
    <xf numFmtId="49" fontId="9" fillId="5" borderId="31" xfId="0" applyNumberFormat="1" applyFont="1" applyFill="1" applyBorder="1" applyAlignment="1">
      <alignment horizontal="center" vertical="center" wrapText="1"/>
    </xf>
    <xf numFmtId="49" fontId="7" fillId="5" borderId="26" xfId="0" applyNumberFormat="1" applyFont="1" applyFill="1" applyBorder="1" applyAlignment="1">
      <alignment horizontal="center" vertical="center" wrapText="1" shrinkToFit="1"/>
    </xf>
    <xf numFmtId="0" fontId="8" fillId="5" borderId="26" xfId="0" applyFont="1" applyFill="1" applyBorder="1" applyAlignment="1">
      <alignment horizontal="center" vertical="center" wrapText="1"/>
    </xf>
    <xf numFmtId="3" fontId="7" fillId="5" borderId="44" xfId="0" applyNumberFormat="1" applyFont="1" applyFill="1" applyBorder="1" applyAlignment="1">
      <alignment horizontal="right" vertical="center" wrapText="1"/>
    </xf>
    <xf numFmtId="3" fontId="7" fillId="5" borderId="20" xfId="0" applyNumberFormat="1" applyFont="1" applyFill="1" applyBorder="1" applyAlignment="1">
      <alignment horizontal="right" vertical="center" wrapText="1"/>
    </xf>
    <xf numFmtId="3" fontId="7" fillId="5" borderId="39" xfId="0" applyNumberFormat="1" applyFont="1" applyFill="1" applyBorder="1" applyAlignment="1">
      <alignment horizontal="right" vertical="center" wrapText="1"/>
    </xf>
    <xf numFmtId="3" fontId="7" fillId="5" borderId="26" xfId="0" applyNumberFormat="1" applyFont="1" applyFill="1" applyBorder="1" applyAlignment="1">
      <alignment horizontal="right" vertical="center" wrapText="1"/>
    </xf>
    <xf numFmtId="3" fontId="9" fillId="5" borderId="26" xfId="0" applyNumberFormat="1" applyFont="1" applyFill="1" applyBorder="1" applyAlignment="1">
      <alignment horizontal="right" vertical="center" wrapText="1"/>
    </xf>
    <xf numFmtId="167" fontId="9" fillId="2" borderId="23" xfId="0" applyNumberFormat="1" applyFont="1" applyFill="1" applyBorder="1" applyAlignment="1">
      <alignment horizontal="center" vertical="center" wrapText="1" shrinkToFit="1"/>
    </xf>
    <xf numFmtId="3" fontId="9" fillId="0" borderId="30" xfId="0" applyNumberFormat="1" applyFont="1" applyFill="1" applyBorder="1" applyAlignment="1">
      <alignment horizontal="right" vertical="center"/>
    </xf>
    <xf numFmtId="3" fontId="9" fillId="2" borderId="25" xfId="0" applyNumberFormat="1" applyFont="1" applyFill="1" applyBorder="1" applyAlignment="1">
      <alignment horizontal="right" vertical="center"/>
    </xf>
    <xf numFmtId="3" fontId="9" fillId="0" borderId="31" xfId="0" applyNumberFormat="1" applyFont="1" applyFill="1" applyBorder="1" applyAlignment="1">
      <alignment horizontal="right" vertical="center"/>
    </xf>
    <xf numFmtId="3" fontId="9" fillId="5" borderId="34" xfId="0" applyNumberFormat="1" applyFont="1" applyFill="1" applyBorder="1" applyAlignment="1">
      <alignment horizontal="right" vertical="center"/>
    </xf>
    <xf numFmtId="3" fontId="28" fillId="0" borderId="15" xfId="0" applyNumberFormat="1" applyFont="1" applyFill="1" applyBorder="1" applyAlignment="1">
      <alignment horizontal="center" vertical="center"/>
    </xf>
    <xf numFmtId="3" fontId="9" fillId="5" borderId="33" xfId="0" applyNumberFormat="1" applyFont="1" applyFill="1" applyBorder="1" applyAlignment="1">
      <alignment horizontal="right" vertical="center"/>
    </xf>
    <xf numFmtId="3" fontId="28" fillId="0" borderId="13" xfId="0" applyNumberFormat="1" applyFont="1" applyFill="1" applyBorder="1" applyAlignment="1">
      <alignment horizontal="center" vertical="center"/>
    </xf>
    <xf numFmtId="0" fontId="30" fillId="5" borderId="2" xfId="0" applyFont="1" applyFill="1" applyBorder="1" applyAlignment="1">
      <alignment horizontal="center" vertical="center" wrapText="1"/>
    </xf>
    <xf numFmtId="0" fontId="26" fillId="2" borderId="0" xfId="0" applyFont="1" applyFill="1"/>
    <xf numFmtId="166" fontId="9" fillId="0" borderId="0" xfId="0" applyNumberFormat="1" applyFont="1" applyAlignment="1">
      <alignment horizontal="center" vertical="center"/>
    </xf>
    <xf numFmtId="0" fontId="10" fillId="0" borderId="0" xfId="0" applyFont="1" applyAlignment="1">
      <alignment horizontal="center" vertical="center" wrapText="1"/>
    </xf>
    <xf numFmtId="3" fontId="7" fillId="10" borderId="2" xfId="0" applyNumberFormat="1" applyFont="1" applyFill="1" applyBorder="1" applyAlignment="1">
      <alignment horizontal="right" vertical="center" wrapText="1"/>
    </xf>
    <xf numFmtId="0" fontId="30" fillId="2" borderId="24" xfId="0" applyFont="1" applyFill="1" applyBorder="1" applyAlignment="1">
      <alignment horizontal="center" vertical="center" wrapText="1"/>
    </xf>
    <xf numFmtId="3" fontId="7" fillId="2" borderId="31" xfId="0" applyNumberFormat="1" applyFont="1" applyFill="1" applyBorder="1" applyAlignment="1">
      <alignment horizontal="center" vertical="center" wrapText="1"/>
    </xf>
    <xf numFmtId="3" fontId="7" fillId="2" borderId="37" xfId="0" applyNumberFormat="1" applyFont="1" applyFill="1" applyBorder="1" applyAlignment="1">
      <alignment horizontal="right" vertical="center" wrapText="1"/>
    </xf>
    <xf numFmtId="0" fontId="23" fillId="0" borderId="24" xfId="0" applyFont="1" applyFill="1" applyBorder="1" applyAlignment="1">
      <alignment horizontal="center" vertical="center" wrapText="1"/>
    </xf>
    <xf numFmtId="0" fontId="33" fillId="0" borderId="26" xfId="1" applyFont="1" applyFill="1" applyBorder="1" applyAlignment="1">
      <alignment horizontal="center" vertical="center" wrapText="1"/>
    </xf>
    <xf numFmtId="3" fontId="12" fillId="0" borderId="20" xfId="1" applyNumberFormat="1" applyFont="1" applyFill="1" applyBorder="1" applyAlignment="1">
      <alignment vertical="center" wrapText="1"/>
    </xf>
    <xf numFmtId="3" fontId="11" fillId="0" borderId="39" xfId="0" applyNumberFormat="1" applyFont="1" applyFill="1" applyBorder="1" applyAlignment="1">
      <alignment vertical="center" wrapText="1"/>
    </xf>
    <xf numFmtId="3" fontId="11" fillId="0" borderId="31" xfId="0" applyNumberFormat="1" applyFont="1" applyFill="1" applyBorder="1" applyAlignment="1">
      <alignment horizontal="center" vertical="center" wrapText="1"/>
    </xf>
    <xf numFmtId="3" fontId="11" fillId="0" borderId="37" xfId="0" applyNumberFormat="1" applyFont="1" applyFill="1" applyBorder="1" applyAlignment="1">
      <alignment horizontal="right" vertical="center" wrapText="1"/>
    </xf>
    <xf numFmtId="0" fontId="30" fillId="2" borderId="32" xfId="0" applyFont="1" applyFill="1" applyBorder="1" applyAlignment="1">
      <alignment horizontal="center" vertical="center" wrapText="1"/>
    </xf>
    <xf numFmtId="3" fontId="9" fillId="2" borderId="36" xfId="1" applyNumberFormat="1" applyFont="1" applyFill="1" applyBorder="1" applyAlignment="1">
      <alignment vertical="center" wrapText="1"/>
    </xf>
    <xf numFmtId="3" fontId="7" fillId="2" borderId="39" xfId="0" applyNumberFormat="1" applyFont="1" applyFill="1" applyBorder="1" applyAlignment="1">
      <alignment vertical="center" wrapText="1"/>
    </xf>
    <xf numFmtId="3" fontId="9" fillId="2" borderId="25" xfId="0" applyNumberFormat="1" applyFont="1" applyFill="1" applyBorder="1" applyAlignment="1">
      <alignment vertical="center" wrapText="1"/>
    </xf>
    <xf numFmtId="3" fontId="7" fillId="2" borderId="37" xfId="0" applyNumberFormat="1" applyFont="1" applyFill="1" applyBorder="1" applyAlignment="1">
      <alignment horizontal="right" vertical="center"/>
    </xf>
    <xf numFmtId="3" fontId="7" fillId="2" borderId="24" xfId="0" applyNumberFormat="1" applyFont="1" applyFill="1" applyBorder="1" applyAlignment="1">
      <alignment horizontal="right" vertical="center"/>
    </xf>
    <xf numFmtId="0" fontId="8" fillId="2" borderId="4" xfId="1" applyFont="1" applyFill="1" applyBorder="1" applyAlignment="1">
      <alignment horizontal="center" vertical="center" wrapText="1"/>
    </xf>
    <xf numFmtId="3" fontId="7" fillId="2" borderId="59" xfId="0" applyNumberFormat="1" applyFont="1" applyFill="1" applyBorder="1" applyAlignment="1">
      <alignment vertical="center" wrapText="1"/>
    </xf>
    <xf numFmtId="3" fontId="7" fillId="2" borderId="9" xfId="0" applyNumberFormat="1" applyFont="1" applyFill="1" applyBorder="1" applyAlignment="1">
      <alignment vertical="center" wrapText="1"/>
    </xf>
    <xf numFmtId="3" fontId="7" fillId="2" borderId="33" xfId="0" applyNumberFormat="1" applyFont="1" applyFill="1" applyBorder="1" applyAlignment="1">
      <alignment horizontal="right" vertical="center" wrapText="1"/>
    </xf>
    <xf numFmtId="3" fontId="9" fillId="2" borderId="38" xfId="0" applyNumberFormat="1" applyFont="1" applyFill="1" applyBorder="1" applyAlignment="1">
      <alignment vertical="center" wrapText="1"/>
    </xf>
    <xf numFmtId="3" fontId="9" fillId="2" borderId="21" xfId="0" applyNumberFormat="1" applyFont="1" applyFill="1" applyBorder="1" applyAlignment="1">
      <alignment vertical="center" wrapText="1"/>
    </xf>
    <xf numFmtId="49" fontId="9" fillId="0" borderId="14"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xf>
    <xf numFmtId="3" fontId="7" fillId="10" borderId="18" xfId="0" applyNumberFormat="1" applyFont="1" applyFill="1" applyBorder="1" applyAlignment="1">
      <alignment horizontal="right" vertical="center" wrapText="1"/>
    </xf>
    <xf numFmtId="49" fontId="9" fillId="5" borderId="2" xfId="0" applyNumberFormat="1" applyFont="1" applyFill="1" applyBorder="1" applyAlignment="1">
      <alignment horizontal="center" vertical="center"/>
    </xf>
    <xf numFmtId="49" fontId="9" fillId="5" borderId="26" xfId="0" applyNumberFormat="1" applyFont="1" applyFill="1" applyBorder="1" applyAlignment="1">
      <alignment horizontal="center" vertical="center"/>
    </xf>
    <xf numFmtId="49" fontId="14" fillId="2" borderId="25" xfId="0" applyNumberFormat="1" applyFont="1" applyFill="1" applyBorder="1" applyAlignment="1">
      <alignment horizontal="center" vertical="center" wrapText="1"/>
    </xf>
    <xf numFmtId="0" fontId="13" fillId="2" borderId="25" xfId="1" applyFont="1" applyFill="1" applyBorder="1" applyAlignment="1">
      <alignment horizontal="center" vertical="center" wrapText="1"/>
    </xf>
    <xf numFmtId="3" fontId="13" fillId="2" borderId="59" xfId="0" applyNumberFormat="1" applyFont="1" applyFill="1" applyBorder="1" applyAlignment="1">
      <alignment horizontal="right" vertical="center" wrapText="1"/>
    </xf>
    <xf numFmtId="3" fontId="13" fillId="2" borderId="27" xfId="0" applyNumberFormat="1" applyFont="1" applyFill="1" applyBorder="1" applyAlignment="1">
      <alignment horizontal="right" vertical="center" wrapText="1"/>
    </xf>
    <xf numFmtId="49" fontId="13" fillId="2" borderId="28" xfId="0" applyNumberFormat="1"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49" fontId="14" fillId="2" borderId="31" xfId="0" applyNumberFormat="1" applyFont="1" applyFill="1" applyBorder="1" applyAlignment="1">
      <alignment horizontal="center" vertical="center" wrapText="1"/>
    </xf>
    <xf numFmtId="0" fontId="13" fillId="2" borderId="31" xfId="1" applyFont="1" applyFill="1" applyBorder="1" applyAlignment="1">
      <alignment horizontal="center" vertical="center" wrapText="1"/>
    </xf>
    <xf numFmtId="3" fontId="14" fillId="2" borderId="26" xfId="0" applyNumberFormat="1" applyFont="1" applyFill="1" applyBorder="1" applyAlignment="1">
      <alignment horizontal="right" vertical="center" wrapText="1"/>
    </xf>
    <xf numFmtId="3" fontId="13" fillId="2" borderId="26" xfId="0" applyNumberFormat="1" applyFont="1" applyFill="1" applyBorder="1" applyAlignment="1">
      <alignment horizontal="center" vertical="center" wrapText="1"/>
    </xf>
    <xf numFmtId="49" fontId="13" fillId="2" borderId="26" xfId="0" applyNumberFormat="1" applyFont="1" applyFill="1" applyBorder="1" applyAlignment="1">
      <alignment horizontal="center" vertical="center" wrapText="1" shrinkToFit="1"/>
    </xf>
    <xf numFmtId="0" fontId="31" fillId="2" borderId="26" xfId="0" applyFont="1" applyFill="1" applyBorder="1" applyAlignment="1">
      <alignment horizontal="center" vertical="center" wrapText="1"/>
    </xf>
    <xf numFmtId="3" fontId="13" fillId="2" borderId="33" xfId="0" applyNumberFormat="1" applyFont="1" applyFill="1" applyBorder="1" applyAlignment="1">
      <alignment horizontal="right" vertical="center" wrapText="1"/>
    </xf>
    <xf numFmtId="49" fontId="13" fillId="2" borderId="31" xfId="0" applyNumberFormat="1" applyFont="1" applyFill="1" applyBorder="1" applyAlignment="1">
      <alignment horizontal="center" vertical="center"/>
    </xf>
    <xf numFmtId="49" fontId="13" fillId="2" borderId="26" xfId="0" applyNumberFormat="1" applyFont="1" applyFill="1" applyBorder="1" applyAlignment="1">
      <alignment horizontal="center" vertical="center"/>
    </xf>
    <xf numFmtId="49" fontId="14" fillId="2" borderId="14" xfId="0" applyNumberFormat="1" applyFont="1" applyFill="1" applyBorder="1" applyAlignment="1">
      <alignment horizontal="center" vertical="center" wrapText="1"/>
    </xf>
    <xf numFmtId="49" fontId="13" fillId="2" borderId="14" xfId="0" applyNumberFormat="1" applyFont="1" applyFill="1" applyBorder="1" applyAlignment="1">
      <alignment horizontal="center" vertical="center" wrapText="1" shrinkToFit="1"/>
    </xf>
    <xf numFmtId="0" fontId="13" fillId="2" borderId="14"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13" fillId="2" borderId="14" xfId="1" applyFont="1" applyFill="1" applyBorder="1" applyAlignment="1">
      <alignment horizontal="center" vertical="center" wrapText="1"/>
    </xf>
    <xf numFmtId="0" fontId="21" fillId="2" borderId="14" xfId="0" applyFont="1" applyFill="1" applyBorder="1" applyAlignment="1">
      <alignment horizontal="center" vertical="center" wrapText="1"/>
    </xf>
    <xf numFmtId="3" fontId="13" fillId="2" borderId="42" xfId="0" applyNumberFormat="1" applyFont="1" applyFill="1" applyBorder="1" applyAlignment="1">
      <alignment vertical="center" wrapText="1"/>
    </xf>
    <xf numFmtId="3" fontId="14" fillId="2" borderId="13" xfId="0" applyNumberFormat="1" applyFont="1" applyFill="1" applyBorder="1" applyAlignment="1">
      <alignment horizontal="right" vertical="center" wrapText="1"/>
    </xf>
    <xf numFmtId="3" fontId="13" fillId="2" borderId="16" xfId="0" applyNumberFormat="1" applyFont="1" applyFill="1" applyBorder="1" applyAlignment="1">
      <alignment horizontal="right" vertical="center" wrapText="1"/>
    </xf>
    <xf numFmtId="0" fontId="13" fillId="2" borderId="15" xfId="0" applyFont="1" applyFill="1" applyBorder="1" applyAlignment="1">
      <alignment horizontal="center" vertical="center" wrapText="1"/>
    </xf>
    <xf numFmtId="49" fontId="13" fillId="2" borderId="15" xfId="0" applyNumberFormat="1" applyFont="1" applyFill="1" applyBorder="1" applyAlignment="1">
      <alignment horizontal="center" vertical="center"/>
    </xf>
    <xf numFmtId="49" fontId="13" fillId="2" borderId="13" xfId="0" applyNumberFormat="1" applyFont="1" applyFill="1" applyBorder="1" applyAlignment="1">
      <alignment horizontal="center" vertical="center"/>
    </xf>
    <xf numFmtId="3" fontId="11" fillId="10" borderId="32" xfId="0" applyNumberFormat="1" applyFont="1" applyFill="1" applyBorder="1" applyAlignment="1">
      <alignment horizontal="right" vertical="center" wrapText="1"/>
    </xf>
    <xf numFmtId="3" fontId="11" fillId="3" borderId="26" xfId="0" applyNumberFormat="1" applyFont="1" applyFill="1" applyBorder="1" applyAlignment="1">
      <alignment horizontal="right" vertical="center" wrapText="1"/>
    </xf>
    <xf numFmtId="3" fontId="12" fillId="0" borderId="44" xfId="0" applyNumberFormat="1" applyFont="1" applyFill="1" applyBorder="1" applyAlignment="1">
      <alignment horizontal="right" vertical="center" wrapText="1"/>
    </xf>
    <xf numFmtId="3" fontId="12" fillId="0" borderId="20" xfId="0" applyNumberFormat="1" applyFont="1" applyFill="1" applyBorder="1" applyAlignment="1">
      <alignment horizontal="right" vertical="center" wrapText="1"/>
    </xf>
    <xf numFmtId="0" fontId="7" fillId="2" borderId="25" xfId="1" applyFont="1" applyFill="1" applyBorder="1" applyAlignment="1">
      <alignment horizontal="center" vertical="center" wrapText="1"/>
    </xf>
    <xf numFmtId="3" fontId="7" fillId="2" borderId="27" xfId="0" applyNumberFormat="1" applyFont="1" applyFill="1" applyBorder="1" applyAlignment="1">
      <alignment horizontal="right" vertical="center" wrapText="1"/>
    </xf>
    <xf numFmtId="49" fontId="7" fillId="2" borderId="28" xfId="0"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0" fontId="31" fillId="0" borderId="2" xfId="0" applyFont="1" applyFill="1" applyBorder="1" applyAlignment="1">
      <alignment horizontal="center" vertical="center" wrapText="1"/>
    </xf>
    <xf numFmtId="3" fontId="13" fillId="0" borderId="4" xfId="0" applyNumberFormat="1" applyFont="1" applyFill="1" applyBorder="1" applyAlignment="1">
      <alignment vertical="center" wrapText="1"/>
    </xf>
    <xf numFmtId="0" fontId="31" fillId="0" borderId="0" xfId="0" applyFont="1" applyFill="1" applyBorder="1" applyAlignment="1">
      <alignment horizontal="center" vertical="center"/>
    </xf>
    <xf numFmtId="49" fontId="7" fillId="0" borderId="50"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xf>
    <xf numFmtId="3" fontId="35" fillId="11" borderId="46" xfId="0" applyNumberFormat="1" applyFont="1" applyFill="1" applyBorder="1" applyAlignment="1">
      <alignment horizontal="right" vertical="center"/>
    </xf>
    <xf numFmtId="0" fontId="39" fillId="7" borderId="35" xfId="0" applyFont="1" applyFill="1" applyBorder="1" applyAlignment="1">
      <alignment vertical="center"/>
    </xf>
    <xf numFmtId="3" fontId="35" fillId="7" borderId="6" xfId="0" applyNumberFormat="1" applyFont="1" applyFill="1" applyBorder="1" applyAlignment="1">
      <alignment horizontal="right" vertical="center"/>
    </xf>
    <xf numFmtId="49" fontId="9" fillId="2" borderId="13" xfId="0" applyNumberFormat="1" applyFont="1" applyFill="1" applyBorder="1" applyAlignment="1">
      <alignment horizontal="center" vertical="center"/>
    </xf>
    <xf numFmtId="49" fontId="9" fillId="2" borderId="42" xfId="0" applyNumberFormat="1" applyFont="1" applyFill="1" applyBorder="1" applyAlignment="1">
      <alignment horizontal="center" vertical="center"/>
    </xf>
    <xf numFmtId="0" fontId="7" fillId="2" borderId="13" xfId="0" applyFont="1" applyFill="1" applyBorder="1" applyAlignment="1">
      <alignment horizontal="center" vertical="center"/>
    </xf>
    <xf numFmtId="0" fontId="8" fillId="2" borderId="14" xfId="1" applyFont="1" applyFill="1" applyBorder="1" applyAlignment="1">
      <alignment horizontal="center" vertical="center" wrapText="1"/>
    </xf>
    <xf numFmtId="3" fontId="9" fillId="2" borderId="14" xfId="1" applyNumberFormat="1" applyFont="1" applyFill="1" applyBorder="1" applyAlignment="1">
      <alignment vertical="center"/>
    </xf>
    <xf numFmtId="3" fontId="9" fillId="2" borderId="30" xfId="1" applyNumberFormat="1" applyFont="1" applyFill="1" applyBorder="1" applyAlignment="1">
      <alignment vertical="center"/>
    </xf>
    <xf numFmtId="3" fontId="7" fillId="2" borderId="16" xfId="0" applyNumberFormat="1" applyFont="1" applyFill="1" applyBorder="1" applyAlignment="1">
      <alignment vertical="center" wrapText="1"/>
    </xf>
    <xf numFmtId="3" fontId="7" fillId="2" borderId="1" xfId="0" applyNumberFormat="1" applyFont="1" applyFill="1" applyBorder="1" applyAlignment="1">
      <alignment vertical="center"/>
    </xf>
    <xf numFmtId="3" fontId="7" fillId="2" borderId="14" xfId="0" applyNumberFormat="1" applyFont="1" applyFill="1" applyBorder="1" applyAlignment="1">
      <alignment vertical="center"/>
    </xf>
    <xf numFmtId="3" fontId="7" fillId="2" borderId="63" xfId="0" applyNumberFormat="1" applyFont="1" applyFill="1" applyBorder="1" applyAlignment="1">
      <alignment vertical="center"/>
    </xf>
    <xf numFmtId="3" fontId="7" fillId="2" borderId="14" xfId="0" applyNumberFormat="1" applyFont="1" applyFill="1" applyBorder="1" applyAlignment="1">
      <alignment horizontal="right" vertical="center"/>
    </xf>
    <xf numFmtId="3" fontId="7" fillId="2" borderId="16" xfId="0" applyNumberFormat="1" applyFont="1" applyFill="1" applyBorder="1" applyAlignment="1">
      <alignment horizontal="right" vertical="center"/>
    </xf>
    <xf numFmtId="3" fontId="7" fillId="2" borderId="16"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xf>
    <xf numFmtId="0" fontId="7" fillId="2" borderId="33" xfId="0" applyFont="1" applyFill="1" applyBorder="1" applyAlignment="1">
      <alignment horizontal="center" vertical="center" wrapText="1"/>
    </xf>
    <xf numFmtId="49" fontId="16" fillId="0" borderId="26" xfId="0" applyNumberFormat="1" applyFont="1" applyFill="1" applyBorder="1" applyAlignment="1">
      <alignment horizontal="center" vertical="center" wrapText="1"/>
    </xf>
    <xf numFmtId="49" fontId="16" fillId="0" borderId="26" xfId="0" applyNumberFormat="1" applyFont="1" applyFill="1" applyBorder="1" applyAlignment="1">
      <alignment horizontal="center" vertical="center" wrapText="1" shrinkToFit="1"/>
    </xf>
    <xf numFmtId="0" fontId="15" fillId="0" borderId="26"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15" fillId="0" borderId="26" xfId="1" applyFont="1" applyFill="1" applyBorder="1" applyAlignment="1">
      <alignment horizontal="center" vertical="center" wrapText="1"/>
    </xf>
    <xf numFmtId="0" fontId="41" fillId="0" borderId="32" xfId="1" applyFont="1" applyFill="1" applyBorder="1" applyAlignment="1">
      <alignment horizontal="center" vertical="center" wrapText="1"/>
    </xf>
    <xf numFmtId="3" fontId="16" fillId="0" borderId="26" xfId="1" applyNumberFormat="1" applyFont="1" applyFill="1" applyBorder="1" applyAlignment="1">
      <alignment vertical="center" wrapText="1"/>
    </xf>
    <xf numFmtId="3" fontId="16" fillId="0" borderId="23" xfId="1" applyNumberFormat="1" applyFont="1" applyFill="1" applyBorder="1" applyAlignment="1">
      <alignment horizontal="right" vertical="center" wrapText="1"/>
    </xf>
    <xf numFmtId="3" fontId="16" fillId="0" borderId="25" xfId="1" applyNumberFormat="1" applyFont="1" applyFill="1" applyBorder="1" applyAlignment="1">
      <alignment horizontal="right" vertical="center" wrapText="1"/>
    </xf>
    <xf numFmtId="3" fontId="15" fillId="0" borderId="20" xfId="0" applyNumberFormat="1" applyFont="1" applyFill="1" applyBorder="1" applyAlignment="1">
      <alignment horizontal="right" vertical="center" wrapText="1"/>
    </xf>
    <xf numFmtId="3" fontId="15" fillId="0" borderId="39" xfId="0" applyNumberFormat="1" applyFont="1" applyFill="1" applyBorder="1" applyAlignment="1">
      <alignment horizontal="right" vertical="center" wrapText="1"/>
    </xf>
    <xf numFmtId="3" fontId="15" fillId="10" borderId="24" xfId="0" applyNumberFormat="1" applyFont="1" applyFill="1" applyBorder="1" applyAlignment="1">
      <alignment horizontal="right" vertical="center" wrapText="1"/>
    </xf>
    <xf numFmtId="3" fontId="15" fillId="3" borderId="23" xfId="0" applyNumberFormat="1" applyFont="1" applyFill="1" applyBorder="1" applyAlignment="1">
      <alignment horizontal="right" vertical="center" wrapText="1"/>
    </xf>
    <xf numFmtId="3" fontId="16" fillId="10" borderId="26" xfId="0" applyNumberFormat="1" applyFont="1" applyFill="1" applyBorder="1" applyAlignment="1">
      <alignment horizontal="right" vertical="center" wrapText="1"/>
    </xf>
    <xf numFmtId="3" fontId="15" fillId="0" borderId="26" xfId="0" applyNumberFormat="1" applyFont="1" applyFill="1" applyBorder="1" applyAlignment="1">
      <alignment horizontal="right" vertical="center" wrapText="1"/>
    </xf>
    <xf numFmtId="3" fontId="15" fillId="0" borderId="31" xfId="0" applyNumberFormat="1" applyFont="1" applyFill="1" applyBorder="1" applyAlignment="1">
      <alignment horizontal="right" vertical="center" wrapText="1"/>
    </xf>
    <xf numFmtId="3" fontId="15" fillId="0" borderId="32" xfId="0" applyNumberFormat="1" applyFont="1" applyFill="1" applyBorder="1" applyAlignment="1">
      <alignment horizontal="right" vertical="center" wrapText="1"/>
    </xf>
    <xf numFmtId="3" fontId="16" fillId="0" borderId="54" xfId="0" applyNumberFormat="1" applyFont="1" applyFill="1" applyBorder="1" applyAlignment="1">
      <alignment horizontal="right" vertical="center" wrapText="1"/>
    </xf>
    <xf numFmtId="3" fontId="15" fillId="0" borderId="21" xfId="0" applyNumberFormat="1" applyFont="1" applyFill="1" applyBorder="1" applyAlignment="1">
      <alignment horizontal="right" vertical="center" wrapText="1"/>
    </xf>
    <xf numFmtId="3" fontId="16" fillId="0" borderId="21" xfId="0" applyNumberFormat="1" applyFont="1" applyFill="1" applyBorder="1" applyAlignment="1">
      <alignment horizontal="right" vertical="center" wrapText="1"/>
    </xf>
    <xf numFmtId="3" fontId="15" fillId="0" borderId="24" xfId="0" applyNumberFormat="1" applyFont="1" applyFill="1" applyBorder="1" applyAlignment="1">
      <alignment horizontal="right" vertical="center" wrapText="1"/>
    </xf>
    <xf numFmtId="0" fontId="15" fillId="0" borderId="24" xfId="0" applyFont="1" applyFill="1" applyBorder="1" applyAlignment="1">
      <alignment horizontal="center" vertical="center" wrapText="1"/>
    </xf>
    <xf numFmtId="49" fontId="15" fillId="0" borderId="37" xfId="0" applyNumberFormat="1" applyFont="1" applyFill="1" applyBorder="1" applyAlignment="1">
      <alignment horizontal="center" vertical="center" wrapText="1"/>
    </xf>
    <xf numFmtId="49" fontId="15" fillId="0" borderId="26"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0" fontId="11" fillId="0" borderId="31" xfId="0" applyFont="1" applyFill="1" applyBorder="1" applyAlignment="1">
      <alignment horizontal="center" vertical="center" wrapText="1"/>
    </xf>
    <xf numFmtId="49" fontId="42" fillId="0" borderId="26" xfId="0" applyNumberFormat="1" applyFont="1" applyFill="1" applyBorder="1" applyAlignment="1">
      <alignment horizontal="center" vertical="center" wrapText="1"/>
    </xf>
    <xf numFmtId="49" fontId="42" fillId="0" borderId="26" xfId="0" applyNumberFormat="1" applyFont="1" applyFill="1" applyBorder="1" applyAlignment="1">
      <alignment horizontal="center" vertical="center" wrapText="1" shrinkToFit="1"/>
    </xf>
    <xf numFmtId="0" fontId="43" fillId="0" borderId="26"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26" xfId="1" applyFont="1" applyFill="1" applyBorder="1" applyAlignment="1">
      <alignment horizontal="center" vertical="center" wrapText="1"/>
    </xf>
    <xf numFmtId="0" fontId="44" fillId="0" borderId="26" xfId="0" applyFont="1" applyFill="1" applyBorder="1" applyAlignment="1">
      <alignment horizontal="center" vertical="center" wrapText="1"/>
    </xf>
    <xf numFmtId="3" fontId="42" fillId="0" borderId="31" xfId="1" applyNumberFormat="1" applyFont="1" applyFill="1" applyBorder="1" applyAlignment="1">
      <alignment vertical="center" wrapText="1"/>
    </xf>
    <xf numFmtId="3" fontId="42" fillId="0" borderId="23" xfId="1" applyNumberFormat="1" applyFont="1" applyFill="1" applyBorder="1" applyAlignment="1">
      <alignment horizontal="right" vertical="center" wrapText="1"/>
    </xf>
    <xf numFmtId="3" fontId="42" fillId="0" borderId="25" xfId="1" applyNumberFormat="1" applyFont="1" applyFill="1" applyBorder="1" applyAlignment="1">
      <alignment horizontal="right" vertical="center" wrapText="1"/>
    </xf>
    <xf numFmtId="3" fontId="43" fillId="0" borderId="20" xfId="0" applyNumberFormat="1" applyFont="1" applyFill="1" applyBorder="1" applyAlignment="1">
      <alignment horizontal="right" vertical="center" wrapText="1"/>
    </xf>
    <xf numFmtId="3" fontId="43" fillId="0" borderId="32" xfId="0" applyNumberFormat="1" applyFont="1" applyFill="1" applyBorder="1" applyAlignment="1">
      <alignment horizontal="right" vertical="center" wrapText="1"/>
    </xf>
    <xf numFmtId="3" fontId="43" fillId="10" borderId="24" xfId="0" applyNumberFormat="1" applyFont="1" applyFill="1" applyBorder="1" applyAlignment="1">
      <alignment horizontal="right" vertical="center" wrapText="1"/>
    </xf>
    <xf numFmtId="3" fontId="43" fillId="3" borderId="23" xfId="0" applyNumberFormat="1" applyFont="1" applyFill="1" applyBorder="1" applyAlignment="1">
      <alignment horizontal="right" vertical="center" wrapText="1"/>
    </xf>
    <xf numFmtId="3" fontId="42" fillId="10" borderId="26" xfId="0" applyNumberFormat="1" applyFont="1" applyFill="1" applyBorder="1" applyAlignment="1">
      <alignment horizontal="right" vertical="center" wrapText="1"/>
    </xf>
    <xf numFmtId="3" fontId="43" fillId="0" borderId="31" xfId="0" applyNumberFormat="1" applyFont="1" applyFill="1" applyBorder="1" applyAlignment="1">
      <alignment horizontal="right" vertical="center" wrapText="1"/>
    </xf>
    <xf numFmtId="3" fontId="43" fillId="0" borderId="26" xfId="0" applyNumberFormat="1" applyFont="1" applyFill="1" applyBorder="1" applyAlignment="1">
      <alignment horizontal="right" vertical="center" wrapText="1"/>
    </xf>
    <xf numFmtId="3" fontId="42" fillId="0" borderId="54" xfId="0" applyNumberFormat="1" applyFont="1" applyFill="1" applyBorder="1" applyAlignment="1">
      <alignment horizontal="right" vertical="center" wrapText="1"/>
    </xf>
    <xf numFmtId="3" fontId="43" fillId="0" borderId="21" xfId="0" applyNumberFormat="1" applyFont="1" applyFill="1" applyBorder="1" applyAlignment="1">
      <alignment horizontal="right" vertical="center" wrapText="1"/>
    </xf>
    <xf numFmtId="3" fontId="42" fillId="0" borderId="21" xfId="0" applyNumberFormat="1" applyFont="1" applyFill="1" applyBorder="1" applyAlignment="1">
      <alignment horizontal="right" vertical="center" wrapText="1"/>
    </xf>
    <xf numFmtId="3" fontId="43" fillId="0" borderId="24" xfId="0" applyNumberFormat="1" applyFont="1" applyFill="1" applyBorder="1" applyAlignment="1">
      <alignment horizontal="right" vertical="center" wrapText="1"/>
    </xf>
    <xf numFmtId="0" fontId="43" fillId="0" borderId="24" xfId="0"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31" xfId="0" applyNumberFormat="1" applyFont="1" applyFill="1" applyBorder="1" applyAlignment="1">
      <alignment horizontal="center" vertical="center" wrapText="1"/>
    </xf>
    <xf numFmtId="49" fontId="43" fillId="0" borderId="26" xfId="0" applyNumberFormat="1" applyFont="1" applyFill="1" applyBorder="1" applyAlignment="1">
      <alignment horizontal="center" vertical="center" wrapText="1"/>
    </xf>
    <xf numFmtId="0" fontId="45" fillId="0" borderId="0" xfId="0" applyFont="1" applyFill="1" applyBorder="1"/>
    <xf numFmtId="167" fontId="42" fillId="0" borderId="26" xfId="0" applyNumberFormat="1" applyFont="1" applyFill="1" applyBorder="1" applyAlignment="1">
      <alignment horizontal="center" vertical="center" wrapText="1"/>
    </xf>
    <xf numFmtId="167" fontId="42" fillId="0" borderId="26" xfId="0" applyNumberFormat="1" applyFont="1" applyFill="1" applyBorder="1" applyAlignment="1">
      <alignment horizontal="center" vertical="center" wrapText="1" shrinkToFit="1"/>
    </xf>
    <xf numFmtId="0" fontId="43" fillId="0" borderId="31" xfId="0" applyFont="1" applyFill="1" applyBorder="1" applyAlignment="1">
      <alignment horizontal="center" vertical="center" wrapText="1"/>
    </xf>
    <xf numFmtId="3" fontId="42" fillId="0" borderId="44" xfId="0" applyNumberFormat="1" applyFont="1" applyFill="1" applyBorder="1" applyAlignment="1">
      <alignment horizontal="right" vertical="center" wrapText="1"/>
    </xf>
    <xf numFmtId="3" fontId="42" fillId="0" borderId="20" xfId="0" applyNumberFormat="1" applyFont="1" applyFill="1" applyBorder="1" applyAlignment="1">
      <alignment horizontal="right" vertical="center" wrapText="1"/>
    </xf>
    <xf numFmtId="0" fontId="23" fillId="0" borderId="2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33" fillId="0" borderId="32" xfId="1" applyFont="1" applyFill="1" applyBorder="1" applyAlignment="1">
      <alignment horizontal="center" vertical="center" wrapText="1"/>
    </xf>
    <xf numFmtId="3" fontId="12" fillId="0" borderId="26" xfId="1" applyNumberFormat="1" applyFont="1" applyFill="1" applyBorder="1" applyAlignment="1">
      <alignment vertical="center" wrapText="1"/>
    </xf>
    <xf numFmtId="3" fontId="11" fillId="0" borderId="37" xfId="1" applyNumberFormat="1" applyFont="1" applyFill="1" applyBorder="1" applyAlignment="1">
      <alignment horizontal="right" vertical="center" wrapText="1"/>
    </xf>
    <xf numFmtId="3" fontId="11" fillId="0" borderId="26" xfId="1" applyNumberFormat="1" applyFont="1" applyFill="1" applyBorder="1" applyAlignment="1">
      <alignment horizontal="right" vertical="center" wrapText="1"/>
    </xf>
    <xf numFmtId="49" fontId="11" fillId="0" borderId="23" xfId="0" applyNumberFormat="1" applyFont="1" applyFill="1" applyBorder="1" applyAlignment="1">
      <alignment horizontal="center" vertical="center" wrapText="1"/>
    </xf>
    <xf numFmtId="49" fontId="42" fillId="0" borderId="33" xfId="0" applyNumberFormat="1" applyFont="1" applyFill="1" applyBorder="1" applyAlignment="1">
      <alignment horizontal="center" vertical="center" wrapText="1"/>
    </xf>
    <xf numFmtId="49" fontId="42" fillId="0" borderId="33" xfId="0" applyNumberFormat="1" applyFont="1" applyFill="1" applyBorder="1" applyAlignment="1">
      <alignment horizontal="center" vertical="center" wrapText="1" shrinkToFit="1"/>
    </xf>
    <xf numFmtId="0" fontId="44" fillId="0" borderId="33" xfId="0" applyFont="1" applyFill="1" applyBorder="1" applyAlignment="1">
      <alignment horizontal="center" vertical="center" wrapText="1"/>
    </xf>
    <xf numFmtId="3" fontId="42" fillId="0" borderId="25" xfId="1" applyNumberFormat="1" applyFont="1" applyFill="1" applyBorder="1" applyAlignment="1">
      <alignment vertical="center" wrapText="1"/>
    </xf>
    <xf numFmtId="3" fontId="42" fillId="0" borderId="26" xfId="1" applyNumberFormat="1" applyFont="1" applyFill="1" applyBorder="1" applyAlignment="1">
      <alignment horizontal="right" vertical="center" wrapText="1"/>
    </xf>
    <xf numFmtId="3" fontId="42" fillId="0" borderId="33" xfId="1" applyNumberFormat="1" applyFont="1" applyFill="1" applyBorder="1" applyAlignment="1">
      <alignment horizontal="right" vertical="center" wrapText="1"/>
    </xf>
    <xf numFmtId="3" fontId="42" fillId="0" borderId="34" xfId="1" applyNumberFormat="1" applyFont="1" applyFill="1" applyBorder="1" applyAlignment="1">
      <alignment horizontal="right" vertical="center" wrapText="1"/>
    </xf>
    <xf numFmtId="3" fontId="43" fillId="0" borderId="41" xfId="0" applyNumberFormat="1" applyFont="1" applyFill="1" applyBorder="1" applyAlignment="1">
      <alignment horizontal="right" vertical="center" wrapText="1"/>
    </xf>
    <xf numFmtId="3" fontId="43" fillId="0" borderId="35" xfId="0" applyNumberFormat="1" applyFont="1" applyFill="1" applyBorder="1" applyAlignment="1">
      <alignment horizontal="right" vertical="center" wrapText="1"/>
    </xf>
    <xf numFmtId="3" fontId="42" fillId="10" borderId="23" xfId="0" applyNumberFormat="1" applyFont="1" applyFill="1" applyBorder="1" applyAlignment="1">
      <alignment horizontal="right" vertical="center" wrapText="1"/>
    </xf>
    <xf numFmtId="3" fontId="43" fillId="0" borderId="34" xfId="0" applyNumberFormat="1" applyFont="1" applyFill="1" applyBorder="1" applyAlignment="1">
      <alignment horizontal="right" vertical="center" wrapText="1"/>
    </xf>
    <xf numFmtId="3" fontId="43" fillId="0" borderId="33" xfId="0" applyNumberFormat="1" applyFont="1" applyFill="1" applyBorder="1" applyAlignment="1">
      <alignment horizontal="right" vertical="center" wrapText="1"/>
    </xf>
    <xf numFmtId="3" fontId="43" fillId="0" borderId="37" xfId="0" applyNumberFormat="1" applyFont="1" applyFill="1" applyBorder="1" applyAlignment="1">
      <alignment horizontal="right" vertical="center" wrapText="1"/>
    </xf>
    <xf numFmtId="167" fontId="42" fillId="0" borderId="33" xfId="0" applyNumberFormat="1" applyFont="1" applyFill="1" applyBorder="1" applyAlignment="1">
      <alignment horizontal="center" vertical="center" wrapText="1"/>
    </xf>
    <xf numFmtId="167" fontId="42" fillId="0" borderId="33" xfId="0" applyNumberFormat="1" applyFont="1" applyFill="1" applyBorder="1" applyAlignment="1">
      <alignment horizontal="center" vertical="center" wrapText="1" shrinkToFit="1"/>
    </xf>
    <xf numFmtId="0" fontId="43" fillId="0" borderId="33" xfId="0" applyFont="1" applyFill="1" applyBorder="1" applyAlignment="1">
      <alignment horizontal="center" vertical="center" wrapText="1"/>
    </xf>
    <xf numFmtId="0" fontId="43" fillId="0" borderId="33" xfId="1" applyFont="1" applyFill="1" applyBorder="1" applyAlignment="1">
      <alignment horizontal="center" vertical="center" wrapText="1"/>
    </xf>
    <xf numFmtId="0" fontId="44" fillId="0" borderId="33" xfId="1" applyFont="1" applyFill="1" applyBorder="1" applyAlignment="1">
      <alignment horizontal="center" vertical="center" wrapText="1"/>
    </xf>
    <xf numFmtId="3" fontId="42" fillId="0" borderId="34" xfId="1" applyNumberFormat="1" applyFont="1" applyFill="1" applyBorder="1" applyAlignment="1">
      <alignment vertical="center" wrapText="1"/>
    </xf>
    <xf numFmtId="0" fontId="7" fillId="2" borderId="37" xfId="0" applyFont="1" applyFill="1" applyBorder="1" applyAlignment="1">
      <alignment horizontal="center" vertical="center" wrapText="1"/>
    </xf>
    <xf numFmtId="0" fontId="8" fillId="2" borderId="32" xfId="0" applyFont="1" applyFill="1" applyBorder="1" applyAlignment="1">
      <alignment horizontal="center" vertical="center" wrapText="1"/>
    </xf>
    <xf numFmtId="167" fontId="9" fillId="2" borderId="13" xfId="0" applyNumberFormat="1" applyFont="1" applyFill="1" applyBorder="1" applyAlignment="1">
      <alignment horizontal="center" vertical="center" wrapText="1"/>
    </xf>
    <xf numFmtId="167" fontId="9" fillId="2" borderId="13" xfId="0" applyNumberFormat="1" applyFont="1" applyFill="1" applyBorder="1" applyAlignment="1">
      <alignment horizontal="center" vertical="center" wrapText="1" shrinkToFit="1"/>
    </xf>
    <xf numFmtId="0" fontId="7" fillId="2" borderId="13" xfId="1" applyFont="1" applyFill="1" applyBorder="1" applyAlignment="1">
      <alignment horizontal="center" vertical="center" wrapText="1"/>
    </xf>
    <xf numFmtId="0" fontId="8" fillId="2" borderId="13" xfId="0" applyFont="1" applyFill="1" applyBorder="1" applyAlignment="1">
      <alignment horizontal="center" vertical="center" wrapText="1"/>
    </xf>
    <xf numFmtId="3" fontId="9" fillId="2" borderId="15" xfId="1" applyNumberFormat="1" applyFont="1" applyFill="1" applyBorder="1" applyAlignment="1">
      <alignment vertical="center" wrapText="1"/>
    </xf>
    <xf numFmtId="3" fontId="9" fillId="2" borderId="13" xfId="1" applyNumberFormat="1" applyFont="1" applyFill="1" applyBorder="1" applyAlignment="1">
      <alignment horizontal="right" vertical="center" wrapText="1"/>
    </xf>
    <xf numFmtId="3" fontId="9" fillId="2" borderId="14" xfId="1" applyNumberFormat="1" applyFont="1" applyFill="1" applyBorder="1" applyAlignment="1">
      <alignment horizontal="right" vertical="center" wrapText="1"/>
    </xf>
    <xf numFmtId="3" fontId="9" fillId="2" borderId="30" xfId="1" applyNumberFormat="1" applyFont="1" applyFill="1" applyBorder="1" applyAlignment="1">
      <alignment horizontal="right" vertical="center" wrapText="1"/>
    </xf>
    <xf numFmtId="3" fontId="7" fillId="2" borderId="45" xfId="0" applyNumberFormat="1" applyFont="1" applyFill="1" applyBorder="1" applyAlignment="1">
      <alignment horizontal="right" vertical="center" wrapText="1"/>
    </xf>
    <xf numFmtId="3" fontId="7" fillId="2" borderId="15" xfId="0" applyNumberFormat="1" applyFont="1" applyFill="1" applyBorder="1" applyAlignment="1">
      <alignment horizontal="right" vertical="center" wrapText="1"/>
    </xf>
    <xf numFmtId="3" fontId="9" fillId="2" borderId="55" xfId="0" applyNumberFormat="1" applyFont="1" applyFill="1" applyBorder="1" applyAlignment="1">
      <alignment horizontal="right" vertical="center" wrapText="1"/>
    </xf>
    <xf numFmtId="3" fontId="9" fillId="2" borderId="45" xfId="0" applyNumberFormat="1" applyFont="1" applyFill="1" applyBorder="1" applyAlignment="1">
      <alignment horizontal="right" vertical="center" wrapText="1"/>
    </xf>
    <xf numFmtId="3" fontId="7" fillId="2" borderId="19" xfId="0" applyNumberFormat="1" applyFont="1" applyFill="1" applyBorder="1" applyAlignment="1">
      <alignment horizontal="right" vertical="center" wrapText="1"/>
    </xf>
    <xf numFmtId="49" fontId="7" fillId="2" borderId="15"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3" fontId="9" fillId="2" borderId="26" xfId="1" applyNumberFormat="1" applyFont="1" applyFill="1" applyBorder="1" applyAlignment="1">
      <alignment horizontal="right" vertical="center" wrapText="1"/>
    </xf>
    <xf numFmtId="1" fontId="7" fillId="6" borderId="3" xfId="1" applyNumberFormat="1" applyFont="1" applyFill="1" applyBorder="1" applyAlignment="1">
      <alignment horizontal="center" vertical="center" wrapText="1"/>
    </xf>
    <xf numFmtId="3" fontId="7" fillId="6" borderId="3" xfId="0" applyNumberFormat="1" applyFont="1" applyFill="1" applyBorder="1" applyAlignment="1">
      <alignment horizontal="center" vertical="center" wrapText="1" shrinkToFit="1"/>
    </xf>
    <xf numFmtId="0" fontId="7" fillId="6" borderId="3" xfId="1" applyFont="1" applyFill="1" applyBorder="1" applyAlignment="1">
      <alignment horizontal="center" vertical="center" wrapText="1"/>
    </xf>
    <xf numFmtId="0" fontId="7" fillId="6" borderId="3" xfId="0" applyFont="1" applyFill="1" applyBorder="1" applyAlignment="1">
      <alignment horizontal="center" vertical="center" wrapText="1"/>
    </xf>
    <xf numFmtId="0" fontId="10" fillId="6" borderId="11" xfId="1" applyFont="1" applyFill="1" applyBorder="1" applyAlignment="1">
      <alignment horizontal="left" vertical="center" wrapText="1"/>
    </xf>
    <xf numFmtId="3" fontId="9" fillId="6" borderId="3" xfId="1" applyNumberFormat="1" applyFont="1" applyFill="1" applyBorder="1" applyAlignment="1">
      <alignment vertical="center" wrapText="1"/>
    </xf>
    <xf numFmtId="0" fontId="9" fillId="6" borderId="11" xfId="0" applyFont="1" applyFill="1" applyBorder="1" applyAlignment="1">
      <alignment horizontal="center" vertical="center" wrapText="1"/>
    </xf>
    <xf numFmtId="49" fontId="7" fillId="6" borderId="10" xfId="0" applyNumberFormat="1" applyFont="1" applyFill="1" applyBorder="1" applyAlignment="1">
      <alignment horizontal="center" vertical="center" wrapText="1"/>
    </xf>
    <xf numFmtId="0" fontId="7" fillId="6" borderId="10" xfId="0" applyFont="1" applyFill="1" applyBorder="1" applyAlignment="1">
      <alignment horizontal="center" vertical="center" wrapText="1"/>
    </xf>
    <xf numFmtId="49" fontId="7" fillId="6" borderId="3" xfId="0" applyNumberFormat="1" applyFont="1" applyFill="1" applyBorder="1" applyAlignment="1">
      <alignment horizontal="center" vertical="center" wrapText="1"/>
    </xf>
    <xf numFmtId="3" fontId="7" fillId="0" borderId="53" xfId="0" applyNumberFormat="1" applyFont="1" applyFill="1" applyBorder="1" applyAlignment="1">
      <alignment vertical="center" wrapText="1"/>
    </xf>
    <xf numFmtId="0" fontId="7" fillId="0" borderId="36" xfId="1" applyFont="1" applyFill="1" applyBorder="1" applyAlignment="1">
      <alignment horizontal="center" vertical="center" wrapText="1"/>
    </xf>
    <xf numFmtId="3" fontId="9" fillId="0" borderId="31" xfId="0" applyNumberFormat="1" applyFont="1" applyFill="1" applyBorder="1" applyAlignment="1">
      <alignment vertical="center" wrapText="1"/>
    </xf>
    <xf numFmtId="0" fontId="8" fillId="0" borderId="4" xfId="1" applyFont="1" applyFill="1" applyBorder="1" applyAlignment="1">
      <alignment horizontal="center" vertical="center" wrapText="1"/>
    </xf>
    <xf numFmtId="3" fontId="7" fillId="0" borderId="9" xfId="0" applyNumberFormat="1" applyFont="1" applyFill="1" applyBorder="1" applyAlignment="1">
      <alignment vertical="center" wrapText="1"/>
    </xf>
    <xf numFmtId="0" fontId="7" fillId="0" borderId="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3" fontId="13" fillId="10" borderId="32" xfId="0" applyNumberFormat="1" applyFont="1" applyFill="1" applyBorder="1" applyAlignment="1">
      <alignment horizontal="right" vertical="center" wrapText="1"/>
    </xf>
    <xf numFmtId="3" fontId="13" fillId="3" borderId="26" xfId="0" applyNumberFormat="1" applyFont="1" applyFill="1" applyBorder="1" applyAlignment="1">
      <alignment horizontal="right" vertical="center" wrapText="1"/>
    </xf>
    <xf numFmtId="0" fontId="7" fillId="5" borderId="2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38" fillId="11" borderId="10" xfId="0" applyFont="1" applyFill="1" applyBorder="1" applyAlignment="1">
      <alignment vertical="center" wrapText="1"/>
    </xf>
    <xf numFmtId="3" fontId="11" fillId="0" borderId="48" xfId="0" applyNumberFormat="1" applyFont="1" applyFill="1" applyBorder="1" applyAlignment="1">
      <alignment vertical="center" wrapText="1"/>
    </xf>
    <xf numFmtId="3" fontId="11" fillId="10" borderId="2" xfId="0" applyNumberFormat="1" applyFont="1" applyFill="1" applyBorder="1" applyAlignment="1">
      <alignment horizontal="right" vertical="center" wrapText="1"/>
    </xf>
    <xf numFmtId="3" fontId="7" fillId="10" borderId="14" xfId="0" applyNumberFormat="1" applyFont="1" applyFill="1" applyBorder="1" applyAlignment="1">
      <alignment horizontal="right" vertical="center" wrapText="1"/>
    </xf>
    <xf numFmtId="0" fontId="7" fillId="5" borderId="27" xfId="0" applyFont="1" applyFill="1" applyBorder="1" applyAlignment="1">
      <alignment horizontal="center" vertical="center" wrapText="1"/>
    </xf>
    <xf numFmtId="0" fontId="7" fillId="5" borderId="37" xfId="0" applyFont="1" applyFill="1" applyBorder="1" applyAlignment="1">
      <alignment horizontal="center" vertical="center" wrapText="1"/>
    </xf>
    <xf numFmtId="4" fontId="9" fillId="12" borderId="52" xfId="0" applyNumberFormat="1" applyFont="1" applyFill="1" applyBorder="1" applyAlignment="1">
      <alignment horizontal="center" vertical="center" wrapText="1"/>
    </xf>
    <xf numFmtId="4" fontId="9" fillId="12" borderId="16" xfId="0" applyNumberFormat="1" applyFont="1" applyFill="1" applyBorder="1" applyAlignment="1">
      <alignment horizontal="center" vertical="center" wrapText="1"/>
    </xf>
    <xf numFmtId="49" fontId="9" fillId="5" borderId="23" xfId="0" applyNumberFormat="1" applyFont="1" applyFill="1" applyBorder="1" applyAlignment="1">
      <alignment horizontal="center" vertical="center" wrapText="1"/>
    </xf>
    <xf numFmtId="49" fontId="9" fillId="5" borderId="23" xfId="0" applyNumberFormat="1" applyFont="1" applyFill="1" applyBorder="1" applyAlignment="1">
      <alignment horizontal="center" vertical="center" wrapText="1" shrinkToFit="1"/>
    </xf>
    <xf numFmtId="0" fontId="7" fillId="5" borderId="24" xfId="0" applyFont="1" applyFill="1" applyBorder="1" applyAlignment="1">
      <alignment horizontal="center" vertical="center" wrapText="1"/>
    </xf>
    <xf numFmtId="0" fontId="7" fillId="5" borderId="23" xfId="1" applyFont="1" applyFill="1" applyBorder="1" applyAlignment="1">
      <alignment horizontal="center" vertical="center" wrapText="1"/>
    </xf>
    <xf numFmtId="0" fontId="8" fillId="5" borderId="23" xfId="1" applyFont="1" applyFill="1" applyBorder="1" applyAlignment="1">
      <alignment horizontal="center" vertical="center" wrapText="1"/>
    </xf>
    <xf numFmtId="3" fontId="9" fillId="5" borderId="24" xfId="1" applyNumberFormat="1" applyFont="1" applyFill="1" applyBorder="1" applyAlignment="1">
      <alignment vertical="center" wrapText="1"/>
    </xf>
    <xf numFmtId="3" fontId="9" fillId="5" borderId="23" xfId="1" applyNumberFormat="1" applyFont="1" applyFill="1" applyBorder="1" applyAlignment="1">
      <alignment horizontal="right" vertical="center" wrapText="1"/>
    </xf>
    <xf numFmtId="3" fontId="7" fillId="5" borderId="23" xfId="1" applyNumberFormat="1" applyFont="1" applyFill="1" applyBorder="1" applyAlignment="1">
      <alignment horizontal="right" vertical="center" wrapText="1"/>
    </xf>
    <xf numFmtId="3" fontId="7" fillId="5" borderId="25" xfId="1" applyNumberFormat="1" applyFont="1" applyFill="1" applyBorder="1" applyAlignment="1">
      <alignment horizontal="right" vertical="center" wrapText="1"/>
    </xf>
    <xf numFmtId="3" fontId="7" fillId="5" borderId="21" xfId="0" applyNumberFormat="1" applyFont="1" applyFill="1" applyBorder="1" applyAlignment="1">
      <alignment vertical="center" wrapText="1"/>
    </xf>
    <xf numFmtId="3" fontId="7" fillId="5" borderId="24" xfId="0" applyNumberFormat="1" applyFont="1" applyFill="1" applyBorder="1" applyAlignment="1">
      <alignment vertical="center" wrapText="1"/>
    </xf>
    <xf numFmtId="3" fontId="7" fillId="5" borderId="24" xfId="0" applyNumberFormat="1" applyFont="1" applyFill="1" applyBorder="1" applyAlignment="1">
      <alignment horizontal="right" vertical="center" wrapText="1"/>
    </xf>
    <xf numFmtId="3" fontId="9" fillId="5" borderId="23" xfId="0" applyNumberFormat="1" applyFont="1" applyFill="1" applyBorder="1" applyAlignment="1">
      <alignment horizontal="right" vertical="center" wrapText="1"/>
    </xf>
    <xf numFmtId="3" fontId="7" fillId="5" borderId="27" xfId="0" applyNumberFormat="1" applyFont="1" applyFill="1" applyBorder="1" applyAlignment="1">
      <alignment vertical="center" wrapText="1"/>
    </xf>
    <xf numFmtId="3" fontId="7" fillId="5" borderId="23" xfId="0" applyNumberFormat="1" applyFont="1" applyFill="1" applyBorder="1" applyAlignment="1">
      <alignment vertical="center" wrapText="1"/>
    </xf>
    <xf numFmtId="3" fontId="7" fillId="5" borderId="23" xfId="0" applyNumberFormat="1" applyFont="1" applyFill="1" applyBorder="1" applyAlignment="1">
      <alignment horizontal="center" vertical="center" wrapText="1"/>
    </xf>
    <xf numFmtId="3" fontId="7" fillId="5" borderId="27" xfId="0" applyNumberFormat="1" applyFont="1" applyFill="1" applyBorder="1" applyAlignment="1">
      <alignment horizontal="right" vertical="center" wrapText="1"/>
    </xf>
    <xf numFmtId="49" fontId="7" fillId="5" borderId="27" xfId="0" applyNumberFormat="1" applyFont="1" applyFill="1" applyBorder="1" applyAlignment="1">
      <alignment horizontal="center" vertical="center" wrapText="1"/>
    </xf>
    <xf numFmtId="49" fontId="7" fillId="5" borderId="25" xfId="0" applyNumberFormat="1" applyFont="1" applyFill="1" applyBorder="1" applyAlignment="1">
      <alignment horizontal="center" vertical="center" wrapText="1"/>
    </xf>
    <xf numFmtId="3" fontId="9" fillId="0" borderId="42" xfId="1" applyNumberFormat="1" applyFont="1" applyFill="1" applyBorder="1" applyAlignment="1">
      <alignment vertical="center" wrapText="1"/>
    </xf>
    <xf numFmtId="3" fontId="7" fillId="0" borderId="13" xfId="1" applyNumberFormat="1" applyFont="1" applyFill="1" applyBorder="1" applyAlignment="1">
      <alignment horizontal="right" vertical="center" wrapText="1"/>
    </xf>
    <xf numFmtId="3" fontId="7" fillId="0" borderId="15" xfId="1" applyNumberFormat="1" applyFont="1" applyFill="1" applyBorder="1" applyAlignment="1">
      <alignment horizontal="right" vertical="center" wrapText="1"/>
    </xf>
    <xf numFmtId="3" fontId="7" fillId="0" borderId="17" xfId="0" applyNumberFormat="1" applyFont="1" applyFill="1" applyBorder="1" applyAlignment="1">
      <alignment vertical="center" wrapText="1"/>
    </xf>
    <xf numFmtId="3" fontId="7" fillId="0" borderId="50" xfId="0" applyNumberFormat="1" applyFont="1" applyFill="1" applyBorder="1" applyAlignment="1">
      <alignment vertical="center" wrapText="1"/>
    </xf>
    <xf numFmtId="0" fontId="31" fillId="0" borderId="24" xfId="0" applyFont="1" applyFill="1" applyBorder="1" applyAlignment="1">
      <alignment horizontal="center" vertical="center" wrapText="1"/>
    </xf>
    <xf numFmtId="0" fontId="21" fillId="0" borderId="26" xfId="1" applyFont="1" applyFill="1" applyBorder="1" applyAlignment="1">
      <alignment horizontal="center" vertical="center" wrapText="1"/>
    </xf>
    <xf numFmtId="3" fontId="14" fillId="0" borderId="32" xfId="1" applyNumberFormat="1" applyFont="1" applyFill="1" applyBorder="1" applyAlignment="1">
      <alignment vertical="center" wrapText="1"/>
    </xf>
    <xf numFmtId="3" fontId="13" fillId="0" borderId="39" xfId="0" applyNumberFormat="1" applyFont="1" applyFill="1" applyBorder="1" applyAlignment="1">
      <alignment vertical="center" wrapText="1"/>
    </xf>
    <xf numFmtId="3" fontId="13" fillId="0" borderId="26" xfId="0" applyNumberFormat="1" applyFont="1" applyFill="1" applyBorder="1" applyAlignment="1">
      <alignment vertical="center" wrapText="1"/>
    </xf>
    <xf numFmtId="3" fontId="13" fillId="0" borderId="31" xfId="0"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6" borderId="13"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9" fillId="6" borderId="13" xfId="1" applyFont="1" applyFill="1" applyBorder="1" applyAlignment="1">
      <alignment horizontal="center" vertical="center" wrapText="1"/>
    </xf>
    <xf numFmtId="0" fontId="38" fillId="11" borderId="12" xfId="0" applyFont="1" applyFill="1" applyBorder="1" applyAlignment="1">
      <alignment horizontal="left" vertical="center" wrapText="1"/>
    </xf>
    <xf numFmtId="0" fontId="38" fillId="11" borderId="5" xfId="0" applyFont="1" applyFill="1" applyBorder="1" applyAlignment="1">
      <alignment horizontal="left" vertical="center" wrapText="1"/>
    </xf>
    <xf numFmtId="0" fontId="38" fillId="11" borderId="6" xfId="0" applyFont="1" applyFill="1" applyBorder="1" applyAlignment="1">
      <alignment horizontal="left" vertical="center" wrapText="1"/>
    </xf>
    <xf numFmtId="0" fontId="9" fillId="5" borderId="3" xfId="1" applyFont="1" applyFill="1" applyBorder="1" applyAlignment="1">
      <alignment horizontal="center" vertical="center" wrapText="1"/>
    </xf>
    <xf numFmtId="0" fontId="9" fillId="5" borderId="14" xfId="1" applyFont="1" applyFill="1" applyBorder="1" applyAlignment="1">
      <alignment horizontal="center" vertical="center" wrapText="1"/>
    </xf>
    <xf numFmtId="0" fontId="17" fillId="11" borderId="31" xfId="0" applyFont="1" applyFill="1" applyBorder="1" applyAlignment="1">
      <alignment horizontal="left" vertical="center" wrapText="1"/>
    </xf>
    <xf numFmtId="0" fontId="17" fillId="11" borderId="37" xfId="0" applyFont="1" applyFill="1" applyBorder="1" applyAlignment="1">
      <alignment horizontal="left" vertical="center" wrapText="1"/>
    </xf>
    <xf numFmtId="0" fontId="17" fillId="11" borderId="32" xfId="0" applyFont="1" applyFill="1" applyBorder="1" applyAlignment="1">
      <alignment horizontal="left" vertical="center" wrapText="1"/>
    </xf>
    <xf numFmtId="0" fontId="17" fillId="11" borderId="4" xfId="0" applyFont="1" applyFill="1" applyBorder="1" applyAlignment="1">
      <alignment horizontal="left" vertical="center" wrapText="1"/>
    </xf>
    <xf numFmtId="0" fontId="17" fillId="11" borderId="8" xfId="0" applyFont="1" applyFill="1" applyBorder="1" applyAlignment="1">
      <alignment horizontal="left" vertical="center" wrapText="1"/>
    </xf>
    <xf numFmtId="0" fontId="17" fillId="11" borderId="9" xfId="0" applyFont="1" applyFill="1" applyBorder="1" applyAlignment="1">
      <alignment horizontal="left" vertical="center" wrapText="1"/>
    </xf>
    <xf numFmtId="0" fontId="19" fillId="0" borderId="12"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7" fillId="11" borderId="34" xfId="0" applyFont="1" applyFill="1" applyBorder="1" applyAlignment="1">
      <alignment horizontal="left" vertical="center" wrapText="1"/>
    </xf>
    <xf numFmtId="0" fontId="17" fillId="11" borderId="38" xfId="0" applyFont="1" applyFill="1" applyBorder="1" applyAlignment="1">
      <alignment horizontal="left" vertical="center" wrapText="1"/>
    </xf>
    <xf numFmtId="0" fontId="17" fillId="11" borderId="35" xfId="0" applyFont="1" applyFill="1" applyBorder="1" applyAlignment="1">
      <alignment horizontal="left" vertical="center" wrapText="1"/>
    </xf>
    <xf numFmtId="4" fontId="9" fillId="9" borderId="2" xfId="0" applyNumberFormat="1" applyFont="1" applyFill="1" applyBorder="1" applyAlignment="1">
      <alignment horizontal="center" vertical="center" wrapText="1"/>
    </xf>
    <xf numFmtId="4" fontId="9" fillId="9" borderId="13"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4" borderId="3" xfId="1" applyFont="1" applyFill="1" applyBorder="1" applyAlignment="1">
      <alignment horizontal="center" vertical="center" wrapText="1"/>
    </xf>
    <xf numFmtId="0" fontId="9" fillId="4" borderId="14" xfId="1" applyFont="1" applyFill="1" applyBorder="1" applyAlignment="1">
      <alignment horizontal="center" vertical="center" wrapText="1"/>
    </xf>
    <xf numFmtId="3" fontId="9" fillId="10" borderId="12" xfId="0" applyNumberFormat="1" applyFont="1" applyFill="1" applyBorder="1" applyAlignment="1">
      <alignment horizontal="center" vertical="center"/>
    </xf>
    <xf numFmtId="3" fontId="9" fillId="10" borderId="5" xfId="0" applyNumberFormat="1" applyFont="1" applyFill="1" applyBorder="1" applyAlignment="1">
      <alignment horizontal="center" vertical="center"/>
    </xf>
    <xf numFmtId="3" fontId="9" fillId="10" borderId="6" xfId="0" applyNumberFormat="1" applyFont="1" applyFill="1" applyBorder="1" applyAlignment="1">
      <alignment horizontal="center" vertical="center"/>
    </xf>
    <xf numFmtId="4" fontId="9" fillId="12" borderId="5" xfId="0" applyNumberFormat="1" applyFont="1" applyFill="1" applyBorder="1" applyAlignment="1">
      <alignment horizontal="center" vertical="center" wrapText="1"/>
    </xf>
    <xf numFmtId="4" fontId="9" fillId="12" borderId="6" xfId="0" applyNumberFormat="1" applyFont="1" applyFill="1" applyBorder="1" applyAlignment="1">
      <alignment horizontal="center" vertical="center" wrapText="1"/>
    </xf>
    <xf numFmtId="4" fontId="9" fillId="7" borderId="12" xfId="0" applyNumberFormat="1" applyFont="1" applyFill="1" applyBorder="1" applyAlignment="1">
      <alignment horizontal="center" vertical="center" wrapText="1"/>
    </xf>
    <xf numFmtId="4" fontId="9" fillId="7" borderId="5" xfId="0" applyNumberFormat="1" applyFont="1" applyFill="1" applyBorder="1" applyAlignment="1">
      <alignment horizontal="center" vertical="center" wrapText="1"/>
    </xf>
    <xf numFmtId="4" fontId="9" fillId="7" borderId="6"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9" fillId="2" borderId="55" xfId="0" applyNumberFormat="1" applyFont="1" applyFill="1" applyBorder="1" applyAlignment="1">
      <alignment horizontal="center" vertical="center" wrapText="1"/>
    </xf>
    <xf numFmtId="49" fontId="9" fillId="2" borderId="45" xfId="0" applyNumberFormat="1" applyFont="1" applyFill="1" applyBorder="1" applyAlignment="1">
      <alignment horizontal="center" vertical="center" wrapText="1"/>
    </xf>
    <xf numFmtId="49" fontId="9" fillId="2" borderId="17" xfId="0" applyNumberFormat="1" applyFont="1" applyFill="1" applyBorder="1" applyAlignment="1">
      <alignment horizontal="center" vertical="center" wrapText="1"/>
    </xf>
    <xf numFmtId="49" fontId="16" fillId="0" borderId="44"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wrapText="1"/>
    </xf>
    <xf numFmtId="49" fontId="16" fillId="0" borderId="39" xfId="0" applyNumberFormat="1" applyFont="1" applyFill="1" applyBorder="1" applyAlignment="1">
      <alignment horizontal="center" vertical="center" wrapText="1"/>
    </xf>
    <xf numFmtId="49" fontId="14" fillId="0" borderId="44"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14" fillId="0" borderId="39" xfId="0" applyNumberFormat="1" applyFont="1" applyFill="1" applyBorder="1" applyAlignment="1">
      <alignment horizontal="center" vertical="center" wrapText="1"/>
    </xf>
    <xf numFmtId="49" fontId="12" fillId="0" borderId="44" xfId="0" applyNumberFormat="1" applyFont="1" applyBorder="1" applyAlignment="1">
      <alignment horizontal="center" vertical="center"/>
    </xf>
    <xf numFmtId="49" fontId="12" fillId="0" borderId="20" xfId="0" applyNumberFormat="1" applyFont="1" applyFill="1" applyBorder="1" applyAlignment="1">
      <alignment horizontal="center" vertical="center"/>
    </xf>
    <xf numFmtId="49" fontId="12" fillId="0" borderId="20" xfId="0" applyNumberFormat="1" applyFont="1" applyFill="1" applyBorder="1" applyAlignment="1">
      <alignment horizontal="center" vertical="center" wrapText="1"/>
    </xf>
    <xf numFmtId="49" fontId="12" fillId="0" borderId="39" xfId="0" applyNumberFormat="1" applyFont="1" applyFill="1" applyBorder="1" applyAlignment="1">
      <alignment horizontal="center" vertical="center" wrapText="1"/>
    </xf>
    <xf numFmtId="49" fontId="9" fillId="5" borderId="44"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5" borderId="20" xfId="0" applyNumberFormat="1" applyFont="1" applyFill="1" applyBorder="1" applyAlignment="1">
      <alignment horizontal="center" vertical="center"/>
    </xf>
    <xf numFmtId="49" fontId="9" fillId="5" borderId="39" xfId="0" applyNumberFormat="1" applyFont="1" applyFill="1" applyBorder="1" applyAlignment="1">
      <alignment horizontal="center" vertical="center"/>
    </xf>
    <xf numFmtId="0" fontId="9" fillId="6" borderId="3" xfId="0" applyFont="1" applyFill="1" applyBorder="1" applyAlignment="1">
      <alignment horizontal="center" vertical="center" wrapText="1"/>
    </xf>
    <xf numFmtId="0" fontId="9" fillId="6" borderId="14" xfId="0" applyFont="1" applyFill="1" applyBorder="1" applyAlignment="1">
      <alignment horizontal="center" vertical="center" wrapText="1"/>
    </xf>
    <xf numFmtId="3" fontId="10" fillId="6" borderId="12" xfId="1" applyNumberFormat="1" applyFont="1" applyFill="1" applyBorder="1" applyAlignment="1">
      <alignment horizontal="center" vertical="center"/>
    </xf>
    <xf numFmtId="3" fontId="10" fillId="6" borderId="5" xfId="1" applyNumberFormat="1" applyFont="1" applyFill="1" applyBorder="1" applyAlignment="1">
      <alignment horizontal="center" vertical="center"/>
    </xf>
    <xf numFmtId="3" fontId="10" fillId="6" borderId="6" xfId="1" applyNumberFormat="1" applyFont="1" applyFill="1" applyBorder="1" applyAlignment="1">
      <alignment horizontal="center" vertical="center"/>
    </xf>
    <xf numFmtId="167" fontId="9" fillId="6" borderId="2" xfId="0" applyNumberFormat="1" applyFont="1" applyFill="1" applyBorder="1" applyAlignment="1">
      <alignment horizontal="center" vertical="center" wrapText="1"/>
    </xf>
    <xf numFmtId="167" fontId="9" fillId="6" borderId="13" xfId="0" applyNumberFormat="1" applyFont="1" applyFill="1" applyBorder="1" applyAlignment="1">
      <alignment horizontal="center" vertical="center" wrapText="1"/>
    </xf>
    <xf numFmtId="167" fontId="18" fillId="0" borderId="10" xfId="0" applyNumberFormat="1" applyFont="1" applyBorder="1" applyAlignment="1">
      <alignment horizontal="center" vertical="center"/>
    </xf>
    <xf numFmtId="167" fontId="18" fillId="0" borderId="7" xfId="0" applyNumberFormat="1" applyFont="1" applyFill="1" applyBorder="1" applyAlignment="1">
      <alignment horizontal="center" vertical="center"/>
    </xf>
    <xf numFmtId="49" fontId="18" fillId="0" borderId="7"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9" fillId="6" borderId="3" xfId="0" applyNumberFormat="1" applyFont="1" applyFill="1" applyBorder="1" applyAlignment="1">
      <alignment horizontal="center" vertical="center" wrapText="1"/>
    </xf>
    <xf numFmtId="49" fontId="9" fillId="6" borderId="14" xfId="0" applyNumberFormat="1" applyFont="1" applyFill="1" applyBorder="1" applyAlignment="1">
      <alignment horizontal="center" vertical="center" wrapText="1"/>
    </xf>
    <xf numFmtId="49" fontId="9" fillId="6" borderId="10" xfId="0" applyNumberFormat="1" applyFont="1" applyFill="1" applyBorder="1" applyAlignment="1">
      <alignment horizontal="center" vertical="center" wrapText="1"/>
    </xf>
    <xf numFmtId="49" fontId="9" fillId="6" borderId="30" xfId="0" applyNumberFormat="1" applyFont="1" applyFill="1" applyBorder="1" applyAlignment="1">
      <alignment horizontal="center" vertical="center" wrapText="1"/>
    </xf>
    <xf numFmtId="4" fontId="9" fillId="6" borderId="10" xfId="0" applyNumberFormat="1" applyFont="1" applyFill="1" applyBorder="1" applyAlignment="1">
      <alignment horizontal="center" vertical="center" wrapText="1"/>
    </xf>
    <xf numFmtId="4" fontId="9" fillId="6" borderId="7" xfId="0" applyNumberFormat="1" applyFont="1" applyFill="1" applyBorder="1" applyAlignment="1">
      <alignment horizontal="center" vertical="center" wrapText="1"/>
    </xf>
    <xf numFmtId="4" fontId="9" fillId="6" borderId="11" xfId="0" applyNumberFormat="1" applyFont="1" applyFill="1" applyBorder="1" applyAlignment="1">
      <alignment horizontal="center" vertical="center" wrapText="1"/>
    </xf>
  </cellXfs>
  <cellStyles count="26">
    <cellStyle name="Čárka 2" xfId="10" xr:uid="{00000000-0005-0000-0000-000000000000}"/>
    <cellStyle name="Čárka 2 2" xfId="15" xr:uid="{00000000-0005-0000-0000-000001000000}"/>
    <cellStyle name="Čárka 2 2 2" xfId="24" xr:uid="{00000000-0005-0000-0000-000002000000}"/>
    <cellStyle name="Čárka 2 3" xfId="9" xr:uid="{00000000-0005-0000-0000-000003000000}"/>
    <cellStyle name="Čárka 2 3 2" xfId="19" xr:uid="{00000000-0005-0000-0000-000004000000}"/>
    <cellStyle name="Čárka 2 4" xfId="20" xr:uid="{00000000-0005-0000-0000-000005000000}"/>
    <cellStyle name="Header" xfId="12" xr:uid="{00000000-0005-0000-0000-000006000000}"/>
    <cellStyle name="Normální" xfId="0" builtinId="0"/>
    <cellStyle name="Normální 10" xfId="4" xr:uid="{00000000-0005-0000-0000-000008000000}"/>
    <cellStyle name="Normální 10 2" xfId="13" xr:uid="{00000000-0005-0000-0000-000009000000}"/>
    <cellStyle name="Normální 10 2 2" xfId="22" xr:uid="{00000000-0005-0000-0000-00000A000000}"/>
    <cellStyle name="Normální 10 3" xfId="17" xr:uid="{00000000-0005-0000-0000-00000B000000}"/>
    <cellStyle name="Normální 2" xfId="2" xr:uid="{00000000-0005-0000-0000-00000C000000}"/>
    <cellStyle name="Normální 2 123 2" xfId="7" xr:uid="{00000000-0005-0000-0000-00000D000000}"/>
    <cellStyle name="Normální 2 123 2 2" xfId="14" xr:uid="{00000000-0005-0000-0000-00000E000000}"/>
    <cellStyle name="Normální 2 123 2 2 2" xfId="23" xr:uid="{00000000-0005-0000-0000-00000F000000}"/>
    <cellStyle name="Normální 2 123 2 3" xfId="18" xr:uid="{00000000-0005-0000-0000-000010000000}"/>
    <cellStyle name="Normální 2 2" xfId="8" xr:uid="{00000000-0005-0000-0000-000011000000}"/>
    <cellStyle name="Normální 3" xfId="11" xr:uid="{00000000-0005-0000-0000-000012000000}"/>
    <cellStyle name="Normální 3 2" xfId="16" xr:uid="{00000000-0005-0000-0000-000013000000}"/>
    <cellStyle name="Normální 3 2 2" xfId="25" xr:uid="{00000000-0005-0000-0000-000014000000}"/>
    <cellStyle name="Normální 3 3" xfId="21" xr:uid="{00000000-0005-0000-0000-000015000000}"/>
    <cellStyle name="Normální 31" xfId="6" xr:uid="{00000000-0005-0000-0000-000016000000}"/>
    <cellStyle name="Normální 5" xfId="5" xr:uid="{00000000-0005-0000-0000-000017000000}"/>
    <cellStyle name="normální_List1" xfId="1" xr:uid="{00000000-0005-0000-0000-000018000000}"/>
    <cellStyle name="normální_t 01" xfId="3" xr:uid="{00000000-0005-0000-0000-000019000000}"/>
  </cellStyles>
  <dxfs count="0"/>
  <tableStyles count="0" defaultTableStyle="TableStyleMedium2" defaultPivotStyle="PivotStyleLight16"/>
  <colors>
    <mruColors>
      <color rgb="FF0000FB"/>
      <color rgb="FFFFFF66"/>
      <color rgb="FFFFFF99"/>
      <color rgb="FFE4DFEC"/>
      <color rgb="FFF385C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16"/>
  <sheetViews>
    <sheetView tabSelected="1" zoomScale="80" zoomScaleNormal="80" workbookViewId="0">
      <pane xSplit="2" ySplit="4" topLeftCell="J5" activePane="bottomRight" state="frozen"/>
      <selection pane="topRight" activeCell="C1" sqref="C1"/>
      <selection pane="bottomLeft" activeCell="A5" sqref="A5"/>
      <selection pane="bottomRight" activeCell="A5" sqref="A5"/>
    </sheetView>
  </sheetViews>
  <sheetFormatPr defaultColWidth="9.140625" defaultRowHeight="15" x14ac:dyDescent="0.25"/>
  <cols>
    <col min="1" max="1" width="15.140625" customWidth="1"/>
    <col min="2" max="2" width="8.85546875" customWidth="1"/>
    <col min="3" max="3" width="5.42578125" customWidth="1"/>
    <col min="4" max="4" width="32.7109375" style="511" customWidth="1"/>
    <col min="5" max="6" width="36.42578125" style="877" customWidth="1"/>
    <col min="7" max="7" width="52.42578125" style="877" customWidth="1"/>
    <col min="8" max="8" width="10.7109375" customWidth="1"/>
    <col min="9" max="9" width="10" customWidth="1"/>
    <col min="10" max="10" width="8.28515625" style="261" customWidth="1"/>
    <col min="11" max="12" width="8.5703125" style="261" customWidth="1"/>
    <col min="13" max="13" width="8" customWidth="1"/>
    <col min="14" max="14" width="9.7109375" customWidth="1"/>
    <col min="15" max="15" width="11.28515625" style="268" customWidth="1"/>
    <col min="16" max="16" width="9.140625" style="268" customWidth="1"/>
    <col min="17" max="17" width="10.28515625" style="991" customWidth="1"/>
    <col min="18" max="19" width="9.7109375" customWidth="1"/>
    <col min="20" max="20" width="9.28515625" customWidth="1"/>
    <col min="21" max="21" width="7.28515625" customWidth="1"/>
    <col min="22" max="22" width="8.7109375" customWidth="1"/>
    <col min="23" max="23" width="9.7109375" style="143" customWidth="1"/>
    <col min="24" max="25" width="8.85546875" style="143" customWidth="1"/>
    <col min="26" max="26" width="9.5703125" style="143" customWidth="1"/>
    <col min="27" max="27" width="61.7109375" style="512" customWidth="1"/>
    <col min="28" max="28" width="13.5703125" customWidth="1"/>
    <col min="29" max="29" width="11" customWidth="1"/>
    <col min="30" max="30" width="9.7109375" customWidth="1"/>
    <col min="31" max="31" width="9.5703125" customWidth="1"/>
    <col min="32" max="32" width="5.28515625" customWidth="1"/>
    <col min="33" max="16384" width="9.140625" style="295"/>
  </cols>
  <sheetData>
    <row r="1" spans="1:32" s="834" customFormat="1" ht="48" customHeight="1" thickBot="1" x14ac:dyDescent="0.3">
      <c r="A1" s="828"/>
      <c r="B1" s="828"/>
      <c r="C1" s="828"/>
      <c r="D1" s="829" t="s">
        <v>929</v>
      </c>
      <c r="E1" s="872"/>
      <c r="F1" s="872"/>
      <c r="G1" s="872"/>
      <c r="H1" s="828"/>
      <c r="I1" s="828"/>
      <c r="J1" s="1150"/>
      <c r="K1" s="1150"/>
      <c r="L1" s="1150"/>
      <c r="M1" s="828"/>
      <c r="N1" s="828"/>
      <c r="O1" s="833"/>
      <c r="P1" s="833"/>
      <c r="Q1" s="987"/>
      <c r="R1" s="828"/>
      <c r="S1" s="828"/>
      <c r="T1" s="828"/>
      <c r="U1" s="828"/>
      <c r="V1" s="828"/>
      <c r="W1" s="830"/>
      <c r="X1" s="830"/>
      <c r="Y1" s="830"/>
      <c r="Z1" s="830"/>
      <c r="AA1" s="831"/>
      <c r="AB1" s="828"/>
      <c r="AC1" s="832" t="s">
        <v>0</v>
      </c>
      <c r="AD1" s="828"/>
      <c r="AE1" s="828"/>
      <c r="AF1" s="828"/>
    </row>
    <row r="2" spans="1:32" s="834" customFormat="1" ht="23.25" customHeight="1" thickBot="1" x14ac:dyDescent="0.3">
      <c r="A2" s="1458" t="s">
        <v>879</v>
      </c>
      <c r="B2" s="1458" t="s">
        <v>1</v>
      </c>
      <c r="C2" s="1420" t="s">
        <v>550</v>
      </c>
      <c r="D2" s="1453" t="s">
        <v>551</v>
      </c>
      <c r="E2" s="1399" t="s">
        <v>2</v>
      </c>
      <c r="F2" s="1399" t="s">
        <v>3</v>
      </c>
      <c r="G2" s="1397" t="s">
        <v>4</v>
      </c>
      <c r="H2" s="1399" t="s">
        <v>5</v>
      </c>
      <c r="I2" s="1422" t="s">
        <v>810</v>
      </c>
      <c r="J2" s="1404" t="s">
        <v>869</v>
      </c>
      <c r="K2" s="1404" t="s">
        <v>988</v>
      </c>
      <c r="L2" s="1404" t="s">
        <v>1044</v>
      </c>
      <c r="M2" s="1427" t="s">
        <v>1041</v>
      </c>
      <c r="N2" s="1428"/>
      <c r="O2" s="1424" t="s">
        <v>815</v>
      </c>
      <c r="P2" s="1425"/>
      <c r="Q2" s="1426"/>
      <c r="R2" s="1418" t="s">
        <v>876</v>
      </c>
      <c r="S2" s="1418" t="s">
        <v>877</v>
      </c>
      <c r="T2" s="1468" t="s">
        <v>6</v>
      </c>
      <c r="U2" s="1469"/>
      <c r="V2" s="1470"/>
      <c r="W2" s="1429" t="s">
        <v>811</v>
      </c>
      <c r="X2" s="1430"/>
      <c r="Y2" s="1430"/>
      <c r="Z2" s="1431"/>
      <c r="AA2" s="1420" t="s">
        <v>1042</v>
      </c>
      <c r="AB2" s="1453" t="s">
        <v>682</v>
      </c>
      <c r="AC2" s="1464" t="s">
        <v>546</v>
      </c>
      <c r="AD2" s="1466" t="s">
        <v>325</v>
      </c>
      <c r="AE2" s="1464" t="s">
        <v>326</v>
      </c>
      <c r="AF2" s="1464" t="s">
        <v>1043</v>
      </c>
    </row>
    <row r="3" spans="1:32" s="834" customFormat="1" ht="84" customHeight="1" thickBot="1" x14ac:dyDescent="0.3">
      <c r="A3" s="1459"/>
      <c r="B3" s="1459"/>
      <c r="C3" s="1421"/>
      <c r="D3" s="1454"/>
      <c r="E3" s="1400"/>
      <c r="F3" s="1400"/>
      <c r="G3" s="1398"/>
      <c r="H3" s="1400"/>
      <c r="I3" s="1423"/>
      <c r="J3" s="1405"/>
      <c r="K3" s="1405"/>
      <c r="L3" s="1405"/>
      <c r="M3" s="1365" t="s">
        <v>547</v>
      </c>
      <c r="N3" s="1366" t="s">
        <v>548</v>
      </c>
      <c r="O3" s="988" t="s">
        <v>933</v>
      </c>
      <c r="P3" s="989" t="s">
        <v>932</v>
      </c>
      <c r="Q3" s="990" t="s">
        <v>934</v>
      </c>
      <c r="R3" s="1419"/>
      <c r="S3" s="1419"/>
      <c r="T3" s="111" t="s">
        <v>427</v>
      </c>
      <c r="U3" s="111" t="s">
        <v>743</v>
      </c>
      <c r="V3" s="639" t="s">
        <v>426</v>
      </c>
      <c r="W3" s="816" t="s">
        <v>361</v>
      </c>
      <c r="X3" s="817" t="s">
        <v>812</v>
      </c>
      <c r="Y3" s="817" t="s">
        <v>813</v>
      </c>
      <c r="Z3" s="817" t="s">
        <v>814</v>
      </c>
      <c r="AA3" s="1421"/>
      <c r="AB3" s="1454"/>
      <c r="AC3" s="1465"/>
      <c r="AD3" s="1467"/>
      <c r="AE3" s="1465"/>
      <c r="AF3" s="1465"/>
    </row>
    <row r="4" spans="1:32" s="721" customFormat="1" ht="16.5" customHeight="1" thickBot="1" x14ac:dyDescent="0.3">
      <c r="A4" s="384"/>
      <c r="B4" s="384"/>
      <c r="C4" s="387"/>
      <c r="D4" s="913" t="s">
        <v>221</v>
      </c>
      <c r="E4" s="646"/>
      <c r="F4" s="860" t="s">
        <v>221</v>
      </c>
      <c r="G4" s="647" t="s">
        <v>221</v>
      </c>
      <c r="H4" s="646"/>
      <c r="I4" s="376"/>
      <c r="J4" s="376"/>
      <c r="K4" s="376"/>
      <c r="L4" s="385"/>
      <c r="M4" s="377"/>
      <c r="N4" s="378"/>
      <c r="O4" s="445"/>
      <c r="P4" s="747"/>
      <c r="Q4" s="453"/>
      <c r="R4" s="649"/>
      <c r="S4" s="379"/>
      <c r="T4" s="649"/>
      <c r="U4" s="648"/>
      <c r="V4" s="649"/>
      <c r="W4" s="650"/>
      <c r="X4" s="651"/>
      <c r="Y4" s="651"/>
      <c r="Z4" s="651"/>
      <c r="AA4" s="577"/>
      <c r="AB4" s="387"/>
      <c r="AC4" s="652"/>
      <c r="AD4" s="653"/>
      <c r="AE4" s="653"/>
      <c r="AF4" s="859"/>
    </row>
    <row r="5" spans="1:32" s="723" customFormat="1" ht="60" x14ac:dyDescent="0.25">
      <c r="A5" s="1180" t="s">
        <v>7</v>
      </c>
      <c r="B5" s="617" t="s">
        <v>8</v>
      </c>
      <c r="C5" s="615">
        <v>2016</v>
      </c>
      <c r="D5" s="535" t="s">
        <v>9</v>
      </c>
      <c r="E5" s="1181" t="s">
        <v>10</v>
      </c>
      <c r="F5" s="616" t="s">
        <v>10</v>
      </c>
      <c r="G5" s="554" t="s">
        <v>11</v>
      </c>
      <c r="H5" s="618">
        <v>13246.315280000001</v>
      </c>
      <c r="I5" s="618">
        <v>13246.315280000001</v>
      </c>
      <c r="J5" s="618">
        <v>0</v>
      </c>
      <c r="K5" s="618">
        <v>0</v>
      </c>
      <c r="L5" s="612">
        <v>0</v>
      </c>
      <c r="M5" s="1182">
        <v>0</v>
      </c>
      <c r="N5" s="613">
        <v>0</v>
      </c>
      <c r="O5" s="638">
        <v>2253.6847200000002</v>
      </c>
      <c r="P5" s="619">
        <v>-2253.6847200000002</v>
      </c>
      <c r="Q5" s="978">
        <f>O5+P5</f>
        <v>0</v>
      </c>
      <c r="R5" s="1183">
        <v>0</v>
      </c>
      <c r="S5" s="619">
        <v>0</v>
      </c>
      <c r="T5" s="538">
        <v>0</v>
      </c>
      <c r="U5" s="614">
        <v>0</v>
      </c>
      <c r="V5" s="538">
        <v>0</v>
      </c>
      <c r="W5" s="619">
        <v>0</v>
      </c>
      <c r="X5" s="638">
        <v>0</v>
      </c>
      <c r="Y5" s="638">
        <v>0</v>
      </c>
      <c r="Z5" s="638">
        <v>0</v>
      </c>
      <c r="AA5" s="367" t="s">
        <v>938</v>
      </c>
      <c r="AB5" s="535" t="s">
        <v>352</v>
      </c>
      <c r="AC5" s="1184" t="s">
        <v>322</v>
      </c>
      <c r="AD5" s="1185" t="s">
        <v>339</v>
      </c>
      <c r="AE5" s="1185" t="s">
        <v>339</v>
      </c>
      <c r="AF5" s="594" t="s">
        <v>363</v>
      </c>
    </row>
    <row r="6" spans="1:32" s="724" customFormat="1" ht="25.5" x14ac:dyDescent="0.25">
      <c r="A6" s="1186" t="s">
        <v>13</v>
      </c>
      <c r="B6" s="590" t="s">
        <v>318</v>
      </c>
      <c r="C6" s="501">
        <v>2018</v>
      </c>
      <c r="D6" s="501" t="s">
        <v>327</v>
      </c>
      <c r="E6" s="1187" t="s">
        <v>10</v>
      </c>
      <c r="F6" s="591" t="s">
        <v>10</v>
      </c>
      <c r="G6" s="536" t="s">
        <v>14</v>
      </c>
      <c r="H6" s="356">
        <v>1980.77</v>
      </c>
      <c r="I6" s="356">
        <v>1520.97</v>
      </c>
      <c r="J6" s="356">
        <v>459.8</v>
      </c>
      <c r="K6" s="356">
        <v>0</v>
      </c>
      <c r="L6" s="688">
        <v>0</v>
      </c>
      <c r="M6" s="537">
        <v>0</v>
      </c>
      <c r="N6" s="539">
        <v>0</v>
      </c>
      <c r="O6" s="637">
        <v>12274</v>
      </c>
      <c r="P6" s="592">
        <f>-12274+459.8</f>
        <v>-11814.2</v>
      </c>
      <c r="Q6" s="1188">
        <f>O6+P6</f>
        <v>459.79999999999927</v>
      </c>
      <c r="R6" s="945">
        <v>0</v>
      </c>
      <c r="S6" s="592">
        <v>0</v>
      </c>
      <c r="T6" s="499">
        <v>0</v>
      </c>
      <c r="U6" s="537">
        <v>0</v>
      </c>
      <c r="V6" s="499">
        <v>0</v>
      </c>
      <c r="W6" s="592">
        <v>0</v>
      </c>
      <c r="X6" s="637">
        <v>0</v>
      </c>
      <c r="Y6" s="637">
        <v>0</v>
      </c>
      <c r="Z6" s="637">
        <v>0</v>
      </c>
      <c r="AA6" s="1189" t="s">
        <v>937</v>
      </c>
      <c r="AB6" s="501" t="s">
        <v>352</v>
      </c>
      <c r="AC6" s="593" t="s">
        <v>322</v>
      </c>
      <c r="AD6" s="593" t="s">
        <v>339</v>
      </c>
      <c r="AE6" s="593" t="s">
        <v>339</v>
      </c>
      <c r="AF6" s="594" t="s">
        <v>365</v>
      </c>
    </row>
    <row r="7" spans="1:32" s="721" customFormat="1" ht="15.75" thickBot="1" x14ac:dyDescent="0.3">
      <c r="A7" s="119" t="s">
        <v>357</v>
      </c>
      <c r="B7" s="900" t="s">
        <v>357</v>
      </c>
      <c r="C7" s="893" t="s">
        <v>357</v>
      </c>
      <c r="D7" s="893" t="s">
        <v>357</v>
      </c>
      <c r="E7" s="887" t="s">
        <v>357</v>
      </c>
      <c r="F7" s="887" t="s">
        <v>357</v>
      </c>
      <c r="G7" s="322" t="s">
        <v>357</v>
      </c>
      <c r="H7" s="821" t="s">
        <v>357</v>
      </c>
      <c r="I7" s="822" t="s">
        <v>357</v>
      </c>
      <c r="J7" s="440" t="s">
        <v>357</v>
      </c>
      <c r="K7" s="440" t="s">
        <v>357</v>
      </c>
      <c r="L7" s="263" t="s">
        <v>357</v>
      </c>
      <c r="M7" s="442" t="s">
        <v>357</v>
      </c>
      <c r="N7" s="903" t="s">
        <v>357</v>
      </c>
      <c r="O7" s="752" t="s">
        <v>357</v>
      </c>
      <c r="P7" s="818" t="s">
        <v>357</v>
      </c>
      <c r="Q7" s="963" t="s">
        <v>357</v>
      </c>
      <c r="R7" s="448" t="s">
        <v>357</v>
      </c>
      <c r="S7" s="444" t="s">
        <v>357</v>
      </c>
      <c r="T7" s="448" t="s">
        <v>357</v>
      </c>
      <c r="U7" s="442" t="s">
        <v>357</v>
      </c>
      <c r="V7" s="448" t="s">
        <v>357</v>
      </c>
      <c r="W7" s="444" t="s">
        <v>357</v>
      </c>
      <c r="X7" s="903" t="s">
        <v>357</v>
      </c>
      <c r="Y7" s="903" t="s">
        <v>357</v>
      </c>
      <c r="Z7" s="903" t="s">
        <v>357</v>
      </c>
      <c r="AA7" s="903" t="s">
        <v>357</v>
      </c>
      <c r="AB7" s="893" t="s">
        <v>357</v>
      </c>
      <c r="AC7" s="120" t="s">
        <v>357</v>
      </c>
      <c r="AD7" s="120" t="s">
        <v>357</v>
      </c>
      <c r="AE7" s="120" t="s">
        <v>357</v>
      </c>
      <c r="AF7" s="115" t="s">
        <v>357</v>
      </c>
    </row>
    <row r="8" spans="1:32" ht="35.25" customHeight="1" thickBot="1" x14ac:dyDescent="0.3">
      <c r="A8" s="370" t="s">
        <v>317</v>
      </c>
      <c r="B8" s="371" t="s">
        <v>317</v>
      </c>
      <c r="C8" s="79" t="s">
        <v>317</v>
      </c>
      <c r="D8" s="59" t="s">
        <v>317</v>
      </c>
      <c r="E8" s="79" t="s">
        <v>317</v>
      </c>
      <c r="F8" s="80" t="s">
        <v>317</v>
      </c>
      <c r="G8" s="403" t="s">
        <v>374</v>
      </c>
      <c r="H8" s="892">
        <f>SUM(H5:H7)</f>
        <v>15227.085280000001</v>
      </c>
      <c r="I8" s="892">
        <f>SUM(I5:I7)</f>
        <v>14767.28528</v>
      </c>
      <c r="J8" s="892">
        <f t="shared" ref="J8:Z8" si="0">SUM(J5:J7)</f>
        <v>459.8</v>
      </c>
      <c r="K8" s="892">
        <f t="shared" si="0"/>
        <v>0</v>
      </c>
      <c r="L8" s="892">
        <f t="shared" si="0"/>
        <v>0</v>
      </c>
      <c r="M8" s="892">
        <f t="shared" si="0"/>
        <v>0</v>
      </c>
      <c r="N8" s="892">
        <f t="shared" si="0"/>
        <v>0</v>
      </c>
      <c r="O8" s="892">
        <f t="shared" si="0"/>
        <v>14527.684720000001</v>
      </c>
      <c r="P8" s="892">
        <f t="shared" si="0"/>
        <v>-14067.884720000002</v>
      </c>
      <c r="Q8" s="892">
        <f t="shared" si="0"/>
        <v>459.79999999999927</v>
      </c>
      <c r="R8" s="892">
        <f t="shared" si="0"/>
        <v>0</v>
      </c>
      <c r="S8" s="892">
        <f t="shared" si="0"/>
        <v>0</v>
      </c>
      <c r="T8" s="892">
        <f t="shared" si="0"/>
        <v>0</v>
      </c>
      <c r="U8" s="892">
        <f t="shared" si="0"/>
        <v>0</v>
      </c>
      <c r="V8" s="892">
        <f t="shared" si="0"/>
        <v>0</v>
      </c>
      <c r="W8" s="892">
        <f t="shared" si="0"/>
        <v>0</v>
      </c>
      <c r="X8" s="892">
        <f t="shared" si="0"/>
        <v>0</v>
      </c>
      <c r="Y8" s="892">
        <f t="shared" si="0"/>
        <v>0</v>
      </c>
      <c r="Z8" s="892">
        <f t="shared" si="0"/>
        <v>0</v>
      </c>
      <c r="AA8" s="66" t="s">
        <v>939</v>
      </c>
      <c r="AB8" s="59" t="s">
        <v>317</v>
      </c>
      <c r="AC8" s="932" t="s">
        <v>317</v>
      </c>
      <c r="AD8" s="326" t="s">
        <v>317</v>
      </c>
      <c r="AE8" s="932" t="s">
        <v>317</v>
      </c>
      <c r="AF8" s="179" t="s">
        <v>317</v>
      </c>
    </row>
    <row r="9" spans="1:32" ht="25.5" x14ac:dyDescent="0.25">
      <c r="A9" s="484" t="s">
        <v>908</v>
      </c>
      <c r="B9" s="1119" t="s">
        <v>15</v>
      </c>
      <c r="C9" s="269">
        <v>2011</v>
      </c>
      <c r="D9" s="195" t="s">
        <v>423</v>
      </c>
      <c r="E9" s="516" t="s">
        <v>10</v>
      </c>
      <c r="F9" s="1120" t="s">
        <v>10</v>
      </c>
      <c r="G9" s="553" t="s">
        <v>16</v>
      </c>
      <c r="H9" s="234">
        <v>64001.103999999999</v>
      </c>
      <c r="I9" s="194">
        <v>42401.103999999999</v>
      </c>
      <c r="J9" s="194">
        <v>0</v>
      </c>
      <c r="K9" s="194">
        <v>0</v>
      </c>
      <c r="L9" s="248">
        <v>0</v>
      </c>
      <c r="M9" s="485">
        <v>0</v>
      </c>
      <c r="N9" s="363">
        <v>7200</v>
      </c>
      <c r="O9" s="1017">
        <v>5740.8960000000006</v>
      </c>
      <c r="P9" s="1018">
        <f>1459+0.104</f>
        <v>1459.104</v>
      </c>
      <c r="Q9" s="1089">
        <f t="shared" ref="Q9:Q24" si="1">O9+P9</f>
        <v>7200.0000000000009</v>
      </c>
      <c r="R9" s="365">
        <v>7200</v>
      </c>
      <c r="S9" s="341">
        <v>7200</v>
      </c>
      <c r="T9" s="365">
        <v>0</v>
      </c>
      <c r="U9" s="1121">
        <v>0</v>
      </c>
      <c r="V9" s="365">
        <v>0</v>
      </c>
      <c r="W9" s="689">
        <v>0</v>
      </c>
      <c r="X9" s="1021">
        <v>0</v>
      </c>
      <c r="Y9" s="1021">
        <v>0</v>
      </c>
      <c r="Z9" s="1122">
        <v>0</v>
      </c>
      <c r="AA9" s="1123" t="s">
        <v>1036</v>
      </c>
      <c r="AB9" s="269" t="s">
        <v>17</v>
      </c>
      <c r="AC9" s="487" t="s">
        <v>646</v>
      </c>
      <c r="AD9" s="474" t="s">
        <v>338</v>
      </c>
      <c r="AE9" s="474" t="s">
        <v>338</v>
      </c>
      <c r="AF9" s="1124" t="s">
        <v>364</v>
      </c>
    </row>
    <row r="10" spans="1:32" ht="25.5" x14ac:dyDescent="0.25">
      <c r="A10" s="771" t="s">
        <v>909</v>
      </c>
      <c r="B10" s="915" t="s">
        <v>18</v>
      </c>
      <c r="C10" s="908">
        <v>2011</v>
      </c>
      <c r="D10" s="908" t="s">
        <v>423</v>
      </c>
      <c r="E10" s="914" t="s">
        <v>10</v>
      </c>
      <c r="F10" s="82" t="s">
        <v>10</v>
      </c>
      <c r="G10" s="898" t="s">
        <v>19</v>
      </c>
      <c r="H10" s="57">
        <f>5620.748799+400</f>
        <v>6020.748799</v>
      </c>
      <c r="I10" s="907">
        <v>5619.2658000000001</v>
      </c>
      <c r="J10" s="907">
        <v>0</v>
      </c>
      <c r="K10" s="907">
        <v>0</v>
      </c>
      <c r="L10" s="895">
        <v>0</v>
      </c>
      <c r="M10" s="920">
        <v>401.483</v>
      </c>
      <c r="N10" s="910">
        <v>0</v>
      </c>
      <c r="O10" s="923">
        <v>401.483</v>
      </c>
      <c r="P10" s="922">
        <v>0</v>
      </c>
      <c r="Q10" s="962">
        <f t="shared" si="1"/>
        <v>401.483</v>
      </c>
      <c r="R10" s="911">
        <v>0</v>
      </c>
      <c r="S10" s="767">
        <v>0</v>
      </c>
      <c r="T10" s="786">
        <v>0</v>
      </c>
      <c r="U10" s="790">
        <v>0</v>
      </c>
      <c r="V10" s="911">
        <v>0</v>
      </c>
      <c r="W10" s="640">
        <v>0</v>
      </c>
      <c r="X10" s="621">
        <v>0</v>
      </c>
      <c r="Y10" s="621">
        <v>0</v>
      </c>
      <c r="Z10" s="692">
        <v>0</v>
      </c>
      <c r="AA10" s="904" t="s">
        <v>317</v>
      </c>
      <c r="AB10" s="908" t="s">
        <v>820</v>
      </c>
      <c r="AC10" s="784" t="s">
        <v>646</v>
      </c>
      <c r="AD10" s="918" t="s">
        <v>338</v>
      </c>
      <c r="AE10" s="918" t="s">
        <v>338</v>
      </c>
      <c r="AF10" s="916" t="s">
        <v>362</v>
      </c>
    </row>
    <row r="11" spans="1:32" ht="30.75" thickBot="1" x14ac:dyDescent="0.3">
      <c r="A11" s="69" t="s">
        <v>910</v>
      </c>
      <c r="B11" s="70" t="s">
        <v>20</v>
      </c>
      <c r="C11" s="893">
        <v>2015</v>
      </c>
      <c r="D11" s="893" t="s">
        <v>21</v>
      </c>
      <c r="E11" s="887" t="s">
        <v>10</v>
      </c>
      <c r="F11" s="547" t="s">
        <v>10</v>
      </c>
      <c r="G11" s="299" t="s">
        <v>22</v>
      </c>
      <c r="H11" s="112">
        <f>2276.279+1250-700+430</f>
        <v>3256.279</v>
      </c>
      <c r="I11" s="91">
        <v>2756.2538999999997</v>
      </c>
      <c r="J11" s="91">
        <v>0</v>
      </c>
      <c r="K11" s="91">
        <v>78.105000000000004</v>
      </c>
      <c r="L11" s="291">
        <v>0</v>
      </c>
      <c r="M11" s="123">
        <v>421.92009999999999</v>
      </c>
      <c r="N11" s="21">
        <v>0</v>
      </c>
      <c r="O11" s="754">
        <v>500.02510000000001</v>
      </c>
      <c r="P11" s="643">
        <v>0</v>
      </c>
      <c r="Q11" s="964">
        <f t="shared" si="1"/>
        <v>500.02510000000001</v>
      </c>
      <c r="R11" s="53">
        <v>0</v>
      </c>
      <c r="S11" s="23">
        <v>0</v>
      </c>
      <c r="T11" s="294">
        <v>0</v>
      </c>
      <c r="U11" s="856">
        <v>0</v>
      </c>
      <c r="V11" s="53">
        <v>0</v>
      </c>
      <c r="W11" s="628">
        <v>0</v>
      </c>
      <c r="X11" s="783">
        <v>0</v>
      </c>
      <c r="Y11" s="783">
        <v>0</v>
      </c>
      <c r="Z11" s="857">
        <v>0</v>
      </c>
      <c r="AA11" s="444" t="s">
        <v>317</v>
      </c>
      <c r="AB11" s="893" t="s">
        <v>820</v>
      </c>
      <c r="AC11" s="119" t="s">
        <v>646</v>
      </c>
      <c r="AD11" s="119" t="s">
        <v>338</v>
      </c>
      <c r="AE11" s="119" t="s">
        <v>338</v>
      </c>
      <c r="AF11" s="72" t="s">
        <v>363</v>
      </c>
    </row>
    <row r="12" spans="1:32" s="698" customFormat="1" ht="25.5" x14ac:dyDescent="0.25">
      <c r="A12" s="30" t="s">
        <v>911</v>
      </c>
      <c r="B12" s="777" t="s">
        <v>483</v>
      </c>
      <c r="C12" s="882">
        <v>2019</v>
      </c>
      <c r="D12" s="882" t="s">
        <v>328</v>
      </c>
      <c r="E12" s="882" t="s">
        <v>10</v>
      </c>
      <c r="F12" s="391" t="s">
        <v>10</v>
      </c>
      <c r="G12" s="894" t="s">
        <v>23</v>
      </c>
      <c r="H12" s="57">
        <f>1200+900</f>
        <v>2100</v>
      </c>
      <c r="I12" s="907">
        <v>145.19999999999999</v>
      </c>
      <c r="J12" s="907">
        <v>0</v>
      </c>
      <c r="K12" s="907">
        <v>1843.3679999999999</v>
      </c>
      <c r="L12" s="895">
        <v>0</v>
      </c>
      <c r="M12" s="787">
        <v>111.432</v>
      </c>
      <c r="N12" s="881">
        <v>0</v>
      </c>
      <c r="O12" s="923">
        <v>1954.8</v>
      </c>
      <c r="P12" s="922">
        <v>0</v>
      </c>
      <c r="Q12" s="961">
        <f t="shared" si="1"/>
        <v>1954.8</v>
      </c>
      <c r="R12" s="293">
        <v>0</v>
      </c>
      <c r="S12" s="361">
        <v>0</v>
      </c>
      <c r="T12" s="884">
        <v>0</v>
      </c>
      <c r="U12" s="787">
        <v>0</v>
      </c>
      <c r="V12" s="884">
        <v>0</v>
      </c>
      <c r="W12" s="641">
        <v>0</v>
      </c>
      <c r="X12" s="622">
        <v>0</v>
      </c>
      <c r="Y12" s="622">
        <v>0</v>
      </c>
      <c r="Z12" s="691">
        <v>0</v>
      </c>
      <c r="AA12" s="559" t="s">
        <v>317</v>
      </c>
      <c r="AB12" s="882" t="s">
        <v>820</v>
      </c>
      <c r="AC12" s="784" t="s">
        <v>646</v>
      </c>
      <c r="AD12" s="784" t="s">
        <v>339</v>
      </c>
      <c r="AE12" s="784" t="s">
        <v>339</v>
      </c>
      <c r="AF12" s="779" t="s">
        <v>363</v>
      </c>
    </row>
    <row r="13" spans="1:32" ht="25.5" x14ac:dyDescent="0.25">
      <c r="A13" s="30" t="s">
        <v>912</v>
      </c>
      <c r="B13" s="48" t="s">
        <v>324</v>
      </c>
      <c r="C13" s="908">
        <v>2019</v>
      </c>
      <c r="D13" s="908" t="s">
        <v>328</v>
      </c>
      <c r="E13" s="908" t="s">
        <v>10</v>
      </c>
      <c r="F13" s="82" t="s">
        <v>10</v>
      </c>
      <c r="G13" s="898" t="s">
        <v>24</v>
      </c>
      <c r="H13" s="4">
        <v>100</v>
      </c>
      <c r="I13" s="907">
        <v>0</v>
      </c>
      <c r="J13" s="907">
        <v>0</v>
      </c>
      <c r="K13" s="907">
        <v>0</v>
      </c>
      <c r="L13" s="895">
        <v>0</v>
      </c>
      <c r="M13" s="920">
        <v>100</v>
      </c>
      <c r="N13" s="910">
        <v>0</v>
      </c>
      <c r="O13" s="923">
        <v>100</v>
      </c>
      <c r="P13" s="922">
        <v>0</v>
      </c>
      <c r="Q13" s="962">
        <f t="shared" si="1"/>
        <v>100</v>
      </c>
      <c r="R13" s="786">
        <v>0</v>
      </c>
      <c r="S13" s="32">
        <v>0</v>
      </c>
      <c r="T13" s="911">
        <v>0</v>
      </c>
      <c r="U13" s="920">
        <v>0</v>
      </c>
      <c r="V13" s="911">
        <v>0</v>
      </c>
      <c r="W13" s="640">
        <v>0</v>
      </c>
      <c r="X13" s="621">
        <v>0</v>
      </c>
      <c r="Y13" s="621">
        <v>0</v>
      </c>
      <c r="Z13" s="692">
        <v>0</v>
      </c>
      <c r="AA13" s="904" t="s">
        <v>317</v>
      </c>
      <c r="AB13" s="908" t="s">
        <v>17</v>
      </c>
      <c r="AC13" s="918" t="s">
        <v>616</v>
      </c>
      <c r="AD13" s="918" t="s">
        <v>338</v>
      </c>
      <c r="AE13" s="918" t="s">
        <v>338</v>
      </c>
      <c r="AF13" s="916" t="s">
        <v>364</v>
      </c>
    </row>
    <row r="14" spans="1:32" ht="26.25" thickBot="1" x14ac:dyDescent="0.3">
      <c r="A14" s="101" t="s">
        <v>907</v>
      </c>
      <c r="B14" s="257" t="s">
        <v>549</v>
      </c>
      <c r="C14" s="96">
        <v>2019</v>
      </c>
      <c r="D14" s="96" t="s">
        <v>328</v>
      </c>
      <c r="E14" s="96" t="s">
        <v>10</v>
      </c>
      <c r="F14" s="569" t="s">
        <v>10</v>
      </c>
      <c r="G14" s="310" t="s">
        <v>25</v>
      </c>
      <c r="H14" s="368">
        <f>800-0.2868</f>
        <v>799.71320000000003</v>
      </c>
      <c r="I14" s="103">
        <v>371.3732</v>
      </c>
      <c r="J14" s="103">
        <v>428.34</v>
      </c>
      <c r="K14" s="103">
        <v>0</v>
      </c>
      <c r="L14" s="273">
        <v>0</v>
      </c>
      <c r="M14" s="202">
        <v>0</v>
      </c>
      <c r="N14" s="104">
        <v>0</v>
      </c>
      <c r="O14" s="793">
        <v>428.34</v>
      </c>
      <c r="P14" s="666">
        <v>0</v>
      </c>
      <c r="Q14" s="965">
        <f t="shared" si="1"/>
        <v>428.34</v>
      </c>
      <c r="R14" s="636">
        <v>0</v>
      </c>
      <c r="S14" s="105">
        <v>0</v>
      </c>
      <c r="T14" s="209">
        <v>0</v>
      </c>
      <c r="U14" s="202">
        <v>0</v>
      </c>
      <c r="V14" s="209">
        <v>0</v>
      </c>
      <c r="W14" s="694">
        <v>0</v>
      </c>
      <c r="X14" s="695">
        <v>0</v>
      </c>
      <c r="Y14" s="695">
        <v>0</v>
      </c>
      <c r="Z14" s="696">
        <v>0</v>
      </c>
      <c r="AA14" s="354" t="s">
        <v>317</v>
      </c>
      <c r="AB14" s="96" t="s">
        <v>352</v>
      </c>
      <c r="AC14" s="204" t="s">
        <v>563</v>
      </c>
      <c r="AD14" s="204" t="s">
        <v>339</v>
      </c>
      <c r="AE14" s="204" t="s">
        <v>338</v>
      </c>
      <c r="AF14" s="106" t="s">
        <v>363</v>
      </c>
    </row>
    <row r="15" spans="1:32" ht="26.25" thickBot="1" x14ac:dyDescent="0.3">
      <c r="A15" s="1075" t="s">
        <v>906</v>
      </c>
      <c r="B15" s="850" t="s">
        <v>679</v>
      </c>
      <c r="C15" s="913">
        <v>2019</v>
      </c>
      <c r="D15" s="913" t="s">
        <v>606</v>
      </c>
      <c r="E15" s="26" t="s">
        <v>10</v>
      </c>
      <c r="F15" s="396" t="s">
        <v>10</v>
      </c>
      <c r="G15" s="1125" t="s">
        <v>545</v>
      </c>
      <c r="H15" s="1126">
        <v>10000</v>
      </c>
      <c r="I15" s="91">
        <v>89.54</v>
      </c>
      <c r="J15" s="91">
        <v>1137.6369999999999</v>
      </c>
      <c r="K15" s="91">
        <v>1175.8779999999999</v>
      </c>
      <c r="L15" s="291">
        <v>265.02699999999999</v>
      </c>
      <c r="M15" s="206">
        <f>5500+686.485</f>
        <v>6186.4849999999997</v>
      </c>
      <c r="N15" s="3">
        <v>1410.46</v>
      </c>
      <c r="O15" s="754">
        <v>9910.4599999999991</v>
      </c>
      <c r="P15" s="643">
        <v>0</v>
      </c>
      <c r="Q15" s="966">
        <f t="shared" si="1"/>
        <v>9910.4599999999991</v>
      </c>
      <c r="R15" s="852">
        <v>0</v>
      </c>
      <c r="S15" s="97">
        <v>0</v>
      </c>
      <c r="T15" s="113">
        <v>0</v>
      </c>
      <c r="U15" s="206">
        <v>0</v>
      </c>
      <c r="V15" s="113">
        <v>0</v>
      </c>
      <c r="W15" s="853">
        <v>0</v>
      </c>
      <c r="X15" s="854">
        <v>0</v>
      </c>
      <c r="Y15" s="854">
        <v>0</v>
      </c>
      <c r="Z15" s="855">
        <v>0</v>
      </c>
      <c r="AA15" s="276" t="s">
        <v>317</v>
      </c>
      <c r="AB15" s="913" t="s">
        <v>28</v>
      </c>
      <c r="AC15" s="120" t="s">
        <v>536</v>
      </c>
      <c r="AD15" s="398" t="s">
        <v>339</v>
      </c>
      <c r="AE15" s="120" t="s">
        <v>338</v>
      </c>
      <c r="AF15" s="519" t="s">
        <v>363</v>
      </c>
    </row>
    <row r="16" spans="1:32" ht="30.75" thickBot="1" x14ac:dyDescent="0.3">
      <c r="A16" s="1075" t="s">
        <v>642</v>
      </c>
      <c r="B16" s="850" t="s">
        <v>324</v>
      </c>
      <c r="C16" s="913">
        <v>2020</v>
      </c>
      <c r="D16" s="687" t="s">
        <v>733</v>
      </c>
      <c r="E16" s="913" t="s">
        <v>10</v>
      </c>
      <c r="F16" s="789" t="s">
        <v>10</v>
      </c>
      <c r="G16" s="583" t="s">
        <v>641</v>
      </c>
      <c r="H16" s="91">
        <v>420</v>
      </c>
      <c r="I16" s="91">
        <v>0</v>
      </c>
      <c r="J16" s="91">
        <v>0</v>
      </c>
      <c r="K16" s="91">
        <v>0</v>
      </c>
      <c r="L16" s="291">
        <v>0</v>
      </c>
      <c r="M16" s="206">
        <v>420</v>
      </c>
      <c r="N16" s="3">
        <v>0</v>
      </c>
      <c r="O16" s="754">
        <v>420</v>
      </c>
      <c r="P16" s="643">
        <v>0</v>
      </c>
      <c r="Q16" s="966">
        <f t="shared" si="1"/>
        <v>420</v>
      </c>
      <c r="R16" s="851">
        <v>0</v>
      </c>
      <c r="S16" s="97">
        <v>0</v>
      </c>
      <c r="T16" s="113">
        <v>0</v>
      </c>
      <c r="U16" s="206">
        <v>0</v>
      </c>
      <c r="V16" s="113">
        <v>0</v>
      </c>
      <c r="W16" s="853">
        <v>0</v>
      </c>
      <c r="X16" s="854">
        <v>0</v>
      </c>
      <c r="Y16" s="854">
        <v>0</v>
      </c>
      <c r="Z16" s="855">
        <v>0</v>
      </c>
      <c r="AA16" s="276" t="s">
        <v>317</v>
      </c>
      <c r="AB16" s="913" t="s">
        <v>28</v>
      </c>
      <c r="AC16" s="115" t="s">
        <v>646</v>
      </c>
      <c r="AD16" s="120" t="s">
        <v>339</v>
      </c>
      <c r="AE16" s="120" t="s">
        <v>338</v>
      </c>
      <c r="AF16" s="115" t="s">
        <v>363</v>
      </c>
    </row>
    <row r="17" spans="1:32" ht="30" x14ac:dyDescent="0.25">
      <c r="A17" s="1074" t="s">
        <v>690</v>
      </c>
      <c r="B17" s="580" t="s">
        <v>324</v>
      </c>
      <c r="C17" s="781">
        <v>2020</v>
      </c>
      <c r="D17" s="719" t="s">
        <v>738</v>
      </c>
      <c r="E17" s="781" t="s">
        <v>10</v>
      </c>
      <c r="F17" s="227" t="s">
        <v>10</v>
      </c>
      <c r="G17" s="581" t="s">
        <v>691</v>
      </c>
      <c r="H17" s="74">
        <v>450</v>
      </c>
      <c r="I17" s="74">
        <v>0</v>
      </c>
      <c r="J17" s="74">
        <v>0</v>
      </c>
      <c r="K17" s="74">
        <v>0</v>
      </c>
      <c r="L17" s="228">
        <v>0</v>
      </c>
      <c r="M17" s="555">
        <v>450</v>
      </c>
      <c r="N17" s="229">
        <v>0</v>
      </c>
      <c r="O17" s="923">
        <v>450</v>
      </c>
      <c r="P17" s="922">
        <v>0</v>
      </c>
      <c r="Q17" s="961">
        <f t="shared" si="1"/>
        <v>450</v>
      </c>
      <c r="R17" s="251">
        <v>0</v>
      </c>
      <c r="S17" s="582">
        <v>0</v>
      </c>
      <c r="T17" s="231">
        <v>0</v>
      </c>
      <c r="U17" s="555">
        <v>0</v>
      </c>
      <c r="V17" s="231">
        <v>0</v>
      </c>
      <c r="W17" s="642">
        <v>0</v>
      </c>
      <c r="X17" s="624">
        <v>0</v>
      </c>
      <c r="Y17" s="624">
        <v>0</v>
      </c>
      <c r="Z17" s="697">
        <v>0</v>
      </c>
      <c r="AA17" s="558" t="s">
        <v>317</v>
      </c>
      <c r="AB17" s="886" t="s">
        <v>17</v>
      </c>
      <c r="AC17" s="919" t="s">
        <v>646</v>
      </c>
      <c r="AD17" s="55" t="s">
        <v>338</v>
      </c>
      <c r="AE17" s="919" t="s">
        <v>338</v>
      </c>
      <c r="AF17" s="55" t="s">
        <v>362</v>
      </c>
    </row>
    <row r="18" spans="1:32" s="698" customFormat="1" ht="30.75" thickBot="1" x14ac:dyDescent="0.3">
      <c r="A18" s="69" t="s">
        <v>692</v>
      </c>
      <c r="B18" s="323" t="s">
        <v>804</v>
      </c>
      <c r="C18" s="893">
        <v>2020</v>
      </c>
      <c r="D18" s="847" t="s">
        <v>738</v>
      </c>
      <c r="E18" s="893" t="s">
        <v>10</v>
      </c>
      <c r="F18" s="887" t="s">
        <v>10</v>
      </c>
      <c r="G18" s="301" t="s">
        <v>693</v>
      </c>
      <c r="H18" s="20">
        <v>850</v>
      </c>
      <c r="I18" s="20">
        <v>46.585000000000001</v>
      </c>
      <c r="J18" s="20">
        <v>0</v>
      </c>
      <c r="K18" s="20">
        <v>7.26</v>
      </c>
      <c r="L18" s="216">
        <v>0</v>
      </c>
      <c r="M18" s="123">
        <v>796.15499999999997</v>
      </c>
      <c r="N18" s="21">
        <v>0</v>
      </c>
      <c r="O18" s="751">
        <v>803.41499999999996</v>
      </c>
      <c r="P18" s="635">
        <v>0</v>
      </c>
      <c r="Q18" s="964">
        <f t="shared" si="1"/>
        <v>803.41499999999996</v>
      </c>
      <c r="R18" s="671">
        <v>0</v>
      </c>
      <c r="S18" s="289">
        <v>0</v>
      </c>
      <c r="T18" s="53">
        <v>0</v>
      </c>
      <c r="U18" s="123">
        <v>0</v>
      </c>
      <c r="V18" s="53">
        <v>0</v>
      </c>
      <c r="W18" s="224">
        <v>0</v>
      </c>
      <c r="X18" s="623">
        <v>0</v>
      </c>
      <c r="Y18" s="623">
        <v>0</v>
      </c>
      <c r="Z18" s="693">
        <v>0</v>
      </c>
      <c r="AA18" s="904" t="s">
        <v>317</v>
      </c>
      <c r="AB18" s="893" t="s">
        <v>28</v>
      </c>
      <c r="AC18" s="119" t="s">
        <v>837</v>
      </c>
      <c r="AD18" s="72" t="s">
        <v>339</v>
      </c>
      <c r="AE18" s="119" t="s">
        <v>338</v>
      </c>
      <c r="AF18" s="115" t="s">
        <v>363</v>
      </c>
    </row>
    <row r="19" spans="1:32" ht="30.75" thickBot="1" x14ac:dyDescent="0.3">
      <c r="A19" s="375" t="s">
        <v>780</v>
      </c>
      <c r="B19" s="927" t="s">
        <v>324</v>
      </c>
      <c r="C19" s="26">
        <v>2020</v>
      </c>
      <c r="D19" s="741" t="s">
        <v>1039</v>
      </c>
      <c r="E19" s="26" t="s">
        <v>10</v>
      </c>
      <c r="F19" s="197" t="s">
        <v>10</v>
      </c>
      <c r="G19" s="928" t="s">
        <v>781</v>
      </c>
      <c r="H19" s="73">
        <v>380</v>
      </c>
      <c r="I19" s="73">
        <v>0</v>
      </c>
      <c r="J19" s="73">
        <v>0</v>
      </c>
      <c r="K19" s="73">
        <v>0</v>
      </c>
      <c r="L19" s="290">
        <v>0</v>
      </c>
      <c r="M19" s="176">
        <v>380</v>
      </c>
      <c r="N19" s="388">
        <v>0</v>
      </c>
      <c r="O19" s="755">
        <v>380</v>
      </c>
      <c r="P19" s="664">
        <v>0</v>
      </c>
      <c r="Q19" s="967">
        <f t="shared" si="1"/>
        <v>380</v>
      </c>
      <c r="R19" s="681">
        <v>0</v>
      </c>
      <c r="S19" s="929">
        <v>0</v>
      </c>
      <c r="T19" s="198">
        <v>0</v>
      </c>
      <c r="U19" s="176">
        <v>0</v>
      </c>
      <c r="V19" s="198">
        <v>0</v>
      </c>
      <c r="W19" s="930">
        <v>0</v>
      </c>
      <c r="X19" s="926">
        <v>0</v>
      </c>
      <c r="Y19" s="926">
        <v>0</v>
      </c>
      <c r="Z19" s="931">
        <v>0</v>
      </c>
      <c r="AA19" s="54" t="s">
        <v>317</v>
      </c>
      <c r="AB19" s="26" t="s">
        <v>28</v>
      </c>
      <c r="AC19" s="608" t="s">
        <v>837</v>
      </c>
      <c r="AD19" s="519" t="s">
        <v>338</v>
      </c>
      <c r="AE19" s="398" t="s">
        <v>338</v>
      </c>
      <c r="AF19" s="519" t="s">
        <v>364</v>
      </c>
    </row>
    <row r="20" spans="1:32" ht="30.75" thickBot="1" x14ac:dyDescent="0.3">
      <c r="A20" s="1073" t="s">
        <v>891</v>
      </c>
      <c r="B20" s="1127" t="s">
        <v>324</v>
      </c>
      <c r="C20" s="26">
        <v>2021</v>
      </c>
      <c r="D20" s="26" t="s">
        <v>971</v>
      </c>
      <c r="E20" s="26" t="s">
        <v>10</v>
      </c>
      <c r="F20" s="197" t="s">
        <v>10</v>
      </c>
      <c r="G20" s="928" t="s">
        <v>892</v>
      </c>
      <c r="H20" s="562">
        <v>85</v>
      </c>
      <c r="I20" s="1117">
        <v>0</v>
      </c>
      <c r="J20" s="562">
        <v>0</v>
      </c>
      <c r="K20" s="562">
        <v>0</v>
      </c>
      <c r="L20" s="602">
        <v>0</v>
      </c>
      <c r="M20" s="864">
        <v>85</v>
      </c>
      <c r="N20" s="397">
        <v>0</v>
      </c>
      <c r="O20" s="755">
        <v>85</v>
      </c>
      <c r="P20" s="664">
        <v>0</v>
      </c>
      <c r="Q20" s="967">
        <f t="shared" si="1"/>
        <v>85</v>
      </c>
      <c r="R20" s="931">
        <v>0</v>
      </c>
      <c r="S20" s="930">
        <v>0</v>
      </c>
      <c r="T20" s="1118">
        <v>0</v>
      </c>
      <c r="U20" s="864">
        <v>0</v>
      </c>
      <c r="V20" s="1118">
        <v>0</v>
      </c>
      <c r="W20" s="930">
        <v>0</v>
      </c>
      <c r="X20" s="926">
        <v>0</v>
      </c>
      <c r="Y20" s="926">
        <v>0</v>
      </c>
      <c r="Z20" s="931">
        <v>0</v>
      </c>
      <c r="AA20" s="54" t="s">
        <v>317</v>
      </c>
      <c r="AB20" s="26" t="s">
        <v>17</v>
      </c>
      <c r="AC20" s="608" t="s">
        <v>646</v>
      </c>
      <c r="AD20" s="519" t="s">
        <v>338</v>
      </c>
      <c r="AE20" s="398" t="s">
        <v>338</v>
      </c>
      <c r="AF20" s="519" t="s">
        <v>363</v>
      </c>
    </row>
    <row r="21" spans="1:32" x14ac:dyDescent="0.25">
      <c r="A21" s="1128" t="s">
        <v>972</v>
      </c>
      <c r="B21" s="1129" t="s">
        <v>324</v>
      </c>
      <c r="C21" s="237">
        <v>2021</v>
      </c>
      <c r="D21" s="1130" t="s">
        <v>317</v>
      </c>
      <c r="E21" s="237" t="s">
        <v>10</v>
      </c>
      <c r="F21" s="523" t="s">
        <v>10</v>
      </c>
      <c r="G21" s="1131" t="s">
        <v>1040</v>
      </c>
      <c r="H21" s="563">
        <v>7200</v>
      </c>
      <c r="I21" s="563">
        <v>0</v>
      </c>
      <c r="J21" s="563">
        <v>0</v>
      </c>
      <c r="K21" s="563">
        <v>0</v>
      </c>
      <c r="L21" s="607">
        <v>0</v>
      </c>
      <c r="M21" s="1107">
        <v>0</v>
      </c>
      <c r="N21" s="1108">
        <v>2400</v>
      </c>
      <c r="O21" s="1110">
        <v>0</v>
      </c>
      <c r="P21" s="1110">
        <v>2400</v>
      </c>
      <c r="Q21" s="1132">
        <f t="shared" si="1"/>
        <v>2400</v>
      </c>
      <c r="R21" s="1132">
        <v>2400</v>
      </c>
      <c r="S21" s="1132">
        <v>2400</v>
      </c>
      <c r="T21" s="1106">
        <v>0</v>
      </c>
      <c r="U21" s="1107">
        <v>0</v>
      </c>
      <c r="V21" s="1108">
        <v>0</v>
      </c>
      <c r="W21" s="1132">
        <v>0</v>
      </c>
      <c r="X21" s="1132">
        <v>0</v>
      </c>
      <c r="Y21" s="1132">
        <v>0</v>
      </c>
      <c r="Z21" s="1132">
        <v>0</v>
      </c>
      <c r="AA21" s="960" t="s">
        <v>317</v>
      </c>
      <c r="AB21" s="1363" t="s">
        <v>17</v>
      </c>
      <c r="AC21" s="546" t="s">
        <v>646</v>
      </c>
      <c r="AD21" s="546" t="s">
        <v>338</v>
      </c>
      <c r="AE21" s="546" t="s">
        <v>338</v>
      </c>
      <c r="AF21" s="546" t="s">
        <v>363</v>
      </c>
    </row>
    <row r="22" spans="1:32" x14ac:dyDescent="0.25">
      <c r="A22" s="1133" t="s">
        <v>973</v>
      </c>
      <c r="B22" s="1134" t="s">
        <v>324</v>
      </c>
      <c r="C22" s="238">
        <v>2021</v>
      </c>
      <c r="D22" s="1067" t="s">
        <v>317</v>
      </c>
      <c r="E22" s="238" t="s">
        <v>10</v>
      </c>
      <c r="F22" s="455" t="s">
        <v>10</v>
      </c>
      <c r="G22" s="1135" t="s">
        <v>974</v>
      </c>
      <c r="H22" s="576">
        <v>1400</v>
      </c>
      <c r="I22" s="576">
        <v>0</v>
      </c>
      <c r="J22" s="576">
        <v>0</v>
      </c>
      <c r="K22" s="576">
        <v>0</v>
      </c>
      <c r="L22" s="603">
        <v>0</v>
      </c>
      <c r="M22" s="1137">
        <v>0</v>
      </c>
      <c r="N22" s="1138">
        <v>1400</v>
      </c>
      <c r="O22" s="1139">
        <v>0</v>
      </c>
      <c r="P22" s="1139">
        <v>1400</v>
      </c>
      <c r="Q22" s="1140">
        <f t="shared" si="1"/>
        <v>1400</v>
      </c>
      <c r="R22" s="1140">
        <v>0</v>
      </c>
      <c r="S22" s="1140">
        <v>0</v>
      </c>
      <c r="T22" s="1136">
        <v>0</v>
      </c>
      <c r="U22" s="1137">
        <v>0</v>
      </c>
      <c r="V22" s="1138">
        <v>0</v>
      </c>
      <c r="W22" s="1140">
        <v>0</v>
      </c>
      <c r="X22" s="1140">
        <v>0</v>
      </c>
      <c r="Y22" s="1140">
        <v>0</v>
      </c>
      <c r="Z22" s="1140">
        <v>0</v>
      </c>
      <c r="AA22" s="543" t="s">
        <v>317</v>
      </c>
      <c r="AB22" s="1364" t="s">
        <v>17</v>
      </c>
      <c r="AC22" s="411" t="s">
        <v>646</v>
      </c>
      <c r="AD22" s="411" t="s">
        <v>338</v>
      </c>
      <c r="AE22" s="411" t="s">
        <v>338</v>
      </c>
      <c r="AF22" s="411" t="s">
        <v>363</v>
      </c>
    </row>
    <row r="23" spans="1:32" ht="30" x14ac:dyDescent="0.25">
      <c r="A23" s="1133" t="s">
        <v>975</v>
      </c>
      <c r="B23" s="1134" t="s">
        <v>324</v>
      </c>
      <c r="C23" s="238">
        <v>2021</v>
      </c>
      <c r="D23" s="1067" t="s">
        <v>317</v>
      </c>
      <c r="E23" s="238" t="s">
        <v>10</v>
      </c>
      <c r="F23" s="455" t="s">
        <v>10</v>
      </c>
      <c r="G23" s="1135" t="s">
        <v>976</v>
      </c>
      <c r="H23" s="576">
        <v>3000</v>
      </c>
      <c r="I23" s="576">
        <v>0</v>
      </c>
      <c r="J23" s="576">
        <v>0</v>
      </c>
      <c r="K23" s="576">
        <v>0</v>
      </c>
      <c r="L23" s="603">
        <v>0</v>
      </c>
      <c r="M23" s="1137">
        <v>0</v>
      </c>
      <c r="N23" s="1138">
        <v>500</v>
      </c>
      <c r="O23" s="1139">
        <v>0</v>
      </c>
      <c r="P23" s="1139">
        <v>500</v>
      </c>
      <c r="Q23" s="1140">
        <f t="shared" si="1"/>
        <v>500</v>
      </c>
      <c r="R23" s="1140">
        <v>2500</v>
      </c>
      <c r="S23" s="1140">
        <v>0</v>
      </c>
      <c r="T23" s="1136">
        <v>0</v>
      </c>
      <c r="U23" s="1137">
        <v>0</v>
      </c>
      <c r="V23" s="1138">
        <v>0</v>
      </c>
      <c r="W23" s="1140">
        <v>0</v>
      </c>
      <c r="X23" s="1140">
        <v>0</v>
      </c>
      <c r="Y23" s="1140">
        <v>0</v>
      </c>
      <c r="Z23" s="1140">
        <v>0</v>
      </c>
      <c r="AA23" s="543" t="s">
        <v>317</v>
      </c>
      <c r="AB23" s="1364" t="s">
        <v>17</v>
      </c>
      <c r="AC23" s="411" t="s">
        <v>646</v>
      </c>
      <c r="AD23" s="411" t="s">
        <v>338</v>
      </c>
      <c r="AE23" s="411" t="s">
        <v>338</v>
      </c>
      <c r="AF23" s="411" t="s">
        <v>363</v>
      </c>
    </row>
    <row r="24" spans="1:32" x14ac:dyDescent="0.25">
      <c r="A24" s="1133" t="s">
        <v>977</v>
      </c>
      <c r="B24" s="1134" t="s">
        <v>324</v>
      </c>
      <c r="C24" s="238">
        <v>2021</v>
      </c>
      <c r="D24" s="1067" t="s">
        <v>317</v>
      </c>
      <c r="E24" s="238" t="s">
        <v>10</v>
      </c>
      <c r="F24" s="455" t="s">
        <v>10</v>
      </c>
      <c r="G24" s="1135" t="s">
        <v>978</v>
      </c>
      <c r="H24" s="576">
        <v>2000</v>
      </c>
      <c r="I24" s="576">
        <v>0</v>
      </c>
      <c r="J24" s="576">
        <v>0</v>
      </c>
      <c r="K24" s="576">
        <v>0</v>
      </c>
      <c r="L24" s="603">
        <v>0</v>
      </c>
      <c r="M24" s="1137">
        <v>0</v>
      </c>
      <c r="N24" s="1138">
        <v>2000</v>
      </c>
      <c r="O24" s="1139">
        <v>0</v>
      </c>
      <c r="P24" s="1139">
        <v>2000</v>
      </c>
      <c r="Q24" s="1140">
        <f t="shared" si="1"/>
        <v>2000</v>
      </c>
      <c r="R24" s="1140">
        <v>0</v>
      </c>
      <c r="S24" s="1140">
        <v>0</v>
      </c>
      <c r="T24" s="1136">
        <v>0</v>
      </c>
      <c r="U24" s="1137">
        <v>0</v>
      </c>
      <c r="V24" s="1138">
        <v>0</v>
      </c>
      <c r="W24" s="1140">
        <v>0</v>
      </c>
      <c r="X24" s="1140">
        <v>0</v>
      </c>
      <c r="Y24" s="1140">
        <v>0</v>
      </c>
      <c r="Z24" s="1140">
        <v>0</v>
      </c>
      <c r="AA24" s="543" t="s">
        <v>317</v>
      </c>
      <c r="AB24" s="1364" t="s">
        <v>17</v>
      </c>
      <c r="AC24" s="411" t="s">
        <v>646</v>
      </c>
      <c r="AD24" s="411" t="s">
        <v>338</v>
      </c>
      <c r="AE24" s="411" t="s">
        <v>338</v>
      </c>
      <c r="AF24" s="411" t="s">
        <v>363</v>
      </c>
    </row>
    <row r="25" spans="1:32" s="721" customFormat="1" ht="15.75" thickBot="1" x14ac:dyDescent="0.3">
      <c r="A25" s="115" t="s">
        <v>357</v>
      </c>
      <c r="B25" s="823" t="s">
        <v>357</v>
      </c>
      <c r="C25" s="913" t="s">
        <v>357</v>
      </c>
      <c r="D25" s="846" t="s">
        <v>357</v>
      </c>
      <c r="E25" s="913" t="s">
        <v>357</v>
      </c>
      <c r="F25" s="776" t="s">
        <v>357</v>
      </c>
      <c r="G25" s="583" t="s">
        <v>357</v>
      </c>
      <c r="H25" s="822" t="s">
        <v>357</v>
      </c>
      <c r="I25" s="822" t="s">
        <v>357</v>
      </c>
      <c r="J25" s="440" t="s">
        <v>357</v>
      </c>
      <c r="K25" s="440" t="s">
        <v>357</v>
      </c>
      <c r="L25" s="263" t="s">
        <v>357</v>
      </c>
      <c r="M25" s="443" t="s">
        <v>357</v>
      </c>
      <c r="N25" s="406" t="s">
        <v>357</v>
      </c>
      <c r="O25" s="753" t="s">
        <v>357</v>
      </c>
      <c r="P25" s="818" t="s">
        <v>357</v>
      </c>
      <c r="Q25" s="968" t="s">
        <v>357</v>
      </c>
      <c r="R25" s="441" t="s">
        <v>357</v>
      </c>
      <c r="S25" s="276" t="s">
        <v>357</v>
      </c>
      <c r="T25" s="441" t="s">
        <v>357</v>
      </c>
      <c r="U25" s="443" t="s">
        <v>357</v>
      </c>
      <c r="V25" s="441" t="s">
        <v>357</v>
      </c>
      <c r="W25" s="276" t="s">
        <v>357</v>
      </c>
      <c r="X25" s="406" t="s">
        <v>357</v>
      </c>
      <c r="Y25" s="406" t="s">
        <v>357</v>
      </c>
      <c r="Z25" s="441" t="s">
        <v>357</v>
      </c>
      <c r="AA25" s="276" t="s">
        <v>357</v>
      </c>
      <c r="AB25" s="90" t="s">
        <v>357</v>
      </c>
      <c r="AC25" s="115" t="s">
        <v>357</v>
      </c>
      <c r="AD25" s="115" t="s">
        <v>357</v>
      </c>
      <c r="AE25" s="72" t="s">
        <v>357</v>
      </c>
      <c r="AF25" s="115" t="s">
        <v>357</v>
      </c>
    </row>
    <row r="26" spans="1:32" ht="35.25" customHeight="1" thickBot="1" x14ac:dyDescent="0.3">
      <c r="A26" s="370" t="s">
        <v>317</v>
      </c>
      <c r="B26" s="371" t="s">
        <v>317</v>
      </c>
      <c r="C26" s="79" t="s">
        <v>317</v>
      </c>
      <c r="D26" s="59" t="s">
        <v>317</v>
      </c>
      <c r="E26" s="79" t="s">
        <v>317</v>
      </c>
      <c r="F26" s="79" t="s">
        <v>317</v>
      </c>
      <c r="G26" s="548" t="s">
        <v>920</v>
      </c>
      <c r="H26" s="892">
        <f>SUM(H9:H25)</f>
        <v>102062.84499899999</v>
      </c>
      <c r="I26" s="892">
        <f>SUM(I9:I25)</f>
        <v>51429.321899999995</v>
      </c>
      <c r="J26" s="892">
        <f t="shared" ref="J26:Z26" si="2">SUM(J9:J25)</f>
        <v>1565.9769999999999</v>
      </c>
      <c r="K26" s="892">
        <f t="shared" si="2"/>
        <v>3104.6109999999999</v>
      </c>
      <c r="L26" s="892">
        <f t="shared" si="2"/>
        <v>265.02699999999999</v>
      </c>
      <c r="M26" s="892">
        <f t="shared" si="2"/>
        <v>9352.4750999999997</v>
      </c>
      <c r="N26" s="892">
        <f t="shared" si="2"/>
        <v>14910.46</v>
      </c>
      <c r="O26" s="892">
        <f t="shared" si="2"/>
        <v>21174.419099999999</v>
      </c>
      <c r="P26" s="892">
        <f t="shared" si="2"/>
        <v>7759.1040000000003</v>
      </c>
      <c r="Q26" s="892">
        <f t="shared" si="2"/>
        <v>28933.523099999999</v>
      </c>
      <c r="R26" s="892">
        <f t="shared" si="2"/>
        <v>12100</v>
      </c>
      <c r="S26" s="892">
        <f t="shared" si="2"/>
        <v>9600</v>
      </c>
      <c r="T26" s="892">
        <f t="shared" si="2"/>
        <v>0</v>
      </c>
      <c r="U26" s="892">
        <f t="shared" si="2"/>
        <v>0</v>
      </c>
      <c r="V26" s="892">
        <f t="shared" si="2"/>
        <v>0</v>
      </c>
      <c r="W26" s="892">
        <f t="shared" si="2"/>
        <v>0</v>
      </c>
      <c r="X26" s="892">
        <f t="shared" si="2"/>
        <v>0</v>
      </c>
      <c r="Y26" s="892">
        <f t="shared" si="2"/>
        <v>0</v>
      </c>
      <c r="Z26" s="892">
        <f t="shared" si="2"/>
        <v>0</v>
      </c>
      <c r="AA26" s="66" t="s">
        <v>942</v>
      </c>
      <c r="AB26" s="59" t="s">
        <v>317</v>
      </c>
      <c r="AC26" s="110" t="s">
        <v>317</v>
      </c>
      <c r="AD26" s="326" t="s">
        <v>317</v>
      </c>
      <c r="AE26" s="326" t="s">
        <v>317</v>
      </c>
      <c r="AF26" s="59" t="s">
        <v>317</v>
      </c>
    </row>
    <row r="27" spans="1:32" s="698" customFormat="1" ht="38.25" x14ac:dyDescent="0.25">
      <c r="A27" s="492" t="s">
        <v>329</v>
      </c>
      <c r="B27" s="1016" t="s">
        <v>26</v>
      </c>
      <c r="C27" s="269">
        <v>2011</v>
      </c>
      <c r="D27" s="195" t="s">
        <v>422</v>
      </c>
      <c r="E27" s="516" t="s">
        <v>10</v>
      </c>
      <c r="F27" s="516" t="s">
        <v>10</v>
      </c>
      <c r="G27" s="553" t="s">
        <v>27</v>
      </c>
      <c r="H27" s="194">
        <f>16659.59+29+23+1800+400+802+200</f>
        <v>19913.59</v>
      </c>
      <c r="I27" s="194">
        <v>15622.59</v>
      </c>
      <c r="J27" s="194">
        <v>0</v>
      </c>
      <c r="K27" s="194">
        <v>1089</v>
      </c>
      <c r="L27" s="248">
        <v>0</v>
      </c>
      <c r="M27" s="485">
        <v>116.16</v>
      </c>
      <c r="N27" s="1360">
        <f>1800+400-116.16+200+802</f>
        <v>3085.84</v>
      </c>
      <c r="O27" s="1361">
        <v>3289</v>
      </c>
      <c r="P27" s="1018">
        <f>200+802</f>
        <v>1002</v>
      </c>
      <c r="Q27" s="1019">
        <f t="shared" ref="Q27:Q38" si="3">O27+P27</f>
        <v>4291</v>
      </c>
      <c r="R27" s="365">
        <v>0</v>
      </c>
      <c r="S27" s="341">
        <v>0</v>
      </c>
      <c r="T27" s="365">
        <v>0</v>
      </c>
      <c r="U27" s="485">
        <v>0</v>
      </c>
      <c r="V27" s="1020">
        <v>0</v>
      </c>
      <c r="W27" s="689">
        <v>0</v>
      </c>
      <c r="X27" s="1021">
        <v>0</v>
      </c>
      <c r="Y27" s="1021">
        <v>0</v>
      </c>
      <c r="Z27" s="1021">
        <v>0</v>
      </c>
      <c r="AA27" s="181" t="s">
        <v>944</v>
      </c>
      <c r="AB27" s="422" t="s">
        <v>28</v>
      </c>
      <c r="AC27" s="1022" t="s">
        <v>536</v>
      </c>
      <c r="AD27" s="1023" t="s">
        <v>339</v>
      </c>
      <c r="AE27" s="1024" t="s">
        <v>339</v>
      </c>
      <c r="AF27" s="1025" t="s">
        <v>363</v>
      </c>
    </row>
    <row r="28" spans="1:32" s="698" customFormat="1" ht="25.5" x14ac:dyDescent="0.25">
      <c r="A28" s="771" t="s">
        <v>330</v>
      </c>
      <c r="B28" s="431" t="s">
        <v>29</v>
      </c>
      <c r="C28" s="908">
        <v>2013</v>
      </c>
      <c r="D28" s="908" t="s">
        <v>421</v>
      </c>
      <c r="E28" s="914" t="s">
        <v>10</v>
      </c>
      <c r="F28" s="914" t="s">
        <v>10</v>
      </c>
      <c r="G28" s="898" t="s">
        <v>30</v>
      </c>
      <c r="H28" s="8">
        <f>1182.025+540.2+700+2000</f>
        <v>4422.2250000000004</v>
      </c>
      <c r="I28" s="907">
        <v>2247.0679999999998</v>
      </c>
      <c r="J28" s="907">
        <v>0</v>
      </c>
      <c r="K28" s="907">
        <v>0</v>
      </c>
      <c r="L28" s="895">
        <v>0</v>
      </c>
      <c r="M28" s="920">
        <v>2175.1570000000002</v>
      </c>
      <c r="N28" s="911">
        <v>0</v>
      </c>
      <c r="O28" s="565">
        <v>2175.1570000000002</v>
      </c>
      <c r="P28" s="922">
        <v>0</v>
      </c>
      <c r="Q28" s="962">
        <f t="shared" si="3"/>
        <v>2175.1570000000002</v>
      </c>
      <c r="R28" s="911">
        <v>0</v>
      </c>
      <c r="S28" s="767">
        <v>0</v>
      </c>
      <c r="T28" s="911">
        <v>0</v>
      </c>
      <c r="U28" s="920">
        <v>0</v>
      </c>
      <c r="V28" s="911">
        <v>0</v>
      </c>
      <c r="W28" s="921">
        <v>0</v>
      </c>
      <c r="X28" s="912">
        <v>0</v>
      </c>
      <c r="Y28" s="912">
        <v>0</v>
      </c>
      <c r="Z28" s="912">
        <v>0</v>
      </c>
      <c r="AA28" s="908" t="s">
        <v>823</v>
      </c>
      <c r="AB28" s="75" t="s">
        <v>17</v>
      </c>
      <c r="AC28" s="137" t="s">
        <v>646</v>
      </c>
      <c r="AD28" s="137" t="s">
        <v>338</v>
      </c>
      <c r="AE28" s="309" t="s">
        <v>338</v>
      </c>
      <c r="AF28" s="99" t="s">
        <v>364</v>
      </c>
    </row>
    <row r="29" spans="1:32" ht="30" x14ac:dyDescent="0.25">
      <c r="A29" s="773" t="s">
        <v>331</v>
      </c>
      <c r="B29" s="431" t="s">
        <v>31</v>
      </c>
      <c r="C29" s="908">
        <v>2018</v>
      </c>
      <c r="D29" s="908" t="s">
        <v>332</v>
      </c>
      <c r="E29" s="914" t="s">
        <v>10</v>
      </c>
      <c r="F29" s="914" t="s">
        <v>10</v>
      </c>
      <c r="G29" s="898" t="s">
        <v>32</v>
      </c>
      <c r="H29" s="909">
        <v>23232</v>
      </c>
      <c r="I29" s="907">
        <v>19577.013500000001</v>
      </c>
      <c r="J29" s="907">
        <v>115.34325</v>
      </c>
      <c r="K29" s="907">
        <v>0</v>
      </c>
      <c r="L29" s="895">
        <v>0</v>
      </c>
      <c r="M29" s="920">
        <v>0</v>
      </c>
      <c r="N29" s="911">
        <v>0</v>
      </c>
      <c r="O29" s="565">
        <v>115.34325</v>
      </c>
      <c r="P29" s="922">
        <v>0</v>
      </c>
      <c r="Q29" s="962">
        <f t="shared" si="3"/>
        <v>115.34325</v>
      </c>
      <c r="R29" s="911">
        <f>2415+0.4625+1119.524+4.65675</f>
        <v>3539.6432500000001</v>
      </c>
      <c r="S29" s="767">
        <v>0</v>
      </c>
      <c r="T29" s="911">
        <v>0</v>
      </c>
      <c r="U29" s="920">
        <v>0</v>
      </c>
      <c r="V29" s="911">
        <v>0</v>
      </c>
      <c r="W29" s="921">
        <v>0</v>
      </c>
      <c r="X29" s="912">
        <v>0</v>
      </c>
      <c r="Y29" s="912"/>
      <c r="Z29" s="912">
        <v>0</v>
      </c>
      <c r="AA29" s="908" t="s">
        <v>882</v>
      </c>
      <c r="AB29" s="75" t="s">
        <v>28</v>
      </c>
      <c r="AC29" s="137" t="s">
        <v>698</v>
      </c>
      <c r="AD29" s="918" t="s">
        <v>339</v>
      </c>
      <c r="AE29" s="137" t="s">
        <v>339</v>
      </c>
      <c r="AF29" s="99" t="s">
        <v>364</v>
      </c>
    </row>
    <row r="30" spans="1:32" s="584" customFormat="1" ht="30" x14ac:dyDescent="0.25">
      <c r="A30" s="36" t="s">
        <v>333</v>
      </c>
      <c r="B30" s="431" t="s">
        <v>33</v>
      </c>
      <c r="C30" s="908">
        <v>2018</v>
      </c>
      <c r="D30" s="908" t="s">
        <v>332</v>
      </c>
      <c r="E30" s="914" t="s">
        <v>10</v>
      </c>
      <c r="F30" s="914" t="s">
        <v>10</v>
      </c>
      <c r="G30" s="898" t="s">
        <v>34</v>
      </c>
      <c r="H30" s="909">
        <f>25400-500-4300-700</f>
        <v>19900</v>
      </c>
      <c r="I30" s="907">
        <v>15435.52873</v>
      </c>
      <c r="J30" s="907">
        <v>0</v>
      </c>
      <c r="K30" s="907">
        <v>0</v>
      </c>
      <c r="L30" s="895">
        <v>0</v>
      </c>
      <c r="M30" s="920">
        <v>0</v>
      </c>
      <c r="N30" s="911">
        <v>0</v>
      </c>
      <c r="O30" s="565">
        <v>0</v>
      </c>
      <c r="P30" s="922">
        <v>0</v>
      </c>
      <c r="Q30" s="962">
        <f t="shared" si="3"/>
        <v>0</v>
      </c>
      <c r="R30" s="911">
        <f>3097+1178.19077-700+889+0.2805</f>
        <v>4464.47127</v>
      </c>
      <c r="S30" s="767">
        <v>0</v>
      </c>
      <c r="T30" s="911">
        <v>0</v>
      </c>
      <c r="U30" s="920">
        <v>0</v>
      </c>
      <c r="V30" s="911">
        <v>0</v>
      </c>
      <c r="W30" s="921">
        <v>0</v>
      </c>
      <c r="X30" s="912">
        <v>0</v>
      </c>
      <c r="Y30" s="912">
        <v>0</v>
      </c>
      <c r="Z30" s="912">
        <v>0</v>
      </c>
      <c r="AA30" s="908" t="s">
        <v>824</v>
      </c>
      <c r="AB30" s="75" t="s">
        <v>28</v>
      </c>
      <c r="AC30" s="137" t="s">
        <v>555</v>
      </c>
      <c r="AD30" s="137" t="s">
        <v>339</v>
      </c>
      <c r="AE30" s="137" t="s">
        <v>339</v>
      </c>
      <c r="AF30" s="99" t="s">
        <v>365</v>
      </c>
    </row>
    <row r="31" spans="1:32" ht="25.5" x14ac:dyDescent="0.25">
      <c r="A31" s="771" t="s">
        <v>334</v>
      </c>
      <c r="B31" s="431" t="s">
        <v>319</v>
      </c>
      <c r="C31" s="908">
        <v>2018</v>
      </c>
      <c r="D31" s="908" t="s">
        <v>332</v>
      </c>
      <c r="E31" s="914" t="s">
        <v>10</v>
      </c>
      <c r="F31" s="914" t="s">
        <v>10</v>
      </c>
      <c r="G31" s="898" t="s">
        <v>35</v>
      </c>
      <c r="H31" s="8">
        <f>2000+406+2500</f>
        <v>4906</v>
      </c>
      <c r="I31" s="909">
        <v>1874.1220000000001</v>
      </c>
      <c r="J31" s="909">
        <v>0</v>
      </c>
      <c r="K31" s="909">
        <v>116.114</v>
      </c>
      <c r="L31" s="114">
        <v>0</v>
      </c>
      <c r="M31" s="788">
        <v>0</v>
      </c>
      <c r="N31" s="766">
        <v>1415.7639999999999</v>
      </c>
      <c r="O31" s="565">
        <v>1531.8780000000002</v>
      </c>
      <c r="P31" s="922">
        <v>0</v>
      </c>
      <c r="Q31" s="962">
        <f t="shared" si="3"/>
        <v>1531.8780000000002</v>
      </c>
      <c r="R31" s="766">
        <v>1500</v>
      </c>
      <c r="S31" s="764">
        <v>0</v>
      </c>
      <c r="T31" s="911">
        <v>0</v>
      </c>
      <c r="U31" s="788">
        <v>0</v>
      </c>
      <c r="V31" s="766">
        <v>0</v>
      </c>
      <c r="W31" s="626">
        <v>0</v>
      </c>
      <c r="X31" s="117">
        <v>0</v>
      </c>
      <c r="Y31" s="117">
        <v>0</v>
      </c>
      <c r="Z31" s="117">
        <v>0</v>
      </c>
      <c r="AA31" s="908" t="s">
        <v>883</v>
      </c>
      <c r="AB31" s="75" t="s">
        <v>28</v>
      </c>
      <c r="AC31" s="137" t="s">
        <v>646</v>
      </c>
      <c r="AD31" s="137" t="s">
        <v>339</v>
      </c>
      <c r="AE31" s="137" t="s">
        <v>339</v>
      </c>
      <c r="AF31" s="99" t="s">
        <v>364</v>
      </c>
    </row>
    <row r="32" spans="1:32" ht="30.75" thickBot="1" x14ac:dyDescent="0.3">
      <c r="A32" s="771" t="s">
        <v>335</v>
      </c>
      <c r="B32" s="900" t="s">
        <v>336</v>
      </c>
      <c r="C32" s="893">
        <v>2018</v>
      </c>
      <c r="D32" s="893" t="s">
        <v>332</v>
      </c>
      <c r="E32" s="887" t="s">
        <v>10</v>
      </c>
      <c r="F32" s="887" t="s">
        <v>10</v>
      </c>
      <c r="G32" s="898" t="s">
        <v>36</v>
      </c>
      <c r="H32" s="8">
        <f>3000-406</f>
        <v>2594</v>
      </c>
      <c r="I32" s="91">
        <v>593.38</v>
      </c>
      <c r="J32" s="91">
        <v>0</v>
      </c>
      <c r="K32" s="91">
        <v>0</v>
      </c>
      <c r="L32" s="291">
        <v>0</v>
      </c>
      <c r="M32" s="123">
        <v>0</v>
      </c>
      <c r="N32" s="53">
        <v>0</v>
      </c>
      <c r="O32" s="1362">
        <v>0</v>
      </c>
      <c r="P32" s="635">
        <v>0</v>
      </c>
      <c r="Q32" s="964">
        <f t="shared" si="3"/>
        <v>0</v>
      </c>
      <c r="R32" s="11">
        <v>2000.62</v>
      </c>
      <c r="S32" s="10">
        <v>0</v>
      </c>
      <c r="T32" s="911">
        <v>0</v>
      </c>
      <c r="U32" s="311">
        <v>0</v>
      </c>
      <c r="V32" s="11">
        <v>0</v>
      </c>
      <c r="W32" s="625">
        <v>0</v>
      </c>
      <c r="X32" s="393">
        <v>0</v>
      </c>
      <c r="Y32" s="393">
        <v>0</v>
      </c>
      <c r="Z32" s="393">
        <v>0</v>
      </c>
      <c r="AA32" s="908" t="s">
        <v>825</v>
      </c>
      <c r="AB32" s="75" t="s">
        <v>17</v>
      </c>
      <c r="AC32" s="879" t="s">
        <v>617</v>
      </c>
      <c r="AD32" s="137" t="s">
        <v>338</v>
      </c>
      <c r="AE32" s="137" t="s">
        <v>338</v>
      </c>
      <c r="AF32" s="151" t="s">
        <v>365</v>
      </c>
    </row>
    <row r="33" spans="1:32" ht="38.25" x14ac:dyDescent="0.25">
      <c r="A33" s="58" t="s">
        <v>556</v>
      </c>
      <c r="B33" s="390" t="s">
        <v>699</v>
      </c>
      <c r="C33" s="886">
        <v>2020</v>
      </c>
      <c r="D33" s="886" t="s">
        <v>610</v>
      </c>
      <c r="E33" s="888" t="s">
        <v>10</v>
      </c>
      <c r="F33" s="888" t="s">
        <v>10</v>
      </c>
      <c r="G33" s="84" t="s">
        <v>557</v>
      </c>
      <c r="H33" s="769">
        <v>18200</v>
      </c>
      <c r="I33" s="907">
        <v>0</v>
      </c>
      <c r="J33" s="907">
        <v>0</v>
      </c>
      <c r="K33" s="907">
        <v>0</v>
      </c>
      <c r="L33" s="895">
        <v>0</v>
      </c>
      <c r="M33" s="787">
        <v>0</v>
      </c>
      <c r="N33" s="881">
        <v>10000</v>
      </c>
      <c r="O33" s="923">
        <v>10000</v>
      </c>
      <c r="P33" s="922">
        <v>0</v>
      </c>
      <c r="Q33" s="969">
        <f t="shared" si="3"/>
        <v>10000</v>
      </c>
      <c r="R33" s="778">
        <v>8200</v>
      </c>
      <c r="S33" s="5">
        <v>0</v>
      </c>
      <c r="T33" s="778">
        <v>0</v>
      </c>
      <c r="U33" s="897">
        <v>0</v>
      </c>
      <c r="V33" s="778">
        <v>0</v>
      </c>
      <c r="W33" s="632">
        <v>0</v>
      </c>
      <c r="X33" s="728">
        <v>0</v>
      </c>
      <c r="Y33" s="728">
        <v>0</v>
      </c>
      <c r="Z33" s="728">
        <v>0</v>
      </c>
      <c r="AA33" s="886" t="s">
        <v>884</v>
      </c>
      <c r="AB33" s="606" t="s">
        <v>12</v>
      </c>
      <c r="AC33" s="598" t="s">
        <v>837</v>
      </c>
      <c r="AD33" s="606" t="s">
        <v>338</v>
      </c>
      <c r="AE33" s="606" t="s">
        <v>338</v>
      </c>
      <c r="AF33" s="882">
        <v>1</v>
      </c>
    </row>
    <row r="34" spans="1:32" ht="45.75" thickBot="1" x14ac:dyDescent="0.3">
      <c r="A34" s="480" t="s">
        <v>558</v>
      </c>
      <c r="B34" s="1026" t="s">
        <v>700</v>
      </c>
      <c r="C34" s="345">
        <v>2020</v>
      </c>
      <c r="D34" s="345" t="s">
        <v>610</v>
      </c>
      <c r="E34" s="1027" t="s">
        <v>10</v>
      </c>
      <c r="F34" s="1027" t="s">
        <v>10</v>
      </c>
      <c r="G34" s="1028" t="s">
        <v>559</v>
      </c>
      <c r="H34" s="542">
        <f>8000+4300</f>
        <v>12300</v>
      </c>
      <c r="I34" s="346">
        <v>0</v>
      </c>
      <c r="J34" s="542">
        <v>9137.6392799999994</v>
      </c>
      <c r="K34" s="542">
        <v>0</v>
      </c>
      <c r="L34" s="466">
        <v>0</v>
      </c>
      <c r="M34" s="1029">
        <v>0</v>
      </c>
      <c r="N34" s="1030">
        <v>0</v>
      </c>
      <c r="O34" s="508">
        <v>9200</v>
      </c>
      <c r="P34" s="682">
        <v>-62.360720000000001</v>
      </c>
      <c r="Q34" s="481">
        <f t="shared" si="3"/>
        <v>9137.6392799999994</v>
      </c>
      <c r="R34" s="357">
        <f>3100+62.36072</f>
        <v>3162.3607200000001</v>
      </c>
      <c r="S34" s="355">
        <v>0</v>
      </c>
      <c r="T34" s="357">
        <v>0</v>
      </c>
      <c r="U34" s="1029">
        <v>0</v>
      </c>
      <c r="V34" s="357">
        <v>0</v>
      </c>
      <c r="W34" s="1031">
        <v>0</v>
      </c>
      <c r="X34" s="1032">
        <v>0</v>
      </c>
      <c r="Y34" s="1032">
        <v>0</v>
      </c>
      <c r="Z34" s="1032">
        <v>0</v>
      </c>
      <c r="AA34" s="587" t="s">
        <v>945</v>
      </c>
      <c r="AB34" s="1033" t="s">
        <v>28</v>
      </c>
      <c r="AC34" s="1034" t="s">
        <v>784</v>
      </c>
      <c r="AD34" s="1035" t="s">
        <v>339</v>
      </c>
      <c r="AE34" s="1035" t="s">
        <v>339</v>
      </c>
      <c r="AF34" s="467" t="s">
        <v>363</v>
      </c>
    </row>
    <row r="35" spans="1:32" ht="30" x14ac:dyDescent="0.25">
      <c r="A35" s="30" t="s">
        <v>611</v>
      </c>
      <c r="B35" s="300" t="s">
        <v>808</v>
      </c>
      <c r="C35" s="882">
        <v>2020</v>
      </c>
      <c r="D35" s="685" t="s">
        <v>733</v>
      </c>
      <c r="E35" s="31" t="s">
        <v>10</v>
      </c>
      <c r="F35" s="31" t="s">
        <v>10</v>
      </c>
      <c r="G35" s="894" t="s">
        <v>612</v>
      </c>
      <c r="H35" s="909">
        <f>550+137.82916</f>
        <v>687.82916</v>
      </c>
      <c r="I35" s="907">
        <v>106.48</v>
      </c>
      <c r="J35" s="907">
        <v>0</v>
      </c>
      <c r="K35" s="907">
        <v>0</v>
      </c>
      <c r="L35" s="895">
        <v>0</v>
      </c>
      <c r="M35" s="920">
        <f>235.28916+346.06</f>
        <v>581.34915999999998</v>
      </c>
      <c r="N35" s="910">
        <v>0</v>
      </c>
      <c r="O35" s="923">
        <v>581.34915999999998</v>
      </c>
      <c r="P35" s="922">
        <v>0</v>
      </c>
      <c r="Q35" s="961">
        <f t="shared" si="3"/>
        <v>581.34915999999998</v>
      </c>
      <c r="R35" s="911">
        <v>0</v>
      </c>
      <c r="S35" s="767">
        <v>0</v>
      </c>
      <c r="T35" s="911">
        <v>0</v>
      </c>
      <c r="U35" s="920">
        <v>0</v>
      </c>
      <c r="V35" s="911">
        <v>0</v>
      </c>
      <c r="W35" s="921">
        <v>0</v>
      </c>
      <c r="X35" s="912">
        <v>0</v>
      </c>
      <c r="Y35" s="912">
        <v>0</v>
      </c>
      <c r="Z35" s="912">
        <v>0</v>
      </c>
      <c r="AA35" s="908" t="s">
        <v>885</v>
      </c>
      <c r="AB35" s="75" t="s">
        <v>28</v>
      </c>
      <c r="AC35" s="137" t="s">
        <v>536</v>
      </c>
      <c r="AD35" s="137" t="s">
        <v>339</v>
      </c>
      <c r="AE35" s="137" t="s">
        <v>339</v>
      </c>
      <c r="AF35" s="402" t="s">
        <v>364</v>
      </c>
    </row>
    <row r="36" spans="1:32" ht="30" x14ac:dyDescent="0.25">
      <c r="A36" s="589" t="s">
        <v>613</v>
      </c>
      <c r="B36" s="1190" t="s">
        <v>324</v>
      </c>
      <c r="C36" s="501">
        <v>2020</v>
      </c>
      <c r="D36" s="1191" t="s">
        <v>733</v>
      </c>
      <c r="E36" s="620" t="s">
        <v>10</v>
      </c>
      <c r="F36" s="620" t="s">
        <v>10</v>
      </c>
      <c r="G36" s="554" t="s">
        <v>614</v>
      </c>
      <c r="H36" s="356">
        <v>0</v>
      </c>
      <c r="I36" s="618">
        <v>0</v>
      </c>
      <c r="J36" s="618">
        <v>0</v>
      </c>
      <c r="K36" s="618">
        <v>0</v>
      </c>
      <c r="L36" s="612">
        <v>0</v>
      </c>
      <c r="M36" s="537">
        <v>0</v>
      </c>
      <c r="N36" s="539">
        <v>0</v>
      </c>
      <c r="O36" s="638">
        <v>200</v>
      </c>
      <c r="P36" s="619">
        <v>-200</v>
      </c>
      <c r="Q36" s="1188">
        <f t="shared" si="3"/>
        <v>0</v>
      </c>
      <c r="R36" s="499">
        <v>0</v>
      </c>
      <c r="S36" s="498">
        <v>0</v>
      </c>
      <c r="T36" s="499">
        <v>0</v>
      </c>
      <c r="U36" s="537">
        <v>0</v>
      </c>
      <c r="V36" s="499">
        <v>0</v>
      </c>
      <c r="W36" s="1192">
        <v>0</v>
      </c>
      <c r="X36" s="637">
        <v>0</v>
      </c>
      <c r="Y36" s="637">
        <v>0</v>
      </c>
      <c r="Z36" s="637">
        <v>0</v>
      </c>
      <c r="AA36" s="501" t="s">
        <v>946</v>
      </c>
      <c r="AB36" s="528" t="s">
        <v>341</v>
      </c>
      <c r="AC36" s="1193" t="s">
        <v>618</v>
      </c>
      <c r="AD36" s="1193" t="s">
        <v>338</v>
      </c>
      <c r="AE36" s="1193" t="s">
        <v>338</v>
      </c>
      <c r="AF36" s="1194" t="s">
        <v>363</v>
      </c>
    </row>
    <row r="37" spans="1:32" ht="30.75" thickBot="1" x14ac:dyDescent="0.3">
      <c r="A37" s="1195" t="s">
        <v>615</v>
      </c>
      <c r="B37" s="1196" t="s">
        <v>324</v>
      </c>
      <c r="C37" s="1197">
        <v>2020</v>
      </c>
      <c r="D37" s="1198" t="s">
        <v>733</v>
      </c>
      <c r="E37" s="1199" t="s">
        <v>10</v>
      </c>
      <c r="F37" s="1199" t="s">
        <v>10</v>
      </c>
      <c r="G37" s="1200" t="s">
        <v>826</v>
      </c>
      <c r="H37" s="611">
        <v>0</v>
      </c>
      <c r="I37" s="611">
        <v>0</v>
      </c>
      <c r="J37" s="611">
        <v>0</v>
      </c>
      <c r="K37" s="611">
        <v>0</v>
      </c>
      <c r="L37" s="1012">
        <v>0</v>
      </c>
      <c r="M37" s="1014">
        <v>0</v>
      </c>
      <c r="N37" s="1201">
        <v>0</v>
      </c>
      <c r="O37" s="1011">
        <v>802</v>
      </c>
      <c r="P37" s="1010">
        <v>-802</v>
      </c>
      <c r="Q37" s="1202">
        <f t="shared" si="3"/>
        <v>0</v>
      </c>
      <c r="R37" s="1015">
        <v>0</v>
      </c>
      <c r="S37" s="1013">
        <v>0</v>
      </c>
      <c r="T37" s="1015">
        <v>0</v>
      </c>
      <c r="U37" s="1014">
        <v>0</v>
      </c>
      <c r="V37" s="1015">
        <v>0</v>
      </c>
      <c r="W37" s="1010">
        <v>0</v>
      </c>
      <c r="X37" s="1203">
        <v>0</v>
      </c>
      <c r="Y37" s="1203">
        <v>0</v>
      </c>
      <c r="Z37" s="1203">
        <v>0</v>
      </c>
      <c r="AA37" s="1197" t="s">
        <v>947</v>
      </c>
      <c r="AB37" s="1204" t="s">
        <v>341</v>
      </c>
      <c r="AC37" s="1205" t="s">
        <v>618</v>
      </c>
      <c r="AD37" s="1205" t="s">
        <v>338</v>
      </c>
      <c r="AE37" s="1205" t="s">
        <v>338</v>
      </c>
      <c r="AF37" s="1206" t="s">
        <v>364</v>
      </c>
    </row>
    <row r="38" spans="1:32" ht="30" x14ac:dyDescent="0.25">
      <c r="A38" s="58" t="s">
        <v>827</v>
      </c>
      <c r="B38" s="390" t="s">
        <v>324</v>
      </c>
      <c r="C38" s="886">
        <v>2021</v>
      </c>
      <c r="D38" s="719" t="s">
        <v>842</v>
      </c>
      <c r="E38" s="888" t="s">
        <v>10</v>
      </c>
      <c r="F38" s="888" t="s">
        <v>10</v>
      </c>
      <c r="G38" s="84" t="s">
        <v>828</v>
      </c>
      <c r="H38" s="907">
        <v>5000</v>
      </c>
      <c r="I38" s="907">
        <v>0</v>
      </c>
      <c r="J38" s="907">
        <v>0</v>
      </c>
      <c r="K38" s="907">
        <v>0</v>
      </c>
      <c r="L38" s="895">
        <v>0</v>
      </c>
      <c r="M38" s="787">
        <v>0</v>
      </c>
      <c r="N38" s="881">
        <v>0</v>
      </c>
      <c r="O38" s="923">
        <v>0</v>
      </c>
      <c r="P38" s="922">
        <v>0</v>
      </c>
      <c r="Q38" s="961">
        <f t="shared" si="3"/>
        <v>0</v>
      </c>
      <c r="R38" s="884">
        <v>5000</v>
      </c>
      <c r="S38" s="1">
        <v>0</v>
      </c>
      <c r="T38" s="884">
        <v>0</v>
      </c>
      <c r="U38" s="787">
        <v>0</v>
      </c>
      <c r="V38" s="884">
        <v>0</v>
      </c>
      <c r="W38" s="905">
        <v>0</v>
      </c>
      <c r="X38" s="905">
        <v>0</v>
      </c>
      <c r="Y38" s="905">
        <v>0</v>
      </c>
      <c r="Z38" s="905">
        <v>0</v>
      </c>
      <c r="AA38" s="882" t="s">
        <v>886</v>
      </c>
      <c r="AB38" s="606" t="s">
        <v>17</v>
      </c>
      <c r="AC38" s="598" t="s">
        <v>837</v>
      </c>
      <c r="AD38" s="309" t="s">
        <v>338</v>
      </c>
      <c r="AE38" s="309" t="s">
        <v>338</v>
      </c>
      <c r="AF38" s="402" t="s">
        <v>365</v>
      </c>
    </row>
    <row r="39" spans="1:32" s="721" customFormat="1" ht="15.75" thickBot="1" x14ac:dyDescent="0.3">
      <c r="A39" s="115" t="s">
        <v>357</v>
      </c>
      <c r="B39" s="116" t="s">
        <v>357</v>
      </c>
      <c r="C39" s="913" t="s">
        <v>357</v>
      </c>
      <c r="D39" s="913" t="s">
        <v>357</v>
      </c>
      <c r="E39" s="776" t="s">
        <v>357</v>
      </c>
      <c r="F39" s="776" t="s">
        <v>357</v>
      </c>
      <c r="G39" s="550" t="s">
        <v>357</v>
      </c>
      <c r="H39" s="822" t="s">
        <v>357</v>
      </c>
      <c r="I39" s="822" t="s">
        <v>357</v>
      </c>
      <c r="J39" s="440" t="s">
        <v>357</v>
      </c>
      <c r="K39" s="440" t="s">
        <v>357</v>
      </c>
      <c r="L39" s="263" t="s">
        <v>357</v>
      </c>
      <c r="M39" s="443" t="s">
        <v>357</v>
      </c>
      <c r="N39" s="406" t="s">
        <v>357</v>
      </c>
      <c r="O39" s="753" t="s">
        <v>357</v>
      </c>
      <c r="P39" s="818" t="s">
        <v>357</v>
      </c>
      <c r="Q39" s="968" t="s">
        <v>357</v>
      </c>
      <c r="R39" s="441" t="s">
        <v>357</v>
      </c>
      <c r="S39" s="276" t="s">
        <v>357</v>
      </c>
      <c r="T39" s="441" t="s">
        <v>357</v>
      </c>
      <c r="U39" s="443" t="s">
        <v>357</v>
      </c>
      <c r="V39" s="441" t="s">
        <v>357</v>
      </c>
      <c r="W39" s="276" t="s">
        <v>357</v>
      </c>
      <c r="X39" s="276" t="s">
        <v>357</v>
      </c>
      <c r="Y39" s="276" t="s">
        <v>357</v>
      </c>
      <c r="Z39" s="276" t="s">
        <v>357</v>
      </c>
      <c r="AA39" s="406" t="s">
        <v>357</v>
      </c>
      <c r="AB39" s="90" t="s">
        <v>357</v>
      </c>
      <c r="AC39" s="373" t="s">
        <v>357</v>
      </c>
      <c r="AD39" s="373" t="s">
        <v>357</v>
      </c>
      <c r="AE39" s="373" t="s">
        <v>357</v>
      </c>
      <c r="AF39" s="151" t="s">
        <v>357</v>
      </c>
    </row>
    <row r="40" spans="1:32" ht="35.25" customHeight="1" thickBot="1" x14ac:dyDescent="0.3">
      <c r="A40" s="370" t="s">
        <v>317</v>
      </c>
      <c r="B40" s="371" t="s">
        <v>317</v>
      </c>
      <c r="C40" s="79" t="s">
        <v>317</v>
      </c>
      <c r="D40" s="59" t="s">
        <v>317</v>
      </c>
      <c r="E40" s="59" t="s">
        <v>317</v>
      </c>
      <c r="F40" s="59" t="s">
        <v>317</v>
      </c>
      <c r="G40" s="548" t="s">
        <v>373</v>
      </c>
      <c r="H40" s="892">
        <f>SUM(H27:H39)</f>
        <v>111155.64416</v>
      </c>
      <c r="I40" s="892">
        <f>SUM(I27:I39)</f>
        <v>55456.182229999999</v>
      </c>
      <c r="J40" s="892">
        <f t="shared" ref="J40:Z40" si="4">SUM(J27:J39)</f>
        <v>9252.9825299999993</v>
      </c>
      <c r="K40" s="892">
        <f t="shared" si="4"/>
        <v>1205.114</v>
      </c>
      <c r="L40" s="892">
        <f t="shared" si="4"/>
        <v>0</v>
      </c>
      <c r="M40" s="892">
        <f t="shared" si="4"/>
        <v>2872.6661599999998</v>
      </c>
      <c r="N40" s="892">
        <f t="shared" si="4"/>
        <v>14501.603999999999</v>
      </c>
      <c r="O40" s="892">
        <f t="shared" si="4"/>
        <v>27894.727410000003</v>
      </c>
      <c r="P40" s="892">
        <f t="shared" si="4"/>
        <v>-62.360720000000015</v>
      </c>
      <c r="Q40" s="892">
        <f t="shared" si="4"/>
        <v>27832.366690000003</v>
      </c>
      <c r="R40" s="892">
        <f t="shared" si="4"/>
        <v>27867.095239999999</v>
      </c>
      <c r="S40" s="892">
        <f t="shared" si="4"/>
        <v>0</v>
      </c>
      <c r="T40" s="892">
        <f t="shared" si="4"/>
        <v>0</v>
      </c>
      <c r="U40" s="892">
        <f t="shared" si="4"/>
        <v>0</v>
      </c>
      <c r="V40" s="892">
        <f t="shared" si="4"/>
        <v>0</v>
      </c>
      <c r="W40" s="892">
        <f t="shared" si="4"/>
        <v>0</v>
      </c>
      <c r="X40" s="892">
        <f t="shared" si="4"/>
        <v>0</v>
      </c>
      <c r="Y40" s="892">
        <f t="shared" si="4"/>
        <v>0</v>
      </c>
      <c r="Z40" s="892">
        <f t="shared" si="4"/>
        <v>0</v>
      </c>
      <c r="AA40" s="66" t="s">
        <v>913</v>
      </c>
      <c r="AB40" s="59" t="s">
        <v>317</v>
      </c>
      <c r="AC40" s="326" t="s">
        <v>317</v>
      </c>
      <c r="AD40" s="326" t="s">
        <v>317</v>
      </c>
      <c r="AE40" s="326" t="s">
        <v>317</v>
      </c>
      <c r="AF40" s="59" t="s">
        <v>317</v>
      </c>
    </row>
    <row r="41" spans="1:32" s="698" customFormat="1" ht="30" x14ac:dyDescent="0.25">
      <c r="A41" s="529" t="s">
        <v>37</v>
      </c>
      <c r="B41" s="530" t="s">
        <v>38</v>
      </c>
      <c r="C41" s="285">
        <v>2013</v>
      </c>
      <c r="D41" s="285" t="s">
        <v>421</v>
      </c>
      <c r="E41" s="285" t="s">
        <v>10</v>
      </c>
      <c r="F41" s="496" t="s">
        <v>10</v>
      </c>
      <c r="G41" s="551" t="s">
        <v>819</v>
      </c>
      <c r="H41" s="421">
        <f>219905+250000</f>
        <v>469905</v>
      </c>
      <c r="I41" s="585">
        <v>156926.05294000002</v>
      </c>
      <c r="J41" s="585">
        <v>3290.4879999999998</v>
      </c>
      <c r="K41" s="588">
        <v>656.67</v>
      </c>
      <c r="L41" s="600">
        <v>808.6</v>
      </c>
      <c r="M41" s="1080">
        <f>20000+36052.842-10000</f>
        <v>46052.841999999997</v>
      </c>
      <c r="N41" s="1076">
        <v>20000</v>
      </c>
      <c r="O41" s="510">
        <v>100000</v>
      </c>
      <c r="P41" s="586">
        <f>-20000-10000</f>
        <v>-30000</v>
      </c>
      <c r="Q41" s="1046">
        <f t="shared" ref="Q41:Q104" si="5">O41+P41</f>
        <v>70000</v>
      </c>
      <c r="R41" s="1077">
        <v>62978.947059999999</v>
      </c>
      <c r="S41" s="1078">
        <f>170000+10000</f>
        <v>180000</v>
      </c>
      <c r="T41" s="1079">
        <v>0</v>
      </c>
      <c r="U41" s="1080">
        <v>0</v>
      </c>
      <c r="V41" s="1076">
        <v>0</v>
      </c>
      <c r="W41" s="1081">
        <v>0</v>
      </c>
      <c r="X41" s="1082">
        <v>0</v>
      </c>
      <c r="Y41" s="1083">
        <v>0</v>
      </c>
      <c r="Z41" s="1084">
        <v>0</v>
      </c>
      <c r="AA41" s="286" t="s">
        <v>1018</v>
      </c>
      <c r="AB41" s="335" t="s">
        <v>28</v>
      </c>
      <c r="AC41" s="497" t="s">
        <v>337</v>
      </c>
      <c r="AD41" s="497" t="s">
        <v>337</v>
      </c>
      <c r="AE41" s="497" t="s">
        <v>339</v>
      </c>
      <c r="AF41" s="490" t="s">
        <v>363</v>
      </c>
    </row>
    <row r="42" spans="1:32" s="698" customFormat="1" ht="30" x14ac:dyDescent="0.25">
      <c r="A42" s="513" t="s">
        <v>39</v>
      </c>
      <c r="B42" s="514" t="s">
        <v>40</v>
      </c>
      <c r="C42" s="195">
        <v>2006</v>
      </c>
      <c r="D42" s="195" t="s">
        <v>420</v>
      </c>
      <c r="E42" s="195" t="s">
        <v>10</v>
      </c>
      <c r="F42" s="259" t="s">
        <v>10</v>
      </c>
      <c r="G42" s="482" t="s">
        <v>41</v>
      </c>
      <c r="H42" s="244">
        <f>393116.17+102000+10000+18000</f>
        <v>523116.17</v>
      </c>
      <c r="I42" s="420">
        <v>370401.97985999996</v>
      </c>
      <c r="J42" s="420">
        <v>10871.721729999999</v>
      </c>
      <c r="K42" s="420">
        <v>14246.628909999999</v>
      </c>
      <c r="L42" s="871">
        <v>1406.183</v>
      </c>
      <c r="M42" s="1092">
        <f>20000+9881.64936</f>
        <v>29881.649359999999</v>
      </c>
      <c r="N42" s="861">
        <v>38000</v>
      </c>
      <c r="O42" s="1207">
        <v>75000.000000000015</v>
      </c>
      <c r="P42" s="1208">
        <v>18000</v>
      </c>
      <c r="Q42" s="1089">
        <f t="shared" si="5"/>
        <v>93000.000000000015</v>
      </c>
      <c r="R42" s="1090">
        <v>39714.190139999999</v>
      </c>
      <c r="S42" s="1091">
        <v>20000</v>
      </c>
      <c r="T42" s="1090">
        <v>0</v>
      </c>
      <c r="U42" s="1092">
        <v>0</v>
      </c>
      <c r="V42" s="861">
        <v>0</v>
      </c>
      <c r="W42" s="1209">
        <v>0</v>
      </c>
      <c r="X42" s="1092">
        <v>0</v>
      </c>
      <c r="Y42" s="1210">
        <v>0</v>
      </c>
      <c r="Z42" s="861">
        <v>0</v>
      </c>
      <c r="AA42" s="195" t="s">
        <v>965</v>
      </c>
      <c r="AB42" s="195" t="s">
        <v>28</v>
      </c>
      <c r="AC42" s="474" t="s">
        <v>337</v>
      </c>
      <c r="AD42" s="474" t="s">
        <v>337</v>
      </c>
      <c r="AE42" s="493" t="s">
        <v>339</v>
      </c>
      <c r="AF42" s="475" t="s">
        <v>363</v>
      </c>
    </row>
    <row r="43" spans="1:32" s="1288" customFormat="1" ht="30" x14ac:dyDescent="0.25">
      <c r="A43" s="1301" t="s">
        <v>46</v>
      </c>
      <c r="B43" s="1302" t="s">
        <v>320</v>
      </c>
      <c r="C43" s="1266">
        <v>2017</v>
      </c>
      <c r="D43" s="1267" t="s">
        <v>340</v>
      </c>
      <c r="E43" s="1266" t="s">
        <v>42</v>
      </c>
      <c r="F43" s="1268" t="s">
        <v>42</v>
      </c>
      <c r="G43" s="1303" t="s">
        <v>47</v>
      </c>
      <c r="H43" s="1304">
        <f>6636-565.14685</f>
        <v>6070.8531499999999</v>
      </c>
      <c r="I43" s="1305">
        <v>6070.853149999999</v>
      </c>
      <c r="J43" s="1306">
        <v>0</v>
      </c>
      <c r="K43" s="1306">
        <v>0</v>
      </c>
      <c r="L43" s="1307">
        <v>0</v>
      </c>
      <c r="M43" s="1308">
        <f>565.14685-565.14685</f>
        <v>0</v>
      </c>
      <c r="N43" s="1309">
        <v>0</v>
      </c>
      <c r="O43" s="1275">
        <v>565.14684999999997</v>
      </c>
      <c r="P43" s="1276">
        <v>-565.14684999999997</v>
      </c>
      <c r="Q43" s="1310">
        <f t="shared" si="5"/>
        <v>0</v>
      </c>
      <c r="R43" s="1311">
        <v>0</v>
      </c>
      <c r="S43" s="1312">
        <v>0</v>
      </c>
      <c r="T43" s="1311">
        <v>0</v>
      </c>
      <c r="U43" s="1308">
        <v>0</v>
      </c>
      <c r="V43" s="1309">
        <v>0</v>
      </c>
      <c r="W43" s="1292">
        <v>0</v>
      </c>
      <c r="X43" s="1273">
        <v>0</v>
      </c>
      <c r="Y43" s="1293">
        <v>0</v>
      </c>
      <c r="Z43" s="1313">
        <v>0</v>
      </c>
      <c r="AA43" s="1267" t="s">
        <v>1027</v>
      </c>
      <c r="AB43" s="1266" t="s">
        <v>352</v>
      </c>
      <c r="AC43" s="1286" t="s">
        <v>617</v>
      </c>
      <c r="AD43" s="1286" t="s">
        <v>339</v>
      </c>
      <c r="AE43" s="1286" t="s">
        <v>339</v>
      </c>
      <c r="AF43" s="1287" t="s">
        <v>364</v>
      </c>
    </row>
    <row r="44" spans="1:32" s="1288" customFormat="1" ht="30" x14ac:dyDescent="0.25">
      <c r="A44" s="1314" t="s">
        <v>49</v>
      </c>
      <c r="B44" s="1315" t="s">
        <v>321</v>
      </c>
      <c r="C44" s="1316">
        <v>2018</v>
      </c>
      <c r="D44" s="1316" t="s">
        <v>48</v>
      </c>
      <c r="E44" s="1317" t="s">
        <v>42</v>
      </c>
      <c r="F44" s="1317" t="s">
        <v>42</v>
      </c>
      <c r="G44" s="1318" t="s">
        <v>50</v>
      </c>
      <c r="H44" s="1319">
        <f>20040-421.10754</f>
        <v>19618.892459999999</v>
      </c>
      <c r="I44" s="1305">
        <v>19618.892459999995</v>
      </c>
      <c r="J44" s="1306">
        <v>0</v>
      </c>
      <c r="K44" s="1306">
        <v>0</v>
      </c>
      <c r="L44" s="1307">
        <v>0</v>
      </c>
      <c r="M44" s="1308">
        <f>421.10754-421.10754</f>
        <v>0</v>
      </c>
      <c r="N44" s="1309">
        <v>0</v>
      </c>
      <c r="O44" s="1275">
        <v>421.10753999999997</v>
      </c>
      <c r="P44" s="1276">
        <v>-421.10753999999997</v>
      </c>
      <c r="Q44" s="1310">
        <f t="shared" si="5"/>
        <v>0</v>
      </c>
      <c r="R44" s="1311">
        <v>0</v>
      </c>
      <c r="S44" s="1312">
        <v>0</v>
      </c>
      <c r="T44" s="1311">
        <v>0</v>
      </c>
      <c r="U44" s="1308">
        <v>0</v>
      </c>
      <c r="V44" s="1309">
        <v>0</v>
      </c>
      <c r="W44" s="1292">
        <v>0</v>
      </c>
      <c r="X44" s="1273">
        <v>0</v>
      </c>
      <c r="Y44" s="1293">
        <v>0</v>
      </c>
      <c r="Z44" s="1313">
        <v>0</v>
      </c>
      <c r="AA44" s="1267" t="s">
        <v>1028</v>
      </c>
      <c r="AB44" s="1266" t="s">
        <v>352</v>
      </c>
      <c r="AC44" s="1286" t="s">
        <v>837</v>
      </c>
      <c r="AD44" s="1286" t="s">
        <v>339</v>
      </c>
      <c r="AE44" s="1286" t="s">
        <v>339</v>
      </c>
      <c r="AF44" s="1287" t="s">
        <v>364</v>
      </c>
    </row>
    <row r="45" spans="1:32" s="584" customFormat="1" ht="25.5" x14ac:dyDescent="0.25">
      <c r="A45" s="382" t="s">
        <v>51</v>
      </c>
      <c r="B45" s="383" t="s">
        <v>553</v>
      </c>
      <c r="C45" s="908">
        <v>2018</v>
      </c>
      <c r="D45" s="908" t="s">
        <v>48</v>
      </c>
      <c r="E45" s="914" t="s">
        <v>42</v>
      </c>
      <c r="F45" s="914" t="s">
        <v>42</v>
      </c>
      <c r="G45" s="282" t="s">
        <v>52</v>
      </c>
      <c r="H45" s="883">
        <v>3707.5645300000001</v>
      </c>
      <c r="I45" s="399">
        <v>3657.5645300000001</v>
      </c>
      <c r="J45" s="399">
        <v>0</v>
      </c>
      <c r="K45" s="399">
        <v>0</v>
      </c>
      <c r="L45" s="205">
        <v>0</v>
      </c>
      <c r="M45" s="707">
        <v>0</v>
      </c>
      <c r="N45" s="912">
        <v>50</v>
      </c>
      <c r="O45" s="923">
        <v>50</v>
      </c>
      <c r="P45" s="922">
        <v>0</v>
      </c>
      <c r="Q45" s="961">
        <f t="shared" si="5"/>
        <v>50</v>
      </c>
      <c r="R45" s="739">
        <v>0</v>
      </c>
      <c r="S45" s="921">
        <v>0</v>
      </c>
      <c r="T45" s="739">
        <v>0</v>
      </c>
      <c r="U45" s="707">
        <v>0</v>
      </c>
      <c r="V45" s="912">
        <v>0</v>
      </c>
      <c r="W45" s="704">
        <v>0</v>
      </c>
      <c r="X45" s="408">
        <v>0</v>
      </c>
      <c r="Y45" s="705">
        <v>0</v>
      </c>
      <c r="Z45" s="901">
        <v>0</v>
      </c>
      <c r="AA45" s="882" t="s">
        <v>895</v>
      </c>
      <c r="AB45" s="908" t="s">
        <v>28</v>
      </c>
      <c r="AC45" s="918" t="s">
        <v>617</v>
      </c>
      <c r="AD45" s="918" t="s">
        <v>339</v>
      </c>
      <c r="AE45" s="918" t="s">
        <v>339</v>
      </c>
      <c r="AF45" s="916" t="s">
        <v>363</v>
      </c>
    </row>
    <row r="46" spans="1:32" ht="30" x14ac:dyDescent="0.25">
      <c r="A46" s="36" t="s">
        <v>53</v>
      </c>
      <c r="B46" s="48" t="s">
        <v>324</v>
      </c>
      <c r="C46" s="45">
        <v>2018</v>
      </c>
      <c r="D46" s="45" t="s">
        <v>48</v>
      </c>
      <c r="E46" s="44" t="s">
        <v>42</v>
      </c>
      <c r="F46" s="44" t="s">
        <v>42</v>
      </c>
      <c r="G46" s="898" t="s">
        <v>54</v>
      </c>
      <c r="H46" s="215">
        <v>13323</v>
      </c>
      <c r="I46" s="399">
        <v>0</v>
      </c>
      <c r="J46" s="561">
        <v>0</v>
      </c>
      <c r="K46" s="561">
        <v>0</v>
      </c>
      <c r="L46" s="633">
        <v>0</v>
      </c>
      <c r="M46" s="701">
        <v>0</v>
      </c>
      <c r="N46" s="393">
        <v>13323</v>
      </c>
      <c r="O46" s="923">
        <v>13323</v>
      </c>
      <c r="P46" s="922">
        <v>0</v>
      </c>
      <c r="Q46" s="961">
        <f t="shared" si="5"/>
        <v>13323</v>
      </c>
      <c r="R46" s="802">
        <v>0</v>
      </c>
      <c r="S46" s="625">
        <v>0</v>
      </c>
      <c r="T46" s="802">
        <v>0</v>
      </c>
      <c r="U46" s="701">
        <v>0</v>
      </c>
      <c r="V46" s="393">
        <v>0</v>
      </c>
      <c r="W46" s="704">
        <v>0</v>
      </c>
      <c r="X46" s="408">
        <v>0</v>
      </c>
      <c r="Y46" s="705">
        <v>0</v>
      </c>
      <c r="Z46" s="901">
        <v>0</v>
      </c>
      <c r="AA46" s="882" t="s">
        <v>317</v>
      </c>
      <c r="AB46" s="908" t="s">
        <v>28</v>
      </c>
      <c r="AC46" s="918" t="s">
        <v>617</v>
      </c>
      <c r="AD46" s="918" t="s">
        <v>339</v>
      </c>
      <c r="AE46" s="918" t="s">
        <v>338</v>
      </c>
      <c r="AF46" s="916" t="s">
        <v>362</v>
      </c>
    </row>
    <row r="47" spans="1:32" s="1288" customFormat="1" ht="25.5" x14ac:dyDescent="0.25">
      <c r="A47" s="1314" t="s">
        <v>55</v>
      </c>
      <c r="B47" s="1315" t="s">
        <v>552</v>
      </c>
      <c r="C47" s="1316">
        <v>2018</v>
      </c>
      <c r="D47" s="1316" t="s">
        <v>48</v>
      </c>
      <c r="E47" s="1317" t="s">
        <v>42</v>
      </c>
      <c r="F47" s="1317" t="s">
        <v>42</v>
      </c>
      <c r="G47" s="1269" t="s">
        <v>56</v>
      </c>
      <c r="H47" s="1319">
        <f>3124.5-290.012</f>
        <v>2834.4879999999998</v>
      </c>
      <c r="I47" s="1305">
        <v>2834.4879999999998</v>
      </c>
      <c r="J47" s="1306">
        <v>0</v>
      </c>
      <c r="K47" s="1306">
        <v>0</v>
      </c>
      <c r="L47" s="1307">
        <v>0</v>
      </c>
      <c r="M47" s="1308">
        <f>290+0.012-290.012</f>
        <v>0</v>
      </c>
      <c r="N47" s="1309">
        <v>0</v>
      </c>
      <c r="O47" s="1275">
        <v>290.012</v>
      </c>
      <c r="P47" s="1276">
        <v>-290.012</v>
      </c>
      <c r="Q47" s="1277">
        <f t="shared" si="5"/>
        <v>0</v>
      </c>
      <c r="R47" s="1311">
        <v>0</v>
      </c>
      <c r="S47" s="1312">
        <v>0</v>
      </c>
      <c r="T47" s="1311">
        <v>0</v>
      </c>
      <c r="U47" s="1308">
        <v>0</v>
      </c>
      <c r="V47" s="1309">
        <v>0</v>
      </c>
      <c r="W47" s="1292">
        <v>0</v>
      </c>
      <c r="X47" s="1273">
        <v>0</v>
      </c>
      <c r="Y47" s="1293">
        <v>0</v>
      </c>
      <c r="Z47" s="1313">
        <v>0</v>
      </c>
      <c r="AA47" s="1267" t="s">
        <v>1029</v>
      </c>
      <c r="AB47" s="1266" t="s">
        <v>352</v>
      </c>
      <c r="AC47" s="1286" t="s">
        <v>617</v>
      </c>
      <c r="AD47" s="1286" t="s">
        <v>339</v>
      </c>
      <c r="AE47" s="1286" t="s">
        <v>339</v>
      </c>
      <c r="AF47" s="1287" t="s">
        <v>364</v>
      </c>
    </row>
    <row r="48" spans="1:32" ht="25.5" x14ac:dyDescent="0.25">
      <c r="A48" s="36" t="s">
        <v>57</v>
      </c>
      <c r="B48" s="48" t="s">
        <v>324</v>
      </c>
      <c r="C48" s="45">
        <v>2018</v>
      </c>
      <c r="D48" s="45" t="s">
        <v>48</v>
      </c>
      <c r="E48" s="44" t="s">
        <v>42</v>
      </c>
      <c r="F48" s="44" t="s">
        <v>42</v>
      </c>
      <c r="G48" s="898" t="s">
        <v>58</v>
      </c>
      <c r="H48" s="215">
        <v>350</v>
      </c>
      <c r="I48" s="399">
        <v>0</v>
      </c>
      <c r="J48" s="399">
        <v>0</v>
      </c>
      <c r="K48" s="399">
        <v>0</v>
      </c>
      <c r="L48" s="399">
        <v>0</v>
      </c>
      <c r="M48" s="701">
        <v>0</v>
      </c>
      <c r="N48" s="393">
        <v>0</v>
      </c>
      <c r="O48" s="923">
        <v>0</v>
      </c>
      <c r="P48" s="922">
        <v>0</v>
      </c>
      <c r="Q48" s="962">
        <f t="shared" si="5"/>
        <v>0</v>
      </c>
      <c r="R48" s="802">
        <v>0</v>
      </c>
      <c r="S48" s="802">
        <v>350</v>
      </c>
      <c r="T48" s="802">
        <v>0</v>
      </c>
      <c r="U48" s="701">
        <v>0</v>
      </c>
      <c r="V48" s="393">
        <v>0</v>
      </c>
      <c r="W48" s="706">
        <v>0</v>
      </c>
      <c r="X48" s="707">
        <v>0</v>
      </c>
      <c r="Y48" s="708">
        <v>0</v>
      </c>
      <c r="Z48" s="902">
        <v>0</v>
      </c>
      <c r="AA48" s="940" t="s">
        <v>317</v>
      </c>
      <c r="AB48" s="908" t="s">
        <v>17</v>
      </c>
      <c r="AC48" s="918" t="s">
        <v>698</v>
      </c>
      <c r="AD48" s="918" t="s">
        <v>338</v>
      </c>
      <c r="AE48" s="918" t="s">
        <v>338</v>
      </c>
      <c r="AF48" s="916" t="s">
        <v>365</v>
      </c>
    </row>
    <row r="49" spans="1:32" s="698" customFormat="1" ht="26.25" thickBot="1" x14ac:dyDescent="0.3">
      <c r="A49" s="1322" t="s">
        <v>59</v>
      </c>
      <c r="B49" s="1323" t="s">
        <v>342</v>
      </c>
      <c r="C49" s="345">
        <v>2018</v>
      </c>
      <c r="D49" s="345" t="s">
        <v>332</v>
      </c>
      <c r="E49" s="1324" t="s">
        <v>42</v>
      </c>
      <c r="F49" s="1324" t="s">
        <v>42</v>
      </c>
      <c r="G49" s="1325" t="s">
        <v>60</v>
      </c>
      <c r="H49" s="1326">
        <v>10317.778849999999</v>
      </c>
      <c r="I49" s="1327">
        <v>10039.2469</v>
      </c>
      <c r="J49" s="1328">
        <v>0</v>
      </c>
      <c r="K49" s="1328">
        <v>0</v>
      </c>
      <c r="L49" s="1329">
        <v>0</v>
      </c>
      <c r="M49" s="1330">
        <v>0</v>
      </c>
      <c r="N49" s="508">
        <v>0</v>
      </c>
      <c r="O49" s="1032">
        <v>278.53194999999999</v>
      </c>
      <c r="P49" s="1031">
        <v>-278.53194999999999</v>
      </c>
      <c r="Q49" s="481">
        <f t="shared" si="5"/>
        <v>0</v>
      </c>
      <c r="R49" s="1331">
        <v>278.53194999999999</v>
      </c>
      <c r="S49" s="682">
        <v>0</v>
      </c>
      <c r="T49" s="1331">
        <v>0</v>
      </c>
      <c r="U49" s="1330">
        <v>0</v>
      </c>
      <c r="V49" s="508">
        <v>0</v>
      </c>
      <c r="W49" s="1332">
        <v>0</v>
      </c>
      <c r="X49" s="1330">
        <v>0</v>
      </c>
      <c r="Y49" s="1333">
        <v>0</v>
      </c>
      <c r="Z49" s="1334">
        <v>0</v>
      </c>
      <c r="AA49" s="345" t="s">
        <v>1033</v>
      </c>
      <c r="AB49" s="345" t="s">
        <v>820</v>
      </c>
      <c r="AC49" s="1335" t="s">
        <v>707</v>
      </c>
      <c r="AD49" s="1335" t="s">
        <v>339</v>
      </c>
      <c r="AE49" s="1335" t="s">
        <v>339</v>
      </c>
      <c r="AF49" s="1336" t="s">
        <v>364</v>
      </c>
    </row>
    <row r="50" spans="1:32" s="698" customFormat="1" ht="30" x14ac:dyDescent="0.25">
      <c r="A50" s="1085" t="s">
        <v>300</v>
      </c>
      <c r="B50" s="1141" t="s">
        <v>607</v>
      </c>
      <c r="C50" s="285">
        <v>2019</v>
      </c>
      <c r="D50" s="285" t="s">
        <v>328</v>
      </c>
      <c r="E50" s="506" t="s">
        <v>42</v>
      </c>
      <c r="F50" s="506" t="s">
        <v>42</v>
      </c>
      <c r="G50" s="551" t="s">
        <v>360</v>
      </c>
      <c r="H50" s="333">
        <v>71855</v>
      </c>
      <c r="I50" s="585">
        <v>20528.393069999998</v>
      </c>
      <c r="J50" s="585">
        <v>0</v>
      </c>
      <c r="K50" s="585">
        <v>282.68794000000003</v>
      </c>
      <c r="L50" s="604">
        <v>0</v>
      </c>
      <c r="M50" s="1086">
        <v>3000</v>
      </c>
      <c r="N50" s="510">
        <v>10000</v>
      </c>
      <c r="O50" s="510">
        <v>3282.6879399999998</v>
      </c>
      <c r="P50" s="586">
        <v>10000</v>
      </c>
      <c r="Q50" s="1046">
        <f t="shared" si="5"/>
        <v>13282.68794</v>
      </c>
      <c r="R50" s="699">
        <v>10000</v>
      </c>
      <c r="S50" s="586">
        <v>28043.918989999998</v>
      </c>
      <c r="T50" s="699">
        <v>0</v>
      </c>
      <c r="U50" s="1086">
        <v>0</v>
      </c>
      <c r="V50" s="510">
        <v>0</v>
      </c>
      <c r="W50" s="1087">
        <v>0</v>
      </c>
      <c r="X50" s="1086">
        <v>0</v>
      </c>
      <c r="Y50" s="1088">
        <v>0</v>
      </c>
      <c r="Z50" s="510">
        <v>0</v>
      </c>
      <c r="AA50" s="340" t="s">
        <v>966</v>
      </c>
      <c r="AB50" s="285" t="s">
        <v>28</v>
      </c>
      <c r="AC50" s="489" t="s">
        <v>845</v>
      </c>
      <c r="AD50" s="489" t="s">
        <v>339</v>
      </c>
      <c r="AE50" s="489" t="s">
        <v>339</v>
      </c>
      <c r="AF50" s="490" t="s">
        <v>363</v>
      </c>
    </row>
    <row r="51" spans="1:32" s="698" customFormat="1" ht="25.5" x14ac:dyDescent="0.25">
      <c r="A51" s="771" t="s">
        <v>301</v>
      </c>
      <c r="B51" s="915" t="s">
        <v>324</v>
      </c>
      <c r="C51" s="908">
        <v>2019</v>
      </c>
      <c r="D51" s="908" t="s">
        <v>328</v>
      </c>
      <c r="E51" s="914" t="s">
        <v>42</v>
      </c>
      <c r="F51" s="914" t="s">
        <v>42</v>
      </c>
      <c r="G51" s="898" t="s">
        <v>283</v>
      </c>
      <c r="H51" s="909">
        <v>21286</v>
      </c>
      <c r="I51" s="437">
        <v>0</v>
      </c>
      <c r="J51" s="437">
        <v>0</v>
      </c>
      <c r="K51" s="437">
        <v>0</v>
      </c>
      <c r="L51" s="266">
        <v>0</v>
      </c>
      <c r="M51" s="707">
        <v>0</v>
      </c>
      <c r="N51" s="912">
        <v>0</v>
      </c>
      <c r="O51" s="923">
        <v>0</v>
      </c>
      <c r="P51" s="922">
        <v>0</v>
      </c>
      <c r="Q51" s="962">
        <f t="shared" si="5"/>
        <v>0</v>
      </c>
      <c r="R51" s="739">
        <v>0</v>
      </c>
      <c r="S51" s="905">
        <v>21286</v>
      </c>
      <c r="T51" s="718">
        <v>0</v>
      </c>
      <c r="U51" s="408">
        <v>0</v>
      </c>
      <c r="V51" s="912">
        <v>0</v>
      </c>
      <c r="W51" s="706">
        <v>0</v>
      </c>
      <c r="X51" s="707">
        <v>0</v>
      </c>
      <c r="Y51" s="708">
        <v>0</v>
      </c>
      <c r="Z51" s="912">
        <v>0</v>
      </c>
      <c r="AA51" s="25" t="s">
        <v>1030</v>
      </c>
      <c r="AB51" s="908" t="s">
        <v>12</v>
      </c>
      <c r="AC51" s="918" t="s">
        <v>783</v>
      </c>
      <c r="AD51" s="918" t="s">
        <v>338</v>
      </c>
      <c r="AE51" s="918" t="s">
        <v>338</v>
      </c>
      <c r="AF51" s="916" t="s">
        <v>362</v>
      </c>
    </row>
    <row r="52" spans="1:32" ht="25.5" x14ac:dyDescent="0.25">
      <c r="A52" s="1085" t="s">
        <v>302</v>
      </c>
      <c r="B52" s="1141" t="s">
        <v>554</v>
      </c>
      <c r="C52" s="285">
        <v>2019</v>
      </c>
      <c r="D52" s="286" t="s">
        <v>328</v>
      </c>
      <c r="E52" s="506" t="s">
        <v>42</v>
      </c>
      <c r="F52" s="506" t="s">
        <v>42</v>
      </c>
      <c r="G52" s="551" t="s">
        <v>284</v>
      </c>
      <c r="H52" s="333">
        <v>7500</v>
      </c>
      <c r="I52" s="1337">
        <v>6982.3255100000006</v>
      </c>
      <c r="J52" s="1337">
        <v>0</v>
      </c>
      <c r="K52" s="585">
        <v>0</v>
      </c>
      <c r="L52" s="604">
        <v>0</v>
      </c>
      <c r="M52" s="1086">
        <v>0</v>
      </c>
      <c r="N52" s="510">
        <v>0</v>
      </c>
      <c r="O52" s="510">
        <v>517.67448999999999</v>
      </c>
      <c r="P52" s="586">
        <v>-517.67448999999999</v>
      </c>
      <c r="Q52" s="1097">
        <f t="shared" si="5"/>
        <v>0</v>
      </c>
      <c r="R52" s="699">
        <v>517.67448999999999</v>
      </c>
      <c r="S52" s="586">
        <v>0</v>
      </c>
      <c r="T52" s="699">
        <v>0</v>
      </c>
      <c r="U52" s="1086">
        <v>0</v>
      </c>
      <c r="V52" s="510">
        <v>0</v>
      </c>
      <c r="W52" s="1087">
        <v>0</v>
      </c>
      <c r="X52" s="1086">
        <v>0</v>
      </c>
      <c r="Y52" s="1088">
        <v>0</v>
      </c>
      <c r="Z52" s="510">
        <v>0</v>
      </c>
      <c r="AA52" s="340" t="s">
        <v>1037</v>
      </c>
      <c r="AB52" s="285" t="s">
        <v>820</v>
      </c>
      <c r="AC52" s="478" t="s">
        <v>707</v>
      </c>
      <c r="AD52" s="478" t="s">
        <v>339</v>
      </c>
      <c r="AE52" s="478" t="s">
        <v>339</v>
      </c>
      <c r="AF52" s="337" t="s">
        <v>364</v>
      </c>
    </row>
    <row r="53" spans="1:32" s="698" customFormat="1" ht="25.5" x14ac:dyDescent="0.25">
      <c r="A53" s="771" t="s">
        <v>303</v>
      </c>
      <c r="B53" s="915" t="s">
        <v>870</v>
      </c>
      <c r="C53" s="908">
        <v>2019</v>
      </c>
      <c r="D53" s="908" t="s">
        <v>328</v>
      </c>
      <c r="E53" s="914" t="s">
        <v>42</v>
      </c>
      <c r="F53" s="914" t="s">
        <v>42</v>
      </c>
      <c r="G53" s="898" t="s">
        <v>285</v>
      </c>
      <c r="H53" s="909">
        <v>5735</v>
      </c>
      <c r="I53" s="437">
        <v>0</v>
      </c>
      <c r="J53" s="437">
        <v>0</v>
      </c>
      <c r="K53" s="437">
        <v>5315.8913700000003</v>
      </c>
      <c r="L53" s="266">
        <v>0</v>
      </c>
      <c r="M53" s="707">
        <f>400+19.10863</f>
        <v>419.10863000000001</v>
      </c>
      <c r="N53" s="912">
        <v>0</v>
      </c>
      <c r="O53" s="923">
        <v>5735</v>
      </c>
      <c r="P53" s="922">
        <v>0</v>
      </c>
      <c r="Q53" s="962">
        <f t="shared" si="5"/>
        <v>5735</v>
      </c>
      <c r="R53" s="718">
        <v>0</v>
      </c>
      <c r="S53" s="905">
        <v>0</v>
      </c>
      <c r="T53" s="718">
        <v>0</v>
      </c>
      <c r="U53" s="408">
        <v>0</v>
      </c>
      <c r="V53" s="912">
        <v>0</v>
      </c>
      <c r="W53" s="706">
        <v>0</v>
      </c>
      <c r="X53" s="707">
        <v>0</v>
      </c>
      <c r="Y53" s="708">
        <v>0</v>
      </c>
      <c r="Z53" s="912">
        <v>0</v>
      </c>
      <c r="AA53" s="908" t="s">
        <v>317</v>
      </c>
      <c r="AB53" s="882" t="s">
        <v>820</v>
      </c>
      <c r="AC53" s="918" t="s">
        <v>617</v>
      </c>
      <c r="AD53" s="918" t="s">
        <v>339</v>
      </c>
      <c r="AE53" s="918" t="s">
        <v>338</v>
      </c>
      <c r="AF53" s="916" t="s">
        <v>363</v>
      </c>
    </row>
    <row r="54" spans="1:32" ht="25.5" x14ac:dyDescent="0.25">
      <c r="A54" s="771" t="s">
        <v>304</v>
      </c>
      <c r="B54" s="915" t="s">
        <v>871</v>
      </c>
      <c r="C54" s="908">
        <v>2019</v>
      </c>
      <c r="D54" s="908" t="s">
        <v>328</v>
      </c>
      <c r="E54" s="914" t="s">
        <v>42</v>
      </c>
      <c r="F54" s="914" t="s">
        <v>42</v>
      </c>
      <c r="G54" s="898" t="s">
        <v>286</v>
      </c>
      <c r="H54" s="909">
        <v>13310</v>
      </c>
      <c r="I54" s="399">
        <v>0</v>
      </c>
      <c r="J54" s="399">
        <v>0</v>
      </c>
      <c r="K54" s="399">
        <v>7180.4769800000004</v>
      </c>
      <c r="L54" s="205">
        <v>0</v>
      </c>
      <c r="M54" s="707">
        <f>5000+1129.52302</f>
        <v>6129.5230200000005</v>
      </c>
      <c r="N54" s="912">
        <v>0</v>
      </c>
      <c r="O54" s="924">
        <v>13310</v>
      </c>
      <c r="P54" s="925">
        <v>0</v>
      </c>
      <c r="Q54" s="962">
        <f t="shared" si="5"/>
        <v>13310</v>
      </c>
      <c r="R54" s="739">
        <v>0</v>
      </c>
      <c r="S54" s="921">
        <v>0</v>
      </c>
      <c r="T54" s="739">
        <v>0</v>
      </c>
      <c r="U54" s="707">
        <v>0</v>
      </c>
      <c r="V54" s="912">
        <v>0</v>
      </c>
      <c r="W54" s="706">
        <v>0</v>
      </c>
      <c r="X54" s="707">
        <v>0</v>
      </c>
      <c r="Y54" s="708">
        <v>0</v>
      </c>
      <c r="Z54" s="912">
        <v>0</v>
      </c>
      <c r="AA54" s="25" t="s">
        <v>317</v>
      </c>
      <c r="AB54" s="908" t="s">
        <v>28</v>
      </c>
      <c r="AC54" s="918" t="s">
        <v>617</v>
      </c>
      <c r="AD54" s="918" t="s">
        <v>339</v>
      </c>
      <c r="AE54" s="918" t="s">
        <v>339</v>
      </c>
      <c r="AF54" s="916" t="s">
        <v>363</v>
      </c>
    </row>
    <row r="55" spans="1:32" s="698" customFormat="1" ht="25.5" x14ac:dyDescent="0.25">
      <c r="A55" s="30" t="s">
        <v>305</v>
      </c>
      <c r="B55" s="62" t="s">
        <v>324</v>
      </c>
      <c r="C55" s="882">
        <v>2019</v>
      </c>
      <c r="D55" s="882" t="s">
        <v>328</v>
      </c>
      <c r="E55" s="31" t="s">
        <v>42</v>
      </c>
      <c r="F55" s="31" t="s">
        <v>42</v>
      </c>
      <c r="G55" s="894" t="s">
        <v>287</v>
      </c>
      <c r="H55" s="907">
        <v>9732</v>
      </c>
      <c r="I55" s="437">
        <v>0</v>
      </c>
      <c r="J55" s="437">
        <v>0</v>
      </c>
      <c r="K55" s="437">
        <v>0</v>
      </c>
      <c r="L55" s="266">
        <v>0</v>
      </c>
      <c r="M55" s="408">
        <v>0</v>
      </c>
      <c r="N55" s="885">
        <v>0</v>
      </c>
      <c r="O55" s="923">
        <v>0</v>
      </c>
      <c r="P55" s="922">
        <v>0</v>
      </c>
      <c r="Q55" s="961">
        <f t="shared" si="5"/>
        <v>0</v>
      </c>
      <c r="R55" s="718">
        <v>0</v>
      </c>
      <c r="S55" s="905">
        <v>9732</v>
      </c>
      <c r="T55" s="718">
        <v>0</v>
      </c>
      <c r="U55" s="408">
        <v>0</v>
      </c>
      <c r="V55" s="885">
        <v>0</v>
      </c>
      <c r="W55" s="704">
        <v>0</v>
      </c>
      <c r="X55" s="408">
        <v>0</v>
      </c>
      <c r="Y55" s="705">
        <v>0</v>
      </c>
      <c r="Z55" s="885">
        <v>0</v>
      </c>
      <c r="AA55" s="917" t="s">
        <v>1030</v>
      </c>
      <c r="AB55" s="882" t="s">
        <v>28</v>
      </c>
      <c r="AC55" s="784" t="s">
        <v>783</v>
      </c>
      <c r="AD55" s="784" t="s">
        <v>339</v>
      </c>
      <c r="AE55" s="784" t="s">
        <v>338</v>
      </c>
      <c r="AF55" s="916" t="s">
        <v>362</v>
      </c>
    </row>
    <row r="56" spans="1:32" s="722" customFormat="1" ht="26.25" thickBot="1" x14ac:dyDescent="0.3">
      <c r="A56" s="69" t="s">
        <v>306</v>
      </c>
      <c r="B56" s="70" t="s">
        <v>324</v>
      </c>
      <c r="C56" s="893">
        <v>2019</v>
      </c>
      <c r="D56" s="893" t="s">
        <v>328</v>
      </c>
      <c r="E56" s="887" t="s">
        <v>42</v>
      </c>
      <c r="F56" s="887" t="s">
        <v>42</v>
      </c>
      <c r="G56" s="299" t="s">
        <v>288</v>
      </c>
      <c r="H56" s="20">
        <v>10599.735420000001</v>
      </c>
      <c r="I56" s="434">
        <v>0</v>
      </c>
      <c r="J56" s="560">
        <v>0</v>
      </c>
      <c r="K56" s="560">
        <v>0</v>
      </c>
      <c r="L56" s="579">
        <v>0</v>
      </c>
      <c r="M56" s="716">
        <v>0</v>
      </c>
      <c r="N56" s="279">
        <v>0</v>
      </c>
      <c r="O56" s="751">
        <v>0</v>
      </c>
      <c r="P56" s="643">
        <v>0</v>
      </c>
      <c r="Q56" s="966">
        <f t="shared" si="5"/>
        <v>0</v>
      </c>
      <c r="R56" s="804">
        <v>0</v>
      </c>
      <c r="S56" s="804">
        <v>10599.735420000001</v>
      </c>
      <c r="T56" s="805">
        <v>0</v>
      </c>
      <c r="U56" s="713">
        <v>0</v>
      </c>
      <c r="V56" s="279">
        <v>0</v>
      </c>
      <c r="W56" s="712">
        <v>0</v>
      </c>
      <c r="X56" s="713">
        <v>0</v>
      </c>
      <c r="Y56" s="714">
        <v>0</v>
      </c>
      <c r="Z56" s="783">
        <v>0</v>
      </c>
      <c r="AA56" s="782" t="s">
        <v>317</v>
      </c>
      <c r="AB56" s="893" t="s">
        <v>17</v>
      </c>
      <c r="AC56" s="119" t="s">
        <v>839</v>
      </c>
      <c r="AD56" s="119" t="s">
        <v>338</v>
      </c>
      <c r="AE56" s="119" t="s">
        <v>338</v>
      </c>
      <c r="AF56" s="72" t="s">
        <v>362</v>
      </c>
    </row>
    <row r="57" spans="1:32" ht="25.5" x14ac:dyDescent="0.25">
      <c r="A57" s="30" t="s">
        <v>502</v>
      </c>
      <c r="B57" s="62" t="s">
        <v>324</v>
      </c>
      <c r="C57" s="882">
        <v>2019</v>
      </c>
      <c r="D57" s="882" t="s">
        <v>609</v>
      </c>
      <c r="E57" s="31" t="s">
        <v>42</v>
      </c>
      <c r="F57" s="914" t="s">
        <v>42</v>
      </c>
      <c r="G57" s="894" t="s">
        <v>491</v>
      </c>
      <c r="H57" s="895">
        <v>16180</v>
      </c>
      <c r="I57" s="566">
        <v>0</v>
      </c>
      <c r="J57" s="437">
        <v>0</v>
      </c>
      <c r="K57" s="437">
        <v>0</v>
      </c>
      <c r="L57" s="266">
        <v>0</v>
      </c>
      <c r="M57" s="408">
        <v>0</v>
      </c>
      <c r="N57" s="885">
        <v>0</v>
      </c>
      <c r="O57" s="923">
        <v>0</v>
      </c>
      <c r="P57" s="922">
        <v>0</v>
      </c>
      <c r="Q57" s="961">
        <f t="shared" si="5"/>
        <v>0</v>
      </c>
      <c r="R57" s="718">
        <v>0</v>
      </c>
      <c r="S57" s="905">
        <v>16180</v>
      </c>
      <c r="T57" s="718">
        <v>0</v>
      </c>
      <c r="U57" s="408">
        <v>0</v>
      </c>
      <c r="V57" s="728">
        <v>0</v>
      </c>
      <c r="W57" s="730">
        <v>0</v>
      </c>
      <c r="X57" s="906">
        <v>0</v>
      </c>
      <c r="Y57" s="731">
        <v>0</v>
      </c>
      <c r="Z57" s="728">
        <v>0</v>
      </c>
      <c r="AA57" s="917" t="s">
        <v>317</v>
      </c>
      <c r="AB57" s="882" t="s">
        <v>12</v>
      </c>
      <c r="AC57" s="152" t="s">
        <v>621</v>
      </c>
      <c r="AD57" s="784" t="s">
        <v>338</v>
      </c>
      <c r="AE57" s="784" t="s">
        <v>338</v>
      </c>
      <c r="AF57" s="779" t="s">
        <v>365</v>
      </c>
    </row>
    <row r="58" spans="1:32" ht="45" x14ac:dyDescent="0.25">
      <c r="A58" s="771" t="s">
        <v>503</v>
      </c>
      <c r="B58" s="915" t="s">
        <v>802</v>
      </c>
      <c r="C58" s="908">
        <v>2019</v>
      </c>
      <c r="D58" s="882" t="s">
        <v>609</v>
      </c>
      <c r="E58" s="914" t="s">
        <v>42</v>
      </c>
      <c r="F58" s="914" t="s">
        <v>42</v>
      </c>
      <c r="G58" s="898" t="s">
        <v>492</v>
      </c>
      <c r="H58" s="883">
        <v>37406</v>
      </c>
      <c r="I58" s="437">
        <v>29018.609339999999</v>
      </c>
      <c r="J58" s="437">
        <v>0</v>
      </c>
      <c r="K58" s="437">
        <v>5974.53593</v>
      </c>
      <c r="L58" s="266">
        <v>0</v>
      </c>
      <c r="M58" s="707">
        <f>603-0.14527</f>
        <v>602.85473000000002</v>
      </c>
      <c r="N58" s="912">
        <v>0</v>
      </c>
      <c r="O58" s="923">
        <v>6577.3906600000009</v>
      </c>
      <c r="P58" s="922">
        <v>0</v>
      </c>
      <c r="Q58" s="962">
        <f t="shared" si="5"/>
        <v>6577.3906600000009</v>
      </c>
      <c r="R58" s="739">
        <v>1810</v>
      </c>
      <c r="S58" s="921">
        <v>0</v>
      </c>
      <c r="T58" s="739">
        <v>0</v>
      </c>
      <c r="U58" s="707">
        <v>0</v>
      </c>
      <c r="V58" s="912">
        <v>0</v>
      </c>
      <c r="W58" s="706">
        <v>0</v>
      </c>
      <c r="X58" s="707">
        <v>0</v>
      </c>
      <c r="Y58" s="708">
        <v>0</v>
      </c>
      <c r="Z58" s="912">
        <v>0</v>
      </c>
      <c r="AA58" s="908" t="s">
        <v>897</v>
      </c>
      <c r="AB58" s="908" t="s">
        <v>28</v>
      </c>
      <c r="AC58" s="153" t="s">
        <v>406</v>
      </c>
      <c r="AD58" s="918" t="s">
        <v>339</v>
      </c>
      <c r="AE58" s="918" t="s">
        <v>339</v>
      </c>
      <c r="AF58" s="916" t="s">
        <v>363</v>
      </c>
    </row>
    <row r="59" spans="1:32" ht="30" x14ac:dyDescent="0.25">
      <c r="A59" s="471" t="s">
        <v>504</v>
      </c>
      <c r="B59" s="472" t="s">
        <v>801</v>
      </c>
      <c r="C59" s="195">
        <v>2019</v>
      </c>
      <c r="D59" s="269" t="s">
        <v>609</v>
      </c>
      <c r="E59" s="259" t="s">
        <v>42</v>
      </c>
      <c r="F59" s="259" t="s">
        <v>42</v>
      </c>
      <c r="G59" s="482" t="s">
        <v>493</v>
      </c>
      <c r="H59" s="244">
        <f>83000+5000+1544</f>
        <v>89544</v>
      </c>
      <c r="I59" s="597">
        <v>2480.5</v>
      </c>
      <c r="J59" s="597">
        <v>0</v>
      </c>
      <c r="K59" s="597">
        <v>3345.00144</v>
      </c>
      <c r="L59" s="605">
        <v>0</v>
      </c>
      <c r="M59" s="1092">
        <f>2500+1174.49856+1494</f>
        <v>5168.49856</v>
      </c>
      <c r="N59" s="861">
        <v>7500</v>
      </c>
      <c r="O59" s="1017">
        <v>9519.5</v>
      </c>
      <c r="P59" s="1018">
        <f>5000+1494</f>
        <v>6494</v>
      </c>
      <c r="Q59" s="1089">
        <f t="shared" si="5"/>
        <v>16013.5</v>
      </c>
      <c r="R59" s="1090">
        <v>31000</v>
      </c>
      <c r="S59" s="1091">
        <f>40000+50</f>
        <v>40050</v>
      </c>
      <c r="T59" s="1090">
        <v>0</v>
      </c>
      <c r="U59" s="1092">
        <v>0</v>
      </c>
      <c r="V59" s="861">
        <v>0</v>
      </c>
      <c r="W59" s="1093">
        <v>0</v>
      </c>
      <c r="X59" s="1094">
        <v>0</v>
      </c>
      <c r="Y59" s="1095">
        <v>0</v>
      </c>
      <c r="Z59" s="1021">
        <v>0</v>
      </c>
      <c r="AA59" s="177" t="s">
        <v>1019</v>
      </c>
      <c r="AB59" s="195" t="s">
        <v>28</v>
      </c>
      <c r="AC59" s="515" t="s">
        <v>846</v>
      </c>
      <c r="AD59" s="474" t="s">
        <v>339</v>
      </c>
      <c r="AE59" s="474" t="s">
        <v>339</v>
      </c>
      <c r="AF59" s="475" t="s">
        <v>363</v>
      </c>
    </row>
    <row r="60" spans="1:32" ht="25.5" x14ac:dyDescent="0.25">
      <c r="A60" s="771" t="s">
        <v>505</v>
      </c>
      <c r="B60" s="915" t="s">
        <v>798</v>
      </c>
      <c r="C60" s="908">
        <v>2019</v>
      </c>
      <c r="D60" s="882" t="s">
        <v>609</v>
      </c>
      <c r="E60" s="914" t="s">
        <v>42</v>
      </c>
      <c r="F60" s="914" t="s">
        <v>42</v>
      </c>
      <c r="G60" s="898" t="s">
        <v>494</v>
      </c>
      <c r="H60" s="883">
        <v>6897</v>
      </c>
      <c r="I60" s="437">
        <v>3454.6093599999999</v>
      </c>
      <c r="J60" s="437">
        <v>0</v>
      </c>
      <c r="K60" s="437">
        <v>1897.2921100000001</v>
      </c>
      <c r="L60" s="266">
        <v>0</v>
      </c>
      <c r="M60" s="707">
        <f>1542.09853+3</f>
        <v>1545.09853</v>
      </c>
      <c r="N60" s="912">
        <v>0</v>
      </c>
      <c r="O60" s="923">
        <v>3442.3906400000001</v>
      </c>
      <c r="P60" s="922">
        <v>0</v>
      </c>
      <c r="Q60" s="962">
        <f t="shared" si="5"/>
        <v>3442.3906400000001</v>
      </c>
      <c r="R60" s="739">
        <v>0</v>
      </c>
      <c r="S60" s="921">
        <v>0</v>
      </c>
      <c r="T60" s="739">
        <v>0</v>
      </c>
      <c r="U60" s="707">
        <v>0</v>
      </c>
      <c r="V60" s="912">
        <v>0</v>
      </c>
      <c r="W60" s="704">
        <v>0</v>
      </c>
      <c r="X60" s="408">
        <v>0</v>
      </c>
      <c r="Y60" s="705">
        <v>0</v>
      </c>
      <c r="Z60" s="885">
        <v>0</v>
      </c>
      <c r="AA60" s="917" t="s">
        <v>317</v>
      </c>
      <c r="AB60" s="908" t="s">
        <v>820</v>
      </c>
      <c r="AC60" s="153" t="s">
        <v>617</v>
      </c>
      <c r="AD60" s="918" t="s">
        <v>339</v>
      </c>
      <c r="AE60" s="918" t="s">
        <v>339</v>
      </c>
      <c r="AF60" s="916" t="s">
        <v>363</v>
      </c>
    </row>
    <row r="61" spans="1:32" ht="25.5" x14ac:dyDescent="0.25">
      <c r="A61" s="771" t="s">
        <v>506</v>
      </c>
      <c r="B61" s="915" t="s">
        <v>324</v>
      </c>
      <c r="C61" s="908">
        <v>2019</v>
      </c>
      <c r="D61" s="882" t="s">
        <v>609</v>
      </c>
      <c r="E61" s="914" t="s">
        <v>42</v>
      </c>
      <c r="F61" s="914" t="s">
        <v>42</v>
      </c>
      <c r="G61" s="898" t="s">
        <v>495</v>
      </c>
      <c r="H61" s="883">
        <v>69900</v>
      </c>
      <c r="I61" s="437">
        <v>0</v>
      </c>
      <c r="J61" s="437">
        <v>0</v>
      </c>
      <c r="K61" s="437">
        <v>0</v>
      </c>
      <c r="L61" s="266">
        <v>0</v>
      </c>
      <c r="M61" s="707">
        <v>0</v>
      </c>
      <c r="N61" s="912">
        <v>0</v>
      </c>
      <c r="O61" s="923">
        <v>0</v>
      </c>
      <c r="P61" s="922">
        <v>0</v>
      </c>
      <c r="Q61" s="962">
        <f t="shared" si="5"/>
        <v>0</v>
      </c>
      <c r="R61" s="739">
        <v>69900</v>
      </c>
      <c r="S61" s="921">
        <v>0</v>
      </c>
      <c r="T61" s="205">
        <v>0</v>
      </c>
      <c r="U61" s="707">
        <v>0</v>
      </c>
      <c r="V61" s="912">
        <v>0</v>
      </c>
      <c r="W61" s="732">
        <v>0</v>
      </c>
      <c r="X61" s="733">
        <v>0</v>
      </c>
      <c r="Y61" s="734">
        <v>0</v>
      </c>
      <c r="Z61" s="117">
        <v>0</v>
      </c>
      <c r="AA61" s="917" t="s">
        <v>317</v>
      </c>
      <c r="AB61" s="908" t="s">
        <v>17</v>
      </c>
      <c r="AC61" s="153" t="s">
        <v>783</v>
      </c>
      <c r="AD61" s="918" t="s">
        <v>338</v>
      </c>
      <c r="AE61" s="918" t="s">
        <v>338</v>
      </c>
      <c r="AF61" s="916" t="s">
        <v>362</v>
      </c>
    </row>
    <row r="62" spans="1:32" ht="25.5" x14ac:dyDescent="0.25">
      <c r="A62" s="771" t="s">
        <v>507</v>
      </c>
      <c r="B62" s="915" t="s">
        <v>872</v>
      </c>
      <c r="C62" s="908">
        <v>2019</v>
      </c>
      <c r="D62" s="882" t="s">
        <v>609</v>
      </c>
      <c r="E62" s="914" t="s">
        <v>42</v>
      </c>
      <c r="F62" s="914" t="s">
        <v>42</v>
      </c>
      <c r="G62" s="898" t="s">
        <v>567</v>
      </c>
      <c r="H62" s="883">
        <v>21000</v>
      </c>
      <c r="I62" s="437">
        <v>0</v>
      </c>
      <c r="J62" s="437">
        <v>0</v>
      </c>
      <c r="K62" s="437">
        <v>72.599999999999994</v>
      </c>
      <c r="L62" s="266">
        <v>0</v>
      </c>
      <c r="M62" s="707">
        <v>0</v>
      </c>
      <c r="N62" s="912">
        <f>5000+0.4</f>
        <v>5000.3999999999996</v>
      </c>
      <c r="O62" s="923">
        <v>5073</v>
      </c>
      <c r="P62" s="922">
        <v>0</v>
      </c>
      <c r="Q62" s="962">
        <f t="shared" si="5"/>
        <v>5073</v>
      </c>
      <c r="R62" s="921">
        <v>15927</v>
      </c>
      <c r="S62" s="921">
        <v>0</v>
      </c>
      <c r="T62" s="739">
        <v>0</v>
      </c>
      <c r="U62" s="707">
        <v>0</v>
      </c>
      <c r="V62" s="912">
        <v>0</v>
      </c>
      <c r="W62" s="706">
        <v>0</v>
      </c>
      <c r="X62" s="707">
        <v>0</v>
      </c>
      <c r="Y62" s="708">
        <v>0</v>
      </c>
      <c r="Z62" s="912">
        <v>0</v>
      </c>
      <c r="AA62" s="917" t="s">
        <v>896</v>
      </c>
      <c r="AB62" s="908" t="s">
        <v>28</v>
      </c>
      <c r="AC62" s="153" t="s">
        <v>783</v>
      </c>
      <c r="AD62" s="918" t="s">
        <v>339</v>
      </c>
      <c r="AE62" s="918" t="s">
        <v>339</v>
      </c>
      <c r="AF62" s="916" t="s">
        <v>363</v>
      </c>
    </row>
    <row r="63" spans="1:32" s="1288" customFormat="1" ht="30" x14ac:dyDescent="0.25">
      <c r="A63" s="1264" t="s">
        <v>508</v>
      </c>
      <c r="B63" s="1265" t="s">
        <v>671</v>
      </c>
      <c r="C63" s="1266">
        <v>2019</v>
      </c>
      <c r="D63" s="1267" t="s">
        <v>609</v>
      </c>
      <c r="E63" s="1268" t="s">
        <v>42</v>
      </c>
      <c r="F63" s="1268" t="s">
        <v>42</v>
      </c>
      <c r="G63" s="1269" t="s">
        <v>496</v>
      </c>
      <c r="H63" s="1270">
        <f>11948-1914.45</f>
        <v>10033.549999999999</v>
      </c>
      <c r="I63" s="1271">
        <v>10033.549999999999</v>
      </c>
      <c r="J63" s="1271">
        <v>0</v>
      </c>
      <c r="K63" s="1271">
        <v>0</v>
      </c>
      <c r="L63" s="1272">
        <v>0</v>
      </c>
      <c r="M63" s="1273">
        <v>0</v>
      </c>
      <c r="N63" s="1274">
        <v>0</v>
      </c>
      <c r="O63" s="1275">
        <v>1914.4500000000007</v>
      </c>
      <c r="P63" s="1276">
        <v>-1914.45</v>
      </c>
      <c r="Q63" s="1277">
        <f t="shared" si="5"/>
        <v>0</v>
      </c>
      <c r="R63" s="1278">
        <v>0</v>
      </c>
      <c r="S63" s="1279">
        <v>0</v>
      </c>
      <c r="T63" s="1278">
        <v>0</v>
      </c>
      <c r="U63" s="1273">
        <v>0</v>
      </c>
      <c r="V63" s="1274">
        <v>0</v>
      </c>
      <c r="W63" s="1280">
        <v>0</v>
      </c>
      <c r="X63" s="1281">
        <v>0</v>
      </c>
      <c r="Y63" s="1282">
        <v>0</v>
      </c>
      <c r="Z63" s="1283">
        <v>0</v>
      </c>
      <c r="AA63" s="1284" t="s">
        <v>1023</v>
      </c>
      <c r="AB63" s="1266" t="s">
        <v>352</v>
      </c>
      <c r="AC63" s="1285" t="s">
        <v>837</v>
      </c>
      <c r="AD63" s="1286" t="s">
        <v>339</v>
      </c>
      <c r="AE63" s="1286" t="s">
        <v>339</v>
      </c>
      <c r="AF63" s="1287" t="s">
        <v>363</v>
      </c>
    </row>
    <row r="64" spans="1:32" s="698" customFormat="1" ht="25.5" x14ac:dyDescent="0.25">
      <c r="A64" s="771" t="s">
        <v>509</v>
      </c>
      <c r="B64" s="915" t="s">
        <v>324</v>
      </c>
      <c r="C64" s="908">
        <v>2019</v>
      </c>
      <c r="D64" s="882" t="s">
        <v>609</v>
      </c>
      <c r="E64" s="914" t="s">
        <v>42</v>
      </c>
      <c r="F64" s="914" t="s">
        <v>42</v>
      </c>
      <c r="G64" s="898" t="s">
        <v>497</v>
      </c>
      <c r="H64" s="883">
        <v>9478</v>
      </c>
      <c r="I64" s="437">
        <v>0</v>
      </c>
      <c r="J64" s="437">
        <v>0</v>
      </c>
      <c r="K64" s="437">
        <v>0</v>
      </c>
      <c r="L64" s="266">
        <v>0</v>
      </c>
      <c r="M64" s="707">
        <v>0</v>
      </c>
      <c r="N64" s="807">
        <v>0</v>
      </c>
      <c r="O64" s="923">
        <v>0</v>
      </c>
      <c r="P64" s="922">
        <v>0</v>
      </c>
      <c r="Q64" s="962">
        <f t="shared" si="5"/>
        <v>0</v>
      </c>
      <c r="R64" s="808">
        <v>9478</v>
      </c>
      <c r="S64" s="809">
        <v>0</v>
      </c>
      <c r="T64" s="739">
        <v>0</v>
      </c>
      <c r="U64" s="707">
        <v>0</v>
      </c>
      <c r="V64" s="912">
        <v>0</v>
      </c>
      <c r="W64" s="706">
        <v>0</v>
      </c>
      <c r="X64" s="707">
        <v>0</v>
      </c>
      <c r="Y64" s="708">
        <v>0</v>
      </c>
      <c r="Z64" s="912">
        <v>0</v>
      </c>
      <c r="AA64" s="25" t="s">
        <v>317</v>
      </c>
      <c r="AB64" s="908" t="s">
        <v>17</v>
      </c>
      <c r="AC64" s="153" t="s">
        <v>783</v>
      </c>
      <c r="AD64" s="918" t="s">
        <v>338</v>
      </c>
      <c r="AE64" s="918" t="s">
        <v>338</v>
      </c>
      <c r="AF64" s="916" t="s">
        <v>362</v>
      </c>
    </row>
    <row r="65" spans="1:32" ht="30" x14ac:dyDescent="0.25">
      <c r="A65" s="771" t="s">
        <v>510</v>
      </c>
      <c r="B65" s="915" t="s">
        <v>324</v>
      </c>
      <c r="C65" s="908">
        <v>2019</v>
      </c>
      <c r="D65" s="882" t="s">
        <v>609</v>
      </c>
      <c r="E65" s="914" t="s">
        <v>42</v>
      </c>
      <c r="F65" s="914" t="s">
        <v>42</v>
      </c>
      <c r="G65" s="898" t="s">
        <v>498</v>
      </c>
      <c r="H65" s="883">
        <v>15816.711950000001</v>
      </c>
      <c r="I65" s="437">
        <v>0</v>
      </c>
      <c r="J65" s="437">
        <v>0</v>
      </c>
      <c r="K65" s="437">
        <v>0</v>
      </c>
      <c r="L65" s="266">
        <v>0</v>
      </c>
      <c r="M65" s="707">
        <v>0</v>
      </c>
      <c r="N65" s="912">
        <v>0</v>
      </c>
      <c r="O65" s="923">
        <v>0</v>
      </c>
      <c r="P65" s="922">
        <v>0</v>
      </c>
      <c r="Q65" s="962">
        <f t="shared" si="5"/>
        <v>0</v>
      </c>
      <c r="R65" s="808">
        <v>15816.711950000001</v>
      </c>
      <c r="S65" s="809">
        <v>0</v>
      </c>
      <c r="T65" s="739">
        <v>0</v>
      </c>
      <c r="U65" s="707">
        <v>0</v>
      </c>
      <c r="V65" s="912">
        <v>0</v>
      </c>
      <c r="W65" s="706">
        <v>0</v>
      </c>
      <c r="X65" s="707">
        <v>0</v>
      </c>
      <c r="Y65" s="708">
        <v>0</v>
      </c>
      <c r="Z65" s="912">
        <v>0</v>
      </c>
      <c r="AA65" s="25" t="s">
        <v>317</v>
      </c>
      <c r="AB65" s="908" t="s">
        <v>12</v>
      </c>
      <c r="AC65" s="153" t="s">
        <v>783</v>
      </c>
      <c r="AD65" s="918" t="s">
        <v>338</v>
      </c>
      <c r="AE65" s="918" t="s">
        <v>338</v>
      </c>
      <c r="AF65" s="916" t="s">
        <v>362</v>
      </c>
    </row>
    <row r="66" spans="1:32" ht="25.5" x14ac:dyDescent="0.25">
      <c r="A66" s="771" t="s">
        <v>511</v>
      </c>
      <c r="B66" s="915" t="s">
        <v>324</v>
      </c>
      <c r="C66" s="908">
        <v>2019</v>
      </c>
      <c r="D66" s="882" t="s">
        <v>609</v>
      </c>
      <c r="E66" s="914" t="s">
        <v>42</v>
      </c>
      <c r="F66" s="914" t="s">
        <v>42</v>
      </c>
      <c r="G66" s="898" t="s">
        <v>499</v>
      </c>
      <c r="H66" s="883">
        <v>12100</v>
      </c>
      <c r="I66" s="399">
        <v>0</v>
      </c>
      <c r="J66" s="399">
        <v>0</v>
      </c>
      <c r="K66" s="399">
        <v>0</v>
      </c>
      <c r="L66" s="205">
        <v>0</v>
      </c>
      <c r="M66" s="707">
        <v>0</v>
      </c>
      <c r="N66" s="912">
        <v>0</v>
      </c>
      <c r="O66" s="923">
        <v>0</v>
      </c>
      <c r="P66" s="922">
        <v>0</v>
      </c>
      <c r="Q66" s="962">
        <f t="shared" si="5"/>
        <v>0</v>
      </c>
      <c r="R66" s="739">
        <v>12100</v>
      </c>
      <c r="S66" s="921">
        <v>0</v>
      </c>
      <c r="T66" s="739">
        <v>0</v>
      </c>
      <c r="U66" s="707">
        <v>0</v>
      </c>
      <c r="V66" s="912">
        <v>0</v>
      </c>
      <c r="W66" s="704">
        <v>0</v>
      </c>
      <c r="X66" s="408">
        <v>0</v>
      </c>
      <c r="Y66" s="705">
        <v>0</v>
      </c>
      <c r="Z66" s="885">
        <v>0</v>
      </c>
      <c r="AA66" s="917" t="s">
        <v>896</v>
      </c>
      <c r="AB66" s="908" t="s">
        <v>12</v>
      </c>
      <c r="AC66" s="153" t="s">
        <v>617</v>
      </c>
      <c r="AD66" s="918" t="s">
        <v>339</v>
      </c>
      <c r="AE66" s="918" t="s">
        <v>338</v>
      </c>
      <c r="AF66" s="916" t="s">
        <v>364</v>
      </c>
    </row>
    <row r="67" spans="1:32" ht="25.5" x14ac:dyDescent="0.25">
      <c r="A67" s="771" t="s">
        <v>512</v>
      </c>
      <c r="B67" s="915" t="s">
        <v>324</v>
      </c>
      <c r="C67" s="908">
        <v>2019</v>
      </c>
      <c r="D67" s="882" t="s">
        <v>609</v>
      </c>
      <c r="E67" s="914" t="s">
        <v>42</v>
      </c>
      <c r="F67" s="914" t="s">
        <v>42</v>
      </c>
      <c r="G67" s="898" t="s">
        <v>500</v>
      </c>
      <c r="H67" s="883">
        <v>6338.78</v>
      </c>
      <c r="I67" s="437">
        <v>0</v>
      </c>
      <c r="J67" s="437">
        <v>0</v>
      </c>
      <c r="K67" s="437">
        <v>0</v>
      </c>
      <c r="L67" s="266">
        <v>0</v>
      </c>
      <c r="M67" s="707">
        <v>0</v>
      </c>
      <c r="N67" s="807">
        <v>0</v>
      </c>
      <c r="O67" s="923">
        <v>0</v>
      </c>
      <c r="P67" s="922">
        <v>0</v>
      </c>
      <c r="Q67" s="962">
        <f t="shared" si="5"/>
        <v>0</v>
      </c>
      <c r="R67" s="808">
        <v>6338.78</v>
      </c>
      <c r="S67" s="809">
        <v>0</v>
      </c>
      <c r="T67" s="739">
        <v>0</v>
      </c>
      <c r="U67" s="707">
        <v>0</v>
      </c>
      <c r="V67" s="912">
        <v>0</v>
      </c>
      <c r="W67" s="706">
        <v>0</v>
      </c>
      <c r="X67" s="707">
        <v>0</v>
      </c>
      <c r="Y67" s="708">
        <v>0</v>
      </c>
      <c r="Z67" s="912">
        <v>0</v>
      </c>
      <c r="AA67" s="25" t="s">
        <v>317</v>
      </c>
      <c r="AB67" s="908" t="s">
        <v>17</v>
      </c>
      <c r="AC67" s="153" t="s">
        <v>783</v>
      </c>
      <c r="AD67" s="918" t="s">
        <v>338</v>
      </c>
      <c r="AE67" s="918" t="s">
        <v>338</v>
      </c>
      <c r="AF67" s="916" t="s">
        <v>362</v>
      </c>
    </row>
    <row r="68" spans="1:32" ht="26.25" thickBot="1" x14ac:dyDescent="0.3">
      <c r="A68" s="69" t="s">
        <v>513</v>
      </c>
      <c r="B68" s="70" t="s">
        <v>324</v>
      </c>
      <c r="C68" s="893">
        <v>2019</v>
      </c>
      <c r="D68" s="893" t="s">
        <v>609</v>
      </c>
      <c r="E68" s="887" t="s">
        <v>42</v>
      </c>
      <c r="F68" s="887" t="s">
        <v>42</v>
      </c>
      <c r="G68" s="299" t="s">
        <v>501</v>
      </c>
      <c r="H68" s="216">
        <v>55161</v>
      </c>
      <c r="I68" s="434">
        <v>0</v>
      </c>
      <c r="J68" s="434">
        <v>0</v>
      </c>
      <c r="K68" s="434">
        <v>0</v>
      </c>
      <c r="L68" s="260">
        <v>0</v>
      </c>
      <c r="M68" s="716">
        <v>20000</v>
      </c>
      <c r="N68" s="279">
        <v>35161</v>
      </c>
      <c r="O68" s="751">
        <v>55161</v>
      </c>
      <c r="P68" s="635">
        <v>0</v>
      </c>
      <c r="Q68" s="964">
        <f t="shared" si="5"/>
        <v>55161</v>
      </c>
      <c r="R68" s="804">
        <v>0</v>
      </c>
      <c r="S68" s="540">
        <v>0</v>
      </c>
      <c r="T68" s="804">
        <v>0</v>
      </c>
      <c r="U68" s="716">
        <v>0</v>
      </c>
      <c r="V68" s="279">
        <v>0</v>
      </c>
      <c r="W68" s="715">
        <v>55161</v>
      </c>
      <c r="X68" s="716">
        <v>0</v>
      </c>
      <c r="Y68" s="717">
        <v>55161</v>
      </c>
      <c r="Z68" s="279">
        <v>0</v>
      </c>
      <c r="AA68" s="67" t="s">
        <v>317</v>
      </c>
      <c r="AB68" s="893" t="s">
        <v>28</v>
      </c>
      <c r="AC68" s="275" t="s">
        <v>707</v>
      </c>
      <c r="AD68" s="119" t="s">
        <v>339</v>
      </c>
      <c r="AE68" s="119" t="s">
        <v>338</v>
      </c>
      <c r="AF68" s="72" t="s">
        <v>363</v>
      </c>
    </row>
    <row r="69" spans="1:32" ht="25.5" x14ac:dyDescent="0.25">
      <c r="A69" s="30" t="s">
        <v>514</v>
      </c>
      <c r="B69" s="62" t="s">
        <v>673</v>
      </c>
      <c r="C69" s="77">
        <v>2019</v>
      </c>
      <c r="D69" s="886" t="s">
        <v>606</v>
      </c>
      <c r="E69" s="888" t="s">
        <v>42</v>
      </c>
      <c r="F69" s="31" t="s">
        <v>42</v>
      </c>
      <c r="G69" s="894" t="s">
        <v>515</v>
      </c>
      <c r="H69" s="24">
        <v>52400</v>
      </c>
      <c r="I69" s="566">
        <v>753</v>
      </c>
      <c r="J69" s="437">
        <v>0</v>
      </c>
      <c r="K69" s="437">
        <v>160.55000000000001</v>
      </c>
      <c r="L69" s="266">
        <v>0</v>
      </c>
      <c r="M69" s="408">
        <v>389.45</v>
      </c>
      <c r="N69" s="885">
        <v>0</v>
      </c>
      <c r="O69" s="923">
        <v>550</v>
      </c>
      <c r="P69" s="922">
        <v>0</v>
      </c>
      <c r="Q69" s="961">
        <f t="shared" si="5"/>
        <v>550</v>
      </c>
      <c r="R69" s="718">
        <v>31097</v>
      </c>
      <c r="S69" s="905">
        <v>20000</v>
      </c>
      <c r="T69" s="718">
        <v>0</v>
      </c>
      <c r="U69" s="408">
        <v>0</v>
      </c>
      <c r="V69" s="885">
        <v>0</v>
      </c>
      <c r="W69" s="704">
        <v>0</v>
      </c>
      <c r="X69" s="408">
        <v>0</v>
      </c>
      <c r="Y69" s="705">
        <v>0</v>
      </c>
      <c r="Z69" s="885">
        <v>0</v>
      </c>
      <c r="AA69" s="886" t="s">
        <v>899</v>
      </c>
      <c r="AB69" s="908" t="s">
        <v>17</v>
      </c>
      <c r="AC69" s="153" t="s">
        <v>616</v>
      </c>
      <c r="AD69" s="918" t="s">
        <v>338</v>
      </c>
      <c r="AE69" s="918" t="s">
        <v>338</v>
      </c>
      <c r="AF69" s="779" t="s">
        <v>363</v>
      </c>
    </row>
    <row r="70" spans="1:32" s="698" customFormat="1" ht="25.5" x14ac:dyDescent="0.25">
      <c r="A70" s="471" t="s">
        <v>516</v>
      </c>
      <c r="B70" s="472" t="s">
        <v>672</v>
      </c>
      <c r="C70" s="1263">
        <v>2019</v>
      </c>
      <c r="D70" s="195" t="s">
        <v>606</v>
      </c>
      <c r="E70" s="259" t="s">
        <v>42</v>
      </c>
      <c r="F70" s="259" t="s">
        <v>42</v>
      </c>
      <c r="G70" s="482" t="s">
        <v>517</v>
      </c>
      <c r="H70" s="244">
        <f>26732.39747+874.38353</f>
        <v>27606.780999999999</v>
      </c>
      <c r="I70" s="597">
        <v>9256.0751700000001</v>
      </c>
      <c r="J70" s="597">
        <v>0</v>
      </c>
      <c r="K70" s="597">
        <v>0</v>
      </c>
      <c r="L70" s="605">
        <v>0</v>
      </c>
      <c r="M70" s="1092">
        <f>17476.3223+874.38353</f>
        <v>18350.705829999999</v>
      </c>
      <c r="N70" s="861">
        <v>0</v>
      </c>
      <c r="O70" s="1017">
        <v>17476.3223</v>
      </c>
      <c r="P70" s="1018">
        <v>874.38352999999995</v>
      </c>
      <c r="Q70" s="1089">
        <f t="shared" si="5"/>
        <v>18350.705829999999</v>
      </c>
      <c r="R70" s="1090">
        <v>0</v>
      </c>
      <c r="S70" s="1091">
        <v>0</v>
      </c>
      <c r="T70" s="1090">
        <v>0</v>
      </c>
      <c r="U70" s="1092">
        <v>0</v>
      </c>
      <c r="V70" s="861">
        <v>0</v>
      </c>
      <c r="W70" s="1093">
        <v>0</v>
      </c>
      <c r="X70" s="1094">
        <v>0</v>
      </c>
      <c r="Y70" s="1095">
        <v>0</v>
      </c>
      <c r="Z70" s="1021">
        <v>0</v>
      </c>
      <c r="AA70" s="269" t="s">
        <v>1034</v>
      </c>
      <c r="AB70" s="269" t="s">
        <v>820</v>
      </c>
      <c r="AC70" s="515" t="s">
        <v>617</v>
      </c>
      <c r="AD70" s="474" t="s">
        <v>339</v>
      </c>
      <c r="AE70" s="487" t="s">
        <v>338</v>
      </c>
      <c r="AF70" s="475" t="s">
        <v>363</v>
      </c>
    </row>
    <row r="71" spans="1:32" s="698" customFormat="1" ht="25.5" x14ac:dyDescent="0.25">
      <c r="A71" s="476" t="s">
        <v>518</v>
      </c>
      <c r="B71" s="464" t="s">
        <v>324</v>
      </c>
      <c r="C71" s="348">
        <v>2019</v>
      </c>
      <c r="D71" s="286" t="s">
        <v>606</v>
      </c>
      <c r="E71" s="342" t="s">
        <v>42</v>
      </c>
      <c r="F71" s="342" t="s">
        <v>42</v>
      </c>
      <c r="G71" s="483" t="s">
        <v>629</v>
      </c>
      <c r="H71" s="533">
        <v>9043</v>
      </c>
      <c r="I71" s="585">
        <v>0</v>
      </c>
      <c r="J71" s="585">
        <v>0</v>
      </c>
      <c r="K71" s="585">
        <v>0</v>
      </c>
      <c r="L71" s="604">
        <v>0</v>
      </c>
      <c r="M71" s="1096">
        <f>2000+4482+2561</f>
        <v>9043</v>
      </c>
      <c r="N71" s="505">
        <v>0</v>
      </c>
      <c r="O71" s="510">
        <v>6482</v>
      </c>
      <c r="P71" s="586">
        <v>2561</v>
      </c>
      <c r="Q71" s="1097">
        <f t="shared" si="5"/>
        <v>9043</v>
      </c>
      <c r="R71" s="1098">
        <v>0</v>
      </c>
      <c r="S71" s="1099">
        <v>0</v>
      </c>
      <c r="T71" s="1098">
        <v>0</v>
      </c>
      <c r="U71" s="1096">
        <v>0</v>
      </c>
      <c r="V71" s="505">
        <v>0</v>
      </c>
      <c r="W71" s="1087">
        <v>0</v>
      </c>
      <c r="X71" s="1086">
        <v>0</v>
      </c>
      <c r="Y71" s="1088">
        <v>0</v>
      </c>
      <c r="Z71" s="510">
        <v>0</v>
      </c>
      <c r="AA71" s="285" t="s">
        <v>1031</v>
      </c>
      <c r="AB71" s="286" t="s">
        <v>28</v>
      </c>
      <c r="AC71" s="517" t="s">
        <v>616</v>
      </c>
      <c r="AD71" s="478" t="s">
        <v>339</v>
      </c>
      <c r="AE71" s="478" t="s">
        <v>339</v>
      </c>
      <c r="AF71" s="337" t="s">
        <v>363</v>
      </c>
    </row>
    <row r="72" spans="1:32" s="1288" customFormat="1" ht="30" x14ac:dyDescent="0.25">
      <c r="A72" s="1289" t="s">
        <v>519</v>
      </c>
      <c r="B72" s="1290" t="s">
        <v>561</v>
      </c>
      <c r="C72" s="1291">
        <v>2019</v>
      </c>
      <c r="D72" s="1266" t="s">
        <v>606</v>
      </c>
      <c r="E72" s="1268" t="s">
        <v>42</v>
      </c>
      <c r="F72" s="1268" t="s">
        <v>42</v>
      </c>
      <c r="G72" s="1269" t="s">
        <v>520</v>
      </c>
      <c r="H72" s="1270">
        <f>19547-33.38613</f>
        <v>19513.613870000001</v>
      </c>
      <c r="I72" s="1271">
        <v>19513.613869999997</v>
      </c>
      <c r="J72" s="1271">
        <v>0</v>
      </c>
      <c r="K72" s="1271">
        <v>0</v>
      </c>
      <c r="L72" s="1272">
        <v>0</v>
      </c>
      <c r="M72" s="1273">
        <v>0</v>
      </c>
      <c r="N72" s="1274">
        <v>0</v>
      </c>
      <c r="O72" s="1275">
        <v>33.386130000000009</v>
      </c>
      <c r="P72" s="1276">
        <v>-33.386130000000001</v>
      </c>
      <c r="Q72" s="1277">
        <f t="shared" si="5"/>
        <v>0</v>
      </c>
      <c r="R72" s="1278">
        <v>0</v>
      </c>
      <c r="S72" s="1279">
        <v>0</v>
      </c>
      <c r="T72" s="1278">
        <v>0</v>
      </c>
      <c r="U72" s="1273">
        <v>0</v>
      </c>
      <c r="V72" s="1274">
        <v>0</v>
      </c>
      <c r="W72" s="1292">
        <v>0</v>
      </c>
      <c r="X72" s="1273">
        <v>0</v>
      </c>
      <c r="Y72" s="1293">
        <v>0</v>
      </c>
      <c r="Z72" s="1274">
        <v>0</v>
      </c>
      <c r="AA72" s="1266" t="s">
        <v>1024</v>
      </c>
      <c r="AB72" s="1266" t="s">
        <v>352</v>
      </c>
      <c r="AC72" s="1285" t="s">
        <v>617</v>
      </c>
      <c r="AD72" s="1286" t="s">
        <v>339</v>
      </c>
      <c r="AE72" s="1286" t="s">
        <v>339</v>
      </c>
      <c r="AF72" s="1287" t="s">
        <v>363</v>
      </c>
    </row>
    <row r="73" spans="1:32" s="698" customFormat="1" ht="30" x14ac:dyDescent="0.25">
      <c r="A73" s="71" t="s">
        <v>521</v>
      </c>
      <c r="B73" s="61" t="s">
        <v>741</v>
      </c>
      <c r="C73" s="76">
        <v>2019</v>
      </c>
      <c r="D73" s="34" t="s">
        <v>606</v>
      </c>
      <c r="E73" s="35" t="s">
        <v>42</v>
      </c>
      <c r="F73" s="35" t="s">
        <v>42</v>
      </c>
      <c r="G73" s="85" t="s">
        <v>522</v>
      </c>
      <c r="H73" s="196">
        <f>2934-0.0735</f>
        <v>2933.9265</v>
      </c>
      <c r="I73" s="564">
        <v>2892</v>
      </c>
      <c r="J73" s="564">
        <v>0</v>
      </c>
      <c r="K73" s="564">
        <v>41.926499999999997</v>
      </c>
      <c r="L73" s="609">
        <v>0</v>
      </c>
      <c r="M73" s="315">
        <v>0</v>
      </c>
      <c r="N73" s="126">
        <v>0</v>
      </c>
      <c r="O73" s="801">
        <v>41.926499999999997</v>
      </c>
      <c r="P73" s="645">
        <v>0</v>
      </c>
      <c r="Q73" s="970">
        <f t="shared" si="5"/>
        <v>41.926499999999997</v>
      </c>
      <c r="R73" s="941">
        <v>0</v>
      </c>
      <c r="S73" s="125">
        <v>0</v>
      </c>
      <c r="T73" s="941">
        <v>0</v>
      </c>
      <c r="U73" s="315">
        <v>0</v>
      </c>
      <c r="V73" s="126">
        <v>0</v>
      </c>
      <c r="W73" s="702">
        <v>0</v>
      </c>
      <c r="X73" s="315">
        <v>0</v>
      </c>
      <c r="Y73" s="703">
        <v>0</v>
      </c>
      <c r="Z73" s="126">
        <v>0</v>
      </c>
      <c r="AA73" s="34" t="s">
        <v>317</v>
      </c>
      <c r="AB73" s="34" t="s">
        <v>352</v>
      </c>
      <c r="AC73" s="207" t="s">
        <v>409</v>
      </c>
      <c r="AD73" s="127" t="s">
        <v>339</v>
      </c>
      <c r="AE73" s="127" t="s">
        <v>339</v>
      </c>
      <c r="AF73" s="33" t="s">
        <v>363</v>
      </c>
    </row>
    <row r="74" spans="1:32" s="698" customFormat="1" ht="45" x14ac:dyDescent="0.25">
      <c r="A74" s="513" t="s">
        <v>523</v>
      </c>
      <c r="B74" s="514" t="s">
        <v>608</v>
      </c>
      <c r="C74" s="1263">
        <v>2019</v>
      </c>
      <c r="D74" s="195" t="s">
        <v>606</v>
      </c>
      <c r="E74" s="259" t="s">
        <v>42</v>
      </c>
      <c r="F74" s="259" t="s">
        <v>42</v>
      </c>
      <c r="G74" s="482" t="s">
        <v>524</v>
      </c>
      <c r="H74" s="244">
        <f>4631.13222+130</f>
        <v>4761.1322200000004</v>
      </c>
      <c r="I74" s="597">
        <v>4501.1177200000002</v>
      </c>
      <c r="J74" s="597">
        <v>0</v>
      </c>
      <c r="K74" s="597">
        <v>0</v>
      </c>
      <c r="L74" s="605">
        <v>0</v>
      </c>
      <c r="M74" s="1092">
        <v>130.0145</v>
      </c>
      <c r="N74" s="861">
        <v>0</v>
      </c>
      <c r="O74" s="1017">
        <v>130.0145</v>
      </c>
      <c r="P74" s="1018">
        <v>0</v>
      </c>
      <c r="Q74" s="1089">
        <f t="shared" si="5"/>
        <v>130.0145</v>
      </c>
      <c r="R74" s="1090">
        <v>130</v>
      </c>
      <c r="S74" s="1091">
        <v>0</v>
      </c>
      <c r="T74" s="1090">
        <v>0</v>
      </c>
      <c r="U74" s="1092">
        <v>0</v>
      </c>
      <c r="V74" s="861">
        <v>0</v>
      </c>
      <c r="W74" s="1209">
        <v>0</v>
      </c>
      <c r="X74" s="1092">
        <v>0</v>
      </c>
      <c r="Y74" s="1210">
        <v>0</v>
      </c>
      <c r="Z74" s="861">
        <v>0</v>
      </c>
      <c r="AA74" s="1294" t="s">
        <v>1025</v>
      </c>
      <c r="AB74" s="195" t="s">
        <v>28</v>
      </c>
      <c r="AC74" s="515" t="s">
        <v>784</v>
      </c>
      <c r="AD74" s="474" t="s">
        <v>339</v>
      </c>
      <c r="AE74" s="474" t="s">
        <v>339</v>
      </c>
      <c r="AF74" s="475" t="s">
        <v>363</v>
      </c>
    </row>
    <row r="75" spans="1:32" s="698" customFormat="1" ht="30" x14ac:dyDescent="0.25">
      <c r="A75" s="380" t="s">
        <v>525</v>
      </c>
      <c r="B75" s="381" t="s">
        <v>562</v>
      </c>
      <c r="C75" s="76">
        <v>2019</v>
      </c>
      <c r="D75" s="34" t="s">
        <v>606</v>
      </c>
      <c r="E75" s="35" t="s">
        <v>42</v>
      </c>
      <c r="F75" s="35" t="s">
        <v>42</v>
      </c>
      <c r="G75" s="85" t="s">
        <v>526</v>
      </c>
      <c r="H75" s="196">
        <f>7753-0.85212</f>
        <v>7752.1478800000004</v>
      </c>
      <c r="I75" s="564">
        <v>7701.3278800000007</v>
      </c>
      <c r="J75" s="564">
        <v>0</v>
      </c>
      <c r="K75" s="564">
        <v>50.82</v>
      </c>
      <c r="L75" s="609">
        <v>0</v>
      </c>
      <c r="M75" s="315">
        <v>0</v>
      </c>
      <c r="N75" s="126">
        <v>0</v>
      </c>
      <c r="O75" s="801">
        <v>50.82</v>
      </c>
      <c r="P75" s="645">
        <v>0</v>
      </c>
      <c r="Q75" s="970">
        <f t="shared" si="5"/>
        <v>50.82</v>
      </c>
      <c r="R75" s="941">
        <v>0</v>
      </c>
      <c r="S75" s="125">
        <v>0</v>
      </c>
      <c r="T75" s="941">
        <v>0</v>
      </c>
      <c r="U75" s="315">
        <v>0</v>
      </c>
      <c r="V75" s="126">
        <v>0</v>
      </c>
      <c r="W75" s="702">
        <v>0</v>
      </c>
      <c r="X75" s="315">
        <v>0</v>
      </c>
      <c r="Y75" s="703">
        <v>0</v>
      </c>
      <c r="Z75" s="126">
        <v>0</v>
      </c>
      <c r="AA75" s="34" t="s">
        <v>317</v>
      </c>
      <c r="AB75" s="34" t="s">
        <v>352</v>
      </c>
      <c r="AC75" s="207" t="s">
        <v>409</v>
      </c>
      <c r="AD75" s="127" t="s">
        <v>339</v>
      </c>
      <c r="AE75" s="127" t="s">
        <v>339</v>
      </c>
      <c r="AF75" s="33" t="s">
        <v>363</v>
      </c>
    </row>
    <row r="76" spans="1:32" ht="25.5" x14ac:dyDescent="0.25">
      <c r="A76" s="771" t="s">
        <v>527</v>
      </c>
      <c r="B76" s="915" t="s">
        <v>873</v>
      </c>
      <c r="C76" s="75">
        <v>2019</v>
      </c>
      <c r="D76" s="908" t="s">
        <v>606</v>
      </c>
      <c r="E76" s="914" t="s">
        <v>42</v>
      </c>
      <c r="F76" s="914" t="s">
        <v>42</v>
      </c>
      <c r="G76" s="552" t="s">
        <v>528</v>
      </c>
      <c r="H76" s="883">
        <v>3681.58835</v>
      </c>
      <c r="I76" s="437">
        <v>0</v>
      </c>
      <c r="J76" s="437">
        <v>0</v>
      </c>
      <c r="K76" s="437">
        <v>3487.6301600000002</v>
      </c>
      <c r="L76" s="266">
        <v>0</v>
      </c>
      <c r="M76" s="707">
        <v>0</v>
      </c>
      <c r="N76" s="912">
        <v>0</v>
      </c>
      <c r="O76" s="923">
        <v>3487.6301600000002</v>
      </c>
      <c r="P76" s="922">
        <v>0</v>
      </c>
      <c r="Q76" s="962">
        <f t="shared" si="5"/>
        <v>3487.6301600000002</v>
      </c>
      <c r="R76" s="739">
        <v>193.95818999999983</v>
      </c>
      <c r="S76" s="921">
        <v>0</v>
      </c>
      <c r="T76" s="739">
        <v>0</v>
      </c>
      <c r="U76" s="707">
        <v>0</v>
      </c>
      <c r="V76" s="912">
        <v>0</v>
      </c>
      <c r="W76" s="704">
        <v>0</v>
      </c>
      <c r="X76" s="408">
        <v>0</v>
      </c>
      <c r="Y76" s="705">
        <v>0</v>
      </c>
      <c r="Z76" s="885">
        <v>0</v>
      </c>
      <c r="AA76" s="39" t="s">
        <v>317</v>
      </c>
      <c r="AB76" s="908" t="s">
        <v>820</v>
      </c>
      <c r="AC76" s="153" t="s">
        <v>617</v>
      </c>
      <c r="AD76" s="918" t="s">
        <v>339</v>
      </c>
      <c r="AE76" s="918" t="s">
        <v>339</v>
      </c>
      <c r="AF76" s="916" t="s">
        <v>363</v>
      </c>
    </row>
    <row r="77" spans="1:32" s="698" customFormat="1" ht="30" x14ac:dyDescent="0.25">
      <c r="A77" s="471" t="s">
        <v>529</v>
      </c>
      <c r="B77" s="472" t="s">
        <v>324</v>
      </c>
      <c r="C77" s="1263">
        <v>2019</v>
      </c>
      <c r="D77" s="195" t="s">
        <v>606</v>
      </c>
      <c r="E77" s="516" t="s">
        <v>42</v>
      </c>
      <c r="F77" s="259" t="s">
        <v>42</v>
      </c>
      <c r="G77" s="482" t="s">
        <v>708</v>
      </c>
      <c r="H77" s="244">
        <f>17000+364.015</f>
        <v>17364.014999999999</v>
      </c>
      <c r="I77" s="597">
        <v>0</v>
      </c>
      <c r="J77" s="597">
        <v>0</v>
      </c>
      <c r="K77" s="597">
        <v>0</v>
      </c>
      <c r="L77" s="605">
        <v>0</v>
      </c>
      <c r="M77" s="1092">
        <v>17000</v>
      </c>
      <c r="N77" s="861">
        <v>364.01499999999999</v>
      </c>
      <c r="O77" s="1017">
        <v>17000</v>
      </c>
      <c r="P77" s="1018">
        <v>364.01499999999999</v>
      </c>
      <c r="Q77" s="1089">
        <f t="shared" si="5"/>
        <v>17364.014999999999</v>
      </c>
      <c r="R77" s="1090">
        <v>0</v>
      </c>
      <c r="S77" s="1091">
        <v>0</v>
      </c>
      <c r="T77" s="1090">
        <v>0</v>
      </c>
      <c r="U77" s="1092">
        <v>0</v>
      </c>
      <c r="V77" s="861">
        <v>0</v>
      </c>
      <c r="W77" s="1093">
        <v>0</v>
      </c>
      <c r="X77" s="1094">
        <v>0</v>
      </c>
      <c r="Y77" s="1095">
        <v>0</v>
      </c>
      <c r="Z77" s="1021">
        <v>0</v>
      </c>
      <c r="AA77" s="269" t="s">
        <v>1035</v>
      </c>
      <c r="AB77" s="195" t="s">
        <v>820</v>
      </c>
      <c r="AC77" s="515" t="s">
        <v>617</v>
      </c>
      <c r="AD77" s="474" t="s">
        <v>339</v>
      </c>
      <c r="AE77" s="474" t="s">
        <v>339</v>
      </c>
      <c r="AF77" s="475" t="s">
        <v>363</v>
      </c>
    </row>
    <row r="78" spans="1:32" ht="25.5" x14ac:dyDescent="0.25">
      <c r="A78" s="771" t="s">
        <v>530</v>
      </c>
      <c r="B78" s="915" t="s">
        <v>324</v>
      </c>
      <c r="C78" s="75">
        <v>2019</v>
      </c>
      <c r="D78" s="908" t="s">
        <v>606</v>
      </c>
      <c r="E78" s="914" t="s">
        <v>42</v>
      </c>
      <c r="F78" s="914" t="s">
        <v>42</v>
      </c>
      <c r="G78" s="898" t="s">
        <v>531</v>
      </c>
      <c r="H78" s="883">
        <v>6054.4479600000004</v>
      </c>
      <c r="I78" s="437">
        <v>0</v>
      </c>
      <c r="J78" s="437">
        <v>0</v>
      </c>
      <c r="K78" s="437">
        <v>0</v>
      </c>
      <c r="L78" s="266">
        <v>0</v>
      </c>
      <c r="M78" s="707">
        <v>0</v>
      </c>
      <c r="N78" s="912">
        <v>6054.4479600000004</v>
      </c>
      <c r="O78" s="923">
        <v>6054.4479600000004</v>
      </c>
      <c r="P78" s="922">
        <v>0</v>
      </c>
      <c r="Q78" s="962">
        <f t="shared" si="5"/>
        <v>6054.4479600000004</v>
      </c>
      <c r="R78" s="205">
        <v>0</v>
      </c>
      <c r="S78" s="921">
        <v>0</v>
      </c>
      <c r="T78" s="739">
        <v>0</v>
      </c>
      <c r="U78" s="707">
        <v>0</v>
      </c>
      <c r="V78" s="912">
        <v>0</v>
      </c>
      <c r="W78" s="706">
        <v>0</v>
      </c>
      <c r="X78" s="707">
        <v>0</v>
      </c>
      <c r="Y78" s="708">
        <v>0</v>
      </c>
      <c r="Z78" s="912">
        <v>0</v>
      </c>
      <c r="AA78" s="917" t="s">
        <v>317</v>
      </c>
      <c r="AB78" s="908" t="s">
        <v>12</v>
      </c>
      <c r="AC78" s="918" t="s">
        <v>616</v>
      </c>
      <c r="AD78" s="918" t="s">
        <v>339</v>
      </c>
      <c r="AE78" s="918" t="s">
        <v>339</v>
      </c>
      <c r="AF78" s="916" t="s">
        <v>364</v>
      </c>
    </row>
    <row r="79" spans="1:32" ht="25.5" x14ac:dyDescent="0.25">
      <c r="A79" s="771" t="s">
        <v>532</v>
      </c>
      <c r="B79" s="915" t="s">
        <v>324</v>
      </c>
      <c r="C79" s="75">
        <v>2019</v>
      </c>
      <c r="D79" s="908" t="s">
        <v>606</v>
      </c>
      <c r="E79" s="914" t="s">
        <v>42</v>
      </c>
      <c r="F79" s="914" t="s">
        <v>42</v>
      </c>
      <c r="G79" s="898" t="s">
        <v>533</v>
      </c>
      <c r="H79" s="883">
        <v>3541.7646199999999</v>
      </c>
      <c r="I79" s="437">
        <v>0</v>
      </c>
      <c r="J79" s="437">
        <v>0</v>
      </c>
      <c r="K79" s="437">
        <v>0</v>
      </c>
      <c r="L79" s="266">
        <v>0</v>
      </c>
      <c r="M79" s="707">
        <v>0</v>
      </c>
      <c r="N79" s="912">
        <v>3541.7646199999999</v>
      </c>
      <c r="O79" s="923">
        <v>3541.7646199999999</v>
      </c>
      <c r="P79" s="922">
        <v>0</v>
      </c>
      <c r="Q79" s="962">
        <f t="shared" si="5"/>
        <v>3541.7646199999999</v>
      </c>
      <c r="R79" s="921">
        <v>0</v>
      </c>
      <c r="S79" s="921">
        <v>0</v>
      </c>
      <c r="T79" s="739">
        <v>0</v>
      </c>
      <c r="U79" s="707">
        <v>0</v>
      </c>
      <c r="V79" s="912">
        <v>0</v>
      </c>
      <c r="W79" s="704">
        <v>0</v>
      </c>
      <c r="X79" s="408">
        <v>0</v>
      </c>
      <c r="Y79" s="705">
        <v>0</v>
      </c>
      <c r="Z79" s="885">
        <v>0</v>
      </c>
      <c r="AA79" s="917" t="s">
        <v>896</v>
      </c>
      <c r="AB79" s="908" t="s">
        <v>12</v>
      </c>
      <c r="AC79" s="918" t="s">
        <v>616</v>
      </c>
      <c r="AD79" s="918" t="s">
        <v>339</v>
      </c>
      <c r="AE79" s="918" t="s">
        <v>339</v>
      </c>
      <c r="AF79" s="916" t="s">
        <v>364</v>
      </c>
    </row>
    <row r="80" spans="1:32" ht="26.25" thickBot="1" x14ac:dyDescent="0.3">
      <c r="A80" s="69" t="s">
        <v>534</v>
      </c>
      <c r="B80" s="70" t="s">
        <v>324</v>
      </c>
      <c r="C80" s="193">
        <v>2019</v>
      </c>
      <c r="D80" s="893" t="s">
        <v>606</v>
      </c>
      <c r="E80" s="887" t="s">
        <v>42</v>
      </c>
      <c r="F80" s="887" t="s">
        <v>42</v>
      </c>
      <c r="G80" s="299" t="s">
        <v>535</v>
      </c>
      <c r="H80" s="216">
        <v>2033.80612</v>
      </c>
      <c r="I80" s="560">
        <v>0</v>
      </c>
      <c r="J80" s="560">
        <v>0</v>
      </c>
      <c r="K80" s="560">
        <v>0</v>
      </c>
      <c r="L80" s="579">
        <v>0</v>
      </c>
      <c r="M80" s="716">
        <v>0</v>
      </c>
      <c r="N80" s="279">
        <v>2033.80612</v>
      </c>
      <c r="O80" s="751">
        <v>2033.80612</v>
      </c>
      <c r="P80" s="635">
        <v>0</v>
      </c>
      <c r="Q80" s="964">
        <f t="shared" si="5"/>
        <v>2033.80612</v>
      </c>
      <c r="R80" s="804">
        <v>0</v>
      </c>
      <c r="S80" s="540">
        <v>0</v>
      </c>
      <c r="T80" s="804">
        <v>0</v>
      </c>
      <c r="U80" s="716">
        <v>0</v>
      </c>
      <c r="V80" s="279">
        <v>0</v>
      </c>
      <c r="W80" s="715">
        <v>0</v>
      </c>
      <c r="X80" s="716">
        <v>0</v>
      </c>
      <c r="Y80" s="717">
        <v>0</v>
      </c>
      <c r="Z80" s="279">
        <v>0</v>
      </c>
      <c r="AA80" s="893" t="s">
        <v>896</v>
      </c>
      <c r="AB80" s="893" t="s">
        <v>12</v>
      </c>
      <c r="AC80" s="72" t="s">
        <v>617</v>
      </c>
      <c r="AD80" s="119" t="s">
        <v>339</v>
      </c>
      <c r="AE80" s="119" t="s">
        <v>338</v>
      </c>
      <c r="AF80" s="72" t="s">
        <v>364</v>
      </c>
    </row>
    <row r="81" spans="1:32" ht="25.5" x14ac:dyDescent="0.25">
      <c r="A81" s="476" t="s">
        <v>569</v>
      </c>
      <c r="B81" s="464" t="s">
        <v>324</v>
      </c>
      <c r="C81" s="364">
        <v>2020</v>
      </c>
      <c r="D81" s="286" t="s">
        <v>610</v>
      </c>
      <c r="E81" s="342" t="s">
        <v>42</v>
      </c>
      <c r="F81" s="342" t="s">
        <v>42</v>
      </c>
      <c r="G81" s="483" t="s">
        <v>570</v>
      </c>
      <c r="H81" s="336">
        <v>200000</v>
      </c>
      <c r="I81" s="585">
        <v>0</v>
      </c>
      <c r="J81" s="585">
        <v>0</v>
      </c>
      <c r="K81" s="585">
        <v>0</v>
      </c>
      <c r="L81" s="604">
        <v>0</v>
      </c>
      <c r="M81" s="1096">
        <v>0</v>
      </c>
      <c r="N81" s="505">
        <v>0</v>
      </c>
      <c r="O81" s="510">
        <v>10000</v>
      </c>
      <c r="P81" s="586">
        <v>-10000</v>
      </c>
      <c r="Q81" s="1097">
        <f t="shared" si="5"/>
        <v>0</v>
      </c>
      <c r="R81" s="1098">
        <v>20000</v>
      </c>
      <c r="S81" s="1099">
        <v>180000</v>
      </c>
      <c r="T81" s="1098">
        <v>0</v>
      </c>
      <c r="U81" s="1096">
        <v>0</v>
      </c>
      <c r="V81" s="505">
        <v>0</v>
      </c>
      <c r="W81" s="1087">
        <v>0</v>
      </c>
      <c r="X81" s="1086">
        <v>0</v>
      </c>
      <c r="Y81" s="1088">
        <v>0</v>
      </c>
      <c r="Z81" s="510">
        <v>0</v>
      </c>
      <c r="AA81" s="340" t="s">
        <v>967</v>
      </c>
      <c r="AB81" s="286" t="s">
        <v>17</v>
      </c>
      <c r="AC81" s="517" t="s">
        <v>847</v>
      </c>
      <c r="AD81" s="478" t="s">
        <v>338</v>
      </c>
      <c r="AE81" s="478" t="s">
        <v>338</v>
      </c>
      <c r="AF81" s="337" t="s">
        <v>364</v>
      </c>
    </row>
    <row r="82" spans="1:32" ht="30" x14ac:dyDescent="0.25">
      <c r="A82" s="771" t="s">
        <v>571</v>
      </c>
      <c r="B82" s="915" t="s">
        <v>324</v>
      </c>
      <c r="C82" s="226">
        <v>2020</v>
      </c>
      <c r="D82" s="908" t="s">
        <v>610</v>
      </c>
      <c r="E82" s="914" t="s">
        <v>42</v>
      </c>
      <c r="F82" s="914" t="s">
        <v>42</v>
      </c>
      <c r="G82" s="282" t="s">
        <v>620</v>
      </c>
      <c r="H82" s="909">
        <v>63000</v>
      </c>
      <c r="I82" s="437">
        <v>0</v>
      </c>
      <c r="J82" s="437">
        <v>0</v>
      </c>
      <c r="K82" s="437">
        <v>0</v>
      </c>
      <c r="L82" s="266">
        <v>0</v>
      </c>
      <c r="M82" s="707">
        <v>0</v>
      </c>
      <c r="N82" s="912">
        <v>0</v>
      </c>
      <c r="O82" s="923">
        <v>0</v>
      </c>
      <c r="P82" s="922">
        <v>0</v>
      </c>
      <c r="Q82" s="962">
        <f t="shared" si="5"/>
        <v>0</v>
      </c>
      <c r="R82" s="739">
        <v>33000</v>
      </c>
      <c r="S82" s="921">
        <v>30000</v>
      </c>
      <c r="T82" s="739">
        <v>0</v>
      </c>
      <c r="U82" s="707">
        <v>0</v>
      </c>
      <c r="V82" s="912">
        <v>0</v>
      </c>
      <c r="W82" s="704">
        <v>0</v>
      </c>
      <c r="X82" s="408">
        <v>0</v>
      </c>
      <c r="Y82" s="705">
        <v>0</v>
      </c>
      <c r="Z82" s="885">
        <v>0</v>
      </c>
      <c r="AA82" s="917" t="s">
        <v>317</v>
      </c>
      <c r="AB82" s="908" t="s">
        <v>12</v>
      </c>
      <c r="AC82" s="153" t="s">
        <v>847</v>
      </c>
      <c r="AD82" s="918" t="s">
        <v>339</v>
      </c>
      <c r="AE82" s="918" t="s">
        <v>338</v>
      </c>
      <c r="AF82" s="916" t="s">
        <v>365</v>
      </c>
    </row>
    <row r="83" spans="1:32" ht="25.5" x14ac:dyDescent="0.25">
      <c r="A83" s="476" t="s">
        <v>572</v>
      </c>
      <c r="B83" s="464" t="s">
        <v>324</v>
      </c>
      <c r="C83" s="364">
        <v>2020</v>
      </c>
      <c r="D83" s="286" t="s">
        <v>610</v>
      </c>
      <c r="E83" s="342" t="s">
        <v>42</v>
      </c>
      <c r="F83" s="342" t="s">
        <v>42</v>
      </c>
      <c r="G83" s="483" t="s">
        <v>622</v>
      </c>
      <c r="H83" s="336">
        <v>110000</v>
      </c>
      <c r="I83" s="585">
        <v>0</v>
      </c>
      <c r="J83" s="585">
        <v>0</v>
      </c>
      <c r="K83" s="585">
        <v>0</v>
      </c>
      <c r="L83" s="604">
        <v>0</v>
      </c>
      <c r="M83" s="1096">
        <v>0</v>
      </c>
      <c r="N83" s="505">
        <v>9000</v>
      </c>
      <c r="O83" s="510">
        <v>0</v>
      </c>
      <c r="P83" s="586">
        <v>9000</v>
      </c>
      <c r="Q83" s="1097">
        <f t="shared" si="5"/>
        <v>9000</v>
      </c>
      <c r="R83" s="1100">
        <v>20000</v>
      </c>
      <c r="S83" s="1101">
        <v>81000</v>
      </c>
      <c r="T83" s="1098">
        <v>0</v>
      </c>
      <c r="U83" s="1096">
        <v>0</v>
      </c>
      <c r="V83" s="505">
        <v>0</v>
      </c>
      <c r="W83" s="1087">
        <v>0</v>
      </c>
      <c r="X83" s="1086">
        <v>0</v>
      </c>
      <c r="Y83" s="1088">
        <v>0</v>
      </c>
      <c r="Z83" s="510">
        <v>0</v>
      </c>
      <c r="AA83" s="340" t="s">
        <v>968</v>
      </c>
      <c r="AB83" s="286" t="s">
        <v>28</v>
      </c>
      <c r="AC83" s="517" t="s">
        <v>790</v>
      </c>
      <c r="AD83" s="478" t="s">
        <v>339</v>
      </c>
      <c r="AE83" s="478" t="s">
        <v>339</v>
      </c>
      <c r="AF83" s="337" t="s">
        <v>363</v>
      </c>
    </row>
    <row r="84" spans="1:32" ht="25.5" x14ac:dyDescent="0.25">
      <c r="A84" s="476" t="s">
        <v>573</v>
      </c>
      <c r="B84" s="464" t="s">
        <v>737</v>
      </c>
      <c r="C84" s="364">
        <v>2020</v>
      </c>
      <c r="D84" s="286" t="s">
        <v>610</v>
      </c>
      <c r="E84" s="342" t="s">
        <v>42</v>
      </c>
      <c r="F84" s="342" t="s">
        <v>42</v>
      </c>
      <c r="G84" s="483" t="s">
        <v>574</v>
      </c>
      <c r="H84" s="336">
        <v>54000</v>
      </c>
      <c r="I84" s="585">
        <v>7192.4819999999991</v>
      </c>
      <c r="J84" s="585">
        <v>0</v>
      </c>
      <c r="K84" s="585">
        <v>56.023000000000003</v>
      </c>
      <c r="L84" s="604">
        <v>0</v>
      </c>
      <c r="M84" s="1096">
        <v>0</v>
      </c>
      <c r="N84" s="505">
        <v>1500</v>
      </c>
      <c r="O84" s="510">
        <v>56.023000000000003</v>
      </c>
      <c r="P84" s="586">
        <v>1500</v>
      </c>
      <c r="Q84" s="1097">
        <f t="shared" si="5"/>
        <v>1556.0229999999999</v>
      </c>
      <c r="R84" s="1100">
        <v>10000</v>
      </c>
      <c r="S84" s="1101">
        <f>36751.495-1500</f>
        <v>35251.495000000003</v>
      </c>
      <c r="T84" s="1098">
        <v>0</v>
      </c>
      <c r="U84" s="1096">
        <v>0</v>
      </c>
      <c r="V84" s="505">
        <v>0</v>
      </c>
      <c r="W84" s="1087">
        <v>0</v>
      </c>
      <c r="X84" s="1086">
        <v>0</v>
      </c>
      <c r="Y84" s="1088">
        <v>0</v>
      </c>
      <c r="Z84" s="510">
        <v>0</v>
      </c>
      <c r="AA84" s="340" t="s">
        <v>1020</v>
      </c>
      <c r="AB84" s="1237" t="s">
        <v>28</v>
      </c>
      <c r="AC84" s="517" t="s">
        <v>845</v>
      </c>
      <c r="AD84" s="478" t="s">
        <v>339</v>
      </c>
      <c r="AE84" s="478" t="s">
        <v>339</v>
      </c>
      <c r="AF84" s="337" t="s">
        <v>364</v>
      </c>
    </row>
    <row r="85" spans="1:32" ht="25.5" x14ac:dyDescent="0.25">
      <c r="A85" s="771" t="s">
        <v>575</v>
      </c>
      <c r="B85" s="915" t="s">
        <v>874</v>
      </c>
      <c r="C85" s="226">
        <v>2020</v>
      </c>
      <c r="D85" s="908" t="s">
        <v>610</v>
      </c>
      <c r="E85" s="914" t="s">
        <v>42</v>
      </c>
      <c r="F85" s="914" t="s">
        <v>42</v>
      </c>
      <c r="G85" s="898" t="s">
        <v>928</v>
      </c>
      <c r="H85" s="909">
        <v>1819</v>
      </c>
      <c r="I85" s="437">
        <v>0</v>
      </c>
      <c r="J85" s="399">
        <v>0</v>
      </c>
      <c r="K85" s="399">
        <v>1646.0530000000001</v>
      </c>
      <c r="L85" s="399">
        <v>0</v>
      </c>
      <c r="M85" s="707">
        <f>100+72.947</f>
        <v>172.947</v>
      </c>
      <c r="N85" s="912">
        <v>0</v>
      </c>
      <c r="O85" s="923">
        <v>1819</v>
      </c>
      <c r="P85" s="922">
        <v>0</v>
      </c>
      <c r="Q85" s="962">
        <f t="shared" si="5"/>
        <v>1819</v>
      </c>
      <c r="R85" s="808">
        <v>0</v>
      </c>
      <c r="S85" s="809">
        <v>0</v>
      </c>
      <c r="T85" s="739">
        <v>0</v>
      </c>
      <c r="U85" s="707">
        <v>0</v>
      </c>
      <c r="V85" s="912">
        <v>0</v>
      </c>
      <c r="W85" s="706">
        <v>0</v>
      </c>
      <c r="X85" s="707">
        <v>0</v>
      </c>
      <c r="Y85" s="708">
        <v>0</v>
      </c>
      <c r="Z85" s="912">
        <v>0</v>
      </c>
      <c r="AA85" s="25" t="s">
        <v>317</v>
      </c>
      <c r="AB85" s="908" t="s">
        <v>12</v>
      </c>
      <c r="AC85" s="153" t="s">
        <v>617</v>
      </c>
      <c r="AD85" s="918" t="s">
        <v>339</v>
      </c>
      <c r="AE85" s="918" t="s">
        <v>338</v>
      </c>
      <c r="AF85" s="916" t="s">
        <v>363</v>
      </c>
    </row>
    <row r="86" spans="1:32" ht="25.5" x14ac:dyDescent="0.25">
      <c r="A86" s="771" t="s">
        <v>576</v>
      </c>
      <c r="B86" s="915" t="s">
        <v>324</v>
      </c>
      <c r="C86" s="226">
        <v>2020</v>
      </c>
      <c r="D86" s="908" t="s">
        <v>610</v>
      </c>
      <c r="E86" s="914" t="s">
        <v>42</v>
      </c>
      <c r="F86" s="914" t="s">
        <v>42</v>
      </c>
      <c r="G86" s="898" t="s">
        <v>577</v>
      </c>
      <c r="H86" s="909">
        <v>71624</v>
      </c>
      <c r="I86" s="437">
        <v>0</v>
      </c>
      <c r="J86" s="437">
        <v>0</v>
      </c>
      <c r="K86" s="437">
        <v>0</v>
      </c>
      <c r="L86" s="266">
        <v>0</v>
      </c>
      <c r="M86" s="707">
        <v>20000</v>
      </c>
      <c r="N86" s="912">
        <v>51624</v>
      </c>
      <c r="O86" s="923">
        <v>71624</v>
      </c>
      <c r="P86" s="922">
        <v>0</v>
      </c>
      <c r="Q86" s="962">
        <f t="shared" si="5"/>
        <v>71624</v>
      </c>
      <c r="R86" s="808">
        <v>0</v>
      </c>
      <c r="S86" s="809">
        <v>0</v>
      </c>
      <c r="T86" s="739">
        <v>0</v>
      </c>
      <c r="U86" s="707">
        <v>0</v>
      </c>
      <c r="V86" s="912">
        <v>0</v>
      </c>
      <c r="W86" s="706">
        <v>71624</v>
      </c>
      <c r="X86" s="707">
        <v>0</v>
      </c>
      <c r="Y86" s="708">
        <v>71624</v>
      </c>
      <c r="Z86" s="912">
        <v>0</v>
      </c>
      <c r="AA86" s="908" t="s">
        <v>317</v>
      </c>
      <c r="AB86" s="908" t="s">
        <v>12</v>
      </c>
      <c r="AC86" s="153" t="s">
        <v>616</v>
      </c>
      <c r="AD86" s="918" t="s">
        <v>338</v>
      </c>
      <c r="AE86" s="918" t="s">
        <v>338</v>
      </c>
      <c r="AF86" s="916" t="s">
        <v>363</v>
      </c>
    </row>
    <row r="87" spans="1:32" ht="25.5" x14ac:dyDescent="0.25">
      <c r="A87" s="771" t="s">
        <v>578</v>
      </c>
      <c r="B87" s="915" t="s">
        <v>324</v>
      </c>
      <c r="C87" s="226">
        <v>2020</v>
      </c>
      <c r="D87" s="908" t="s">
        <v>610</v>
      </c>
      <c r="E87" s="914" t="s">
        <v>42</v>
      </c>
      <c r="F87" s="914" t="s">
        <v>42</v>
      </c>
      <c r="G87" s="898" t="s">
        <v>848</v>
      </c>
      <c r="H87" s="909">
        <v>66262</v>
      </c>
      <c r="I87" s="437">
        <v>0</v>
      </c>
      <c r="J87" s="437">
        <v>0</v>
      </c>
      <c r="K87" s="437">
        <v>0</v>
      </c>
      <c r="L87" s="266">
        <v>0</v>
      </c>
      <c r="M87" s="707">
        <v>20000</v>
      </c>
      <c r="N87" s="912">
        <v>43199</v>
      </c>
      <c r="O87" s="923">
        <v>63199</v>
      </c>
      <c r="P87" s="922">
        <v>0</v>
      </c>
      <c r="Q87" s="962">
        <f t="shared" si="5"/>
        <v>63199</v>
      </c>
      <c r="R87" s="808">
        <v>3063</v>
      </c>
      <c r="S87" s="809">
        <v>0</v>
      </c>
      <c r="T87" s="739">
        <v>0</v>
      </c>
      <c r="U87" s="707">
        <v>0</v>
      </c>
      <c r="V87" s="912">
        <v>0</v>
      </c>
      <c r="W87" s="706">
        <v>63198.436419999998</v>
      </c>
      <c r="X87" s="707">
        <v>0</v>
      </c>
      <c r="Y87" s="708">
        <v>63198.436419999998</v>
      </c>
      <c r="Z87" s="912">
        <v>0</v>
      </c>
      <c r="AA87" s="908" t="s">
        <v>317</v>
      </c>
      <c r="AB87" s="908" t="s">
        <v>12</v>
      </c>
      <c r="AC87" s="153" t="s">
        <v>616</v>
      </c>
      <c r="AD87" s="918" t="s">
        <v>338</v>
      </c>
      <c r="AE87" s="916" t="s">
        <v>338</v>
      </c>
      <c r="AF87" s="916" t="s">
        <v>363</v>
      </c>
    </row>
    <row r="88" spans="1:32" ht="25.5" x14ac:dyDescent="0.25">
      <c r="A88" s="771" t="s">
        <v>579</v>
      </c>
      <c r="B88" s="915" t="s">
        <v>324</v>
      </c>
      <c r="C88" s="226">
        <v>2020</v>
      </c>
      <c r="D88" s="908" t="s">
        <v>610</v>
      </c>
      <c r="E88" s="914" t="s">
        <v>42</v>
      </c>
      <c r="F88" s="914" t="s">
        <v>42</v>
      </c>
      <c r="G88" s="898" t="s">
        <v>580</v>
      </c>
      <c r="H88" s="909">
        <v>30250</v>
      </c>
      <c r="I88" s="437">
        <v>0</v>
      </c>
      <c r="J88" s="437">
        <v>0</v>
      </c>
      <c r="K88" s="437">
        <v>0</v>
      </c>
      <c r="L88" s="266">
        <v>0</v>
      </c>
      <c r="M88" s="707">
        <v>0</v>
      </c>
      <c r="N88" s="912">
        <v>0</v>
      </c>
      <c r="O88" s="923">
        <v>0</v>
      </c>
      <c r="P88" s="922">
        <v>0</v>
      </c>
      <c r="Q88" s="962">
        <f t="shared" si="5"/>
        <v>0</v>
      </c>
      <c r="R88" s="808">
        <v>25250</v>
      </c>
      <c r="S88" s="809">
        <v>0</v>
      </c>
      <c r="T88" s="739">
        <v>5000</v>
      </c>
      <c r="U88" s="707">
        <v>0</v>
      </c>
      <c r="V88" s="912">
        <v>0</v>
      </c>
      <c r="W88" s="706">
        <v>0</v>
      </c>
      <c r="X88" s="707">
        <v>0</v>
      </c>
      <c r="Y88" s="708">
        <v>0</v>
      </c>
      <c r="Z88" s="912">
        <v>0</v>
      </c>
      <c r="AA88" s="917" t="s">
        <v>317</v>
      </c>
      <c r="AB88" s="908" t="s">
        <v>17</v>
      </c>
      <c r="AC88" s="153" t="s">
        <v>790</v>
      </c>
      <c r="AD88" s="918" t="s">
        <v>338</v>
      </c>
      <c r="AE88" s="918" t="s">
        <v>338</v>
      </c>
      <c r="AF88" s="916" t="s">
        <v>362</v>
      </c>
    </row>
    <row r="89" spans="1:32" ht="25.5" x14ac:dyDescent="0.25">
      <c r="A89" s="771" t="s">
        <v>581</v>
      </c>
      <c r="B89" s="915" t="s">
        <v>324</v>
      </c>
      <c r="C89" s="226">
        <v>2020</v>
      </c>
      <c r="D89" s="908" t="s">
        <v>610</v>
      </c>
      <c r="E89" s="914" t="s">
        <v>42</v>
      </c>
      <c r="F89" s="914" t="s">
        <v>42</v>
      </c>
      <c r="G89" s="898" t="s">
        <v>623</v>
      </c>
      <c r="H89" s="909">
        <v>5000</v>
      </c>
      <c r="I89" s="437">
        <v>0</v>
      </c>
      <c r="J89" s="437">
        <v>0</v>
      </c>
      <c r="K89" s="437">
        <v>0</v>
      </c>
      <c r="L89" s="266">
        <v>0</v>
      </c>
      <c r="M89" s="707">
        <v>0</v>
      </c>
      <c r="N89" s="912">
        <v>0</v>
      </c>
      <c r="O89" s="923">
        <v>0</v>
      </c>
      <c r="P89" s="922">
        <v>0</v>
      </c>
      <c r="Q89" s="962">
        <f t="shared" si="5"/>
        <v>0</v>
      </c>
      <c r="R89" s="808">
        <v>0</v>
      </c>
      <c r="S89" s="809">
        <v>5000</v>
      </c>
      <c r="T89" s="739">
        <v>0</v>
      </c>
      <c r="U89" s="707">
        <v>0</v>
      </c>
      <c r="V89" s="912">
        <v>0</v>
      </c>
      <c r="W89" s="704">
        <v>0</v>
      </c>
      <c r="X89" s="408">
        <v>0</v>
      </c>
      <c r="Y89" s="705">
        <v>0</v>
      </c>
      <c r="Z89" s="885">
        <v>0</v>
      </c>
      <c r="AA89" s="917" t="s">
        <v>317</v>
      </c>
      <c r="AB89" s="908" t="s">
        <v>17</v>
      </c>
      <c r="AC89" s="153" t="s">
        <v>621</v>
      </c>
      <c r="AD89" s="918" t="s">
        <v>338</v>
      </c>
      <c r="AE89" s="918" t="s">
        <v>338</v>
      </c>
      <c r="AF89" s="916" t="s">
        <v>362</v>
      </c>
    </row>
    <row r="90" spans="1:32" ht="25.5" x14ac:dyDescent="0.25">
      <c r="A90" s="771" t="s">
        <v>582</v>
      </c>
      <c r="B90" s="915" t="s">
        <v>324</v>
      </c>
      <c r="C90" s="226">
        <v>2020</v>
      </c>
      <c r="D90" s="908" t="s">
        <v>610</v>
      </c>
      <c r="E90" s="914" t="s">
        <v>42</v>
      </c>
      <c r="F90" s="914" t="s">
        <v>42</v>
      </c>
      <c r="G90" s="898" t="s">
        <v>583</v>
      </c>
      <c r="H90" s="909">
        <v>25913</v>
      </c>
      <c r="I90" s="437">
        <v>0</v>
      </c>
      <c r="J90" s="437">
        <v>0</v>
      </c>
      <c r="K90" s="437">
        <v>0</v>
      </c>
      <c r="L90" s="266">
        <v>0</v>
      </c>
      <c r="M90" s="707">
        <v>0</v>
      </c>
      <c r="N90" s="912">
        <v>0</v>
      </c>
      <c r="O90" s="923">
        <v>0</v>
      </c>
      <c r="P90" s="922">
        <v>0</v>
      </c>
      <c r="Q90" s="962">
        <f t="shared" si="5"/>
        <v>0</v>
      </c>
      <c r="R90" s="739">
        <v>0</v>
      </c>
      <c r="S90" s="921">
        <v>25913</v>
      </c>
      <c r="T90" s="739">
        <v>0</v>
      </c>
      <c r="U90" s="707">
        <v>0</v>
      </c>
      <c r="V90" s="912">
        <v>0</v>
      </c>
      <c r="W90" s="704">
        <v>0</v>
      </c>
      <c r="X90" s="408">
        <v>0</v>
      </c>
      <c r="Y90" s="705">
        <v>0</v>
      </c>
      <c r="Z90" s="885">
        <v>0</v>
      </c>
      <c r="AA90" s="917" t="s">
        <v>317</v>
      </c>
      <c r="AB90" s="908" t="s">
        <v>17</v>
      </c>
      <c r="AC90" s="153" t="s">
        <v>790</v>
      </c>
      <c r="AD90" s="918" t="s">
        <v>338</v>
      </c>
      <c r="AE90" s="918" t="s">
        <v>338</v>
      </c>
      <c r="AF90" s="916" t="s">
        <v>362</v>
      </c>
    </row>
    <row r="91" spans="1:32" ht="25.5" x14ac:dyDescent="0.25">
      <c r="A91" s="771" t="s">
        <v>584</v>
      </c>
      <c r="B91" s="915" t="s">
        <v>324</v>
      </c>
      <c r="C91" s="226">
        <v>2020</v>
      </c>
      <c r="D91" s="908" t="s">
        <v>610</v>
      </c>
      <c r="E91" s="914" t="s">
        <v>42</v>
      </c>
      <c r="F91" s="914" t="s">
        <v>42</v>
      </c>
      <c r="G91" s="898" t="s">
        <v>585</v>
      </c>
      <c r="H91" s="909">
        <v>477</v>
      </c>
      <c r="I91" s="437">
        <v>0</v>
      </c>
      <c r="J91" s="437">
        <v>0</v>
      </c>
      <c r="K91" s="437">
        <v>0</v>
      </c>
      <c r="L91" s="266">
        <v>0</v>
      </c>
      <c r="M91" s="707">
        <v>0</v>
      </c>
      <c r="N91" s="912">
        <v>0</v>
      </c>
      <c r="O91" s="923">
        <v>0</v>
      </c>
      <c r="P91" s="922">
        <v>0</v>
      </c>
      <c r="Q91" s="962">
        <f t="shared" si="5"/>
        <v>0</v>
      </c>
      <c r="R91" s="808">
        <v>0</v>
      </c>
      <c r="S91" s="808">
        <v>477</v>
      </c>
      <c r="T91" s="739">
        <v>0</v>
      </c>
      <c r="U91" s="707">
        <v>0</v>
      </c>
      <c r="V91" s="912">
        <v>0</v>
      </c>
      <c r="W91" s="704">
        <v>0</v>
      </c>
      <c r="X91" s="408">
        <v>0</v>
      </c>
      <c r="Y91" s="705">
        <v>0</v>
      </c>
      <c r="Z91" s="885">
        <v>0</v>
      </c>
      <c r="AA91" s="917" t="s">
        <v>317</v>
      </c>
      <c r="AB91" s="908" t="s">
        <v>17</v>
      </c>
      <c r="AC91" s="153" t="s">
        <v>604</v>
      </c>
      <c r="AD91" s="918" t="s">
        <v>338</v>
      </c>
      <c r="AE91" s="918" t="s">
        <v>338</v>
      </c>
      <c r="AF91" s="916" t="s">
        <v>362</v>
      </c>
    </row>
    <row r="92" spans="1:32" ht="25.5" x14ac:dyDescent="0.25">
      <c r="A92" s="771" t="s">
        <v>586</v>
      </c>
      <c r="B92" s="915" t="s">
        <v>324</v>
      </c>
      <c r="C92" s="226">
        <v>2020</v>
      </c>
      <c r="D92" s="908" t="s">
        <v>610</v>
      </c>
      <c r="E92" s="914" t="s">
        <v>42</v>
      </c>
      <c r="F92" s="914" t="s">
        <v>42</v>
      </c>
      <c r="G92" s="898" t="s">
        <v>587</v>
      </c>
      <c r="H92" s="909">
        <v>7260</v>
      </c>
      <c r="I92" s="437">
        <v>0</v>
      </c>
      <c r="J92" s="437">
        <v>0</v>
      </c>
      <c r="K92" s="437">
        <v>0</v>
      </c>
      <c r="L92" s="266">
        <v>0</v>
      </c>
      <c r="M92" s="707">
        <v>0</v>
      </c>
      <c r="N92" s="807">
        <v>0</v>
      </c>
      <c r="O92" s="923">
        <v>0</v>
      </c>
      <c r="P92" s="922">
        <v>0</v>
      </c>
      <c r="Q92" s="962">
        <f t="shared" si="5"/>
        <v>0</v>
      </c>
      <c r="R92" s="808">
        <v>0</v>
      </c>
      <c r="S92" s="808">
        <v>7260</v>
      </c>
      <c r="T92" s="739">
        <v>0</v>
      </c>
      <c r="U92" s="707">
        <v>0</v>
      </c>
      <c r="V92" s="912">
        <v>0</v>
      </c>
      <c r="W92" s="704">
        <v>0</v>
      </c>
      <c r="X92" s="408">
        <v>0</v>
      </c>
      <c r="Y92" s="705">
        <v>0</v>
      </c>
      <c r="Z92" s="885">
        <v>0</v>
      </c>
      <c r="AA92" s="917" t="s">
        <v>317</v>
      </c>
      <c r="AB92" s="908" t="s">
        <v>17</v>
      </c>
      <c r="AC92" s="153" t="s">
        <v>621</v>
      </c>
      <c r="AD92" s="918" t="s">
        <v>338</v>
      </c>
      <c r="AE92" s="918" t="s">
        <v>338</v>
      </c>
      <c r="AF92" s="916" t="s">
        <v>362</v>
      </c>
    </row>
    <row r="93" spans="1:32" ht="25.5" x14ac:dyDescent="0.25">
      <c r="A93" s="771" t="s">
        <v>588</v>
      </c>
      <c r="B93" s="915" t="s">
        <v>324</v>
      </c>
      <c r="C93" s="226">
        <v>2020</v>
      </c>
      <c r="D93" s="908" t="s">
        <v>610</v>
      </c>
      <c r="E93" s="914" t="s">
        <v>42</v>
      </c>
      <c r="F93" s="914" t="s">
        <v>42</v>
      </c>
      <c r="G93" s="898" t="s">
        <v>624</v>
      </c>
      <c r="H93" s="909">
        <v>13786</v>
      </c>
      <c r="I93" s="437">
        <v>0</v>
      </c>
      <c r="J93" s="437">
        <v>0</v>
      </c>
      <c r="K93" s="437">
        <v>0</v>
      </c>
      <c r="L93" s="266">
        <v>0</v>
      </c>
      <c r="M93" s="707">
        <v>0</v>
      </c>
      <c r="N93" s="807">
        <v>0</v>
      </c>
      <c r="O93" s="923">
        <v>0</v>
      </c>
      <c r="P93" s="922">
        <v>0</v>
      </c>
      <c r="Q93" s="962">
        <f t="shared" si="5"/>
        <v>0</v>
      </c>
      <c r="R93" s="739">
        <v>0</v>
      </c>
      <c r="S93" s="739">
        <v>11525</v>
      </c>
      <c r="T93" s="739">
        <v>2261</v>
      </c>
      <c r="U93" s="707">
        <v>0</v>
      </c>
      <c r="V93" s="912">
        <v>0</v>
      </c>
      <c r="W93" s="704">
        <v>0</v>
      </c>
      <c r="X93" s="408">
        <v>0</v>
      </c>
      <c r="Y93" s="705">
        <v>0</v>
      </c>
      <c r="Z93" s="885">
        <v>0</v>
      </c>
      <c r="AA93" s="917" t="s">
        <v>317</v>
      </c>
      <c r="AB93" s="908" t="s">
        <v>17</v>
      </c>
      <c r="AC93" s="153" t="s">
        <v>790</v>
      </c>
      <c r="AD93" s="918" t="s">
        <v>338</v>
      </c>
      <c r="AE93" s="918" t="s">
        <v>338</v>
      </c>
      <c r="AF93" s="916" t="s">
        <v>362</v>
      </c>
    </row>
    <row r="94" spans="1:32" ht="25.5" x14ac:dyDescent="0.25">
      <c r="A94" s="476" t="s">
        <v>589</v>
      </c>
      <c r="B94" s="464" t="s">
        <v>324</v>
      </c>
      <c r="C94" s="364">
        <v>2020</v>
      </c>
      <c r="D94" s="286" t="s">
        <v>610</v>
      </c>
      <c r="E94" s="342" t="s">
        <v>42</v>
      </c>
      <c r="F94" s="342" t="s">
        <v>42</v>
      </c>
      <c r="G94" s="483" t="s">
        <v>590</v>
      </c>
      <c r="H94" s="336">
        <v>2000</v>
      </c>
      <c r="I94" s="585">
        <v>0</v>
      </c>
      <c r="J94" s="585">
        <v>0</v>
      </c>
      <c r="K94" s="585">
        <v>0</v>
      </c>
      <c r="L94" s="604">
        <v>0</v>
      </c>
      <c r="M94" s="1096">
        <v>100</v>
      </c>
      <c r="N94" s="505">
        <v>250</v>
      </c>
      <c r="O94" s="510">
        <v>0</v>
      </c>
      <c r="P94" s="586">
        <v>350</v>
      </c>
      <c r="Q94" s="1097">
        <f t="shared" si="5"/>
        <v>350</v>
      </c>
      <c r="R94" s="1098">
        <v>500</v>
      </c>
      <c r="S94" s="1099">
        <v>1150</v>
      </c>
      <c r="T94" s="1098">
        <v>0</v>
      </c>
      <c r="U94" s="1096">
        <v>0</v>
      </c>
      <c r="V94" s="505">
        <v>0</v>
      </c>
      <c r="W94" s="1102">
        <v>0</v>
      </c>
      <c r="X94" s="1096">
        <v>0</v>
      </c>
      <c r="Y94" s="1103">
        <v>0</v>
      </c>
      <c r="Z94" s="505">
        <v>0</v>
      </c>
      <c r="AA94" s="340" t="s">
        <v>969</v>
      </c>
      <c r="AB94" s="286" t="s">
        <v>28</v>
      </c>
      <c r="AC94" s="517" t="s">
        <v>604</v>
      </c>
      <c r="AD94" s="478" t="s">
        <v>339</v>
      </c>
      <c r="AE94" s="478" t="s">
        <v>339</v>
      </c>
      <c r="AF94" s="337" t="s">
        <v>363</v>
      </c>
    </row>
    <row r="95" spans="1:32" ht="25.5" x14ac:dyDescent="0.25">
      <c r="A95" s="771" t="s">
        <v>591</v>
      </c>
      <c r="B95" s="915" t="s">
        <v>324</v>
      </c>
      <c r="C95" s="226">
        <v>2020</v>
      </c>
      <c r="D95" s="908" t="s">
        <v>610</v>
      </c>
      <c r="E95" s="914" t="s">
        <v>42</v>
      </c>
      <c r="F95" s="914" t="s">
        <v>42</v>
      </c>
      <c r="G95" s="898" t="s">
        <v>592</v>
      </c>
      <c r="H95" s="909">
        <v>3200</v>
      </c>
      <c r="I95" s="437">
        <v>0</v>
      </c>
      <c r="J95" s="437">
        <v>0</v>
      </c>
      <c r="K95" s="437">
        <v>0</v>
      </c>
      <c r="L95" s="266">
        <v>0</v>
      </c>
      <c r="M95" s="707">
        <v>0</v>
      </c>
      <c r="N95" s="912">
        <v>0</v>
      </c>
      <c r="O95" s="923">
        <v>0</v>
      </c>
      <c r="P95" s="922">
        <v>0</v>
      </c>
      <c r="Q95" s="962">
        <f t="shared" si="5"/>
        <v>0</v>
      </c>
      <c r="R95" s="739">
        <v>3200</v>
      </c>
      <c r="S95" s="921">
        <v>0</v>
      </c>
      <c r="T95" s="739">
        <v>0</v>
      </c>
      <c r="U95" s="707">
        <v>0</v>
      </c>
      <c r="V95" s="912">
        <v>0</v>
      </c>
      <c r="W95" s="704">
        <v>0</v>
      </c>
      <c r="X95" s="408">
        <v>0</v>
      </c>
      <c r="Y95" s="705">
        <v>0</v>
      </c>
      <c r="Z95" s="885">
        <v>0</v>
      </c>
      <c r="AA95" s="917" t="s">
        <v>317</v>
      </c>
      <c r="AB95" s="908" t="s">
        <v>17</v>
      </c>
      <c r="AC95" s="153" t="s">
        <v>621</v>
      </c>
      <c r="AD95" s="918" t="s">
        <v>338</v>
      </c>
      <c r="AE95" s="918" t="s">
        <v>338</v>
      </c>
      <c r="AF95" s="916" t="s">
        <v>362</v>
      </c>
    </row>
    <row r="96" spans="1:32" ht="26.25" thickBot="1" x14ac:dyDescent="0.3">
      <c r="A96" s="69" t="s">
        <v>593</v>
      </c>
      <c r="B96" s="70" t="s">
        <v>324</v>
      </c>
      <c r="C96" s="556">
        <v>2020</v>
      </c>
      <c r="D96" s="893" t="s">
        <v>610</v>
      </c>
      <c r="E96" s="887" t="s">
        <v>42</v>
      </c>
      <c r="F96" s="887" t="s">
        <v>42</v>
      </c>
      <c r="G96" s="299" t="s">
        <v>594</v>
      </c>
      <c r="H96" s="20">
        <v>4500</v>
      </c>
      <c r="I96" s="434">
        <v>0</v>
      </c>
      <c r="J96" s="434">
        <v>0</v>
      </c>
      <c r="K96" s="434">
        <v>0</v>
      </c>
      <c r="L96" s="260">
        <v>0</v>
      </c>
      <c r="M96" s="716">
        <v>0</v>
      </c>
      <c r="N96" s="279">
        <v>0</v>
      </c>
      <c r="O96" s="751">
        <v>0</v>
      </c>
      <c r="P96" s="635">
        <v>0</v>
      </c>
      <c r="Q96" s="964">
        <f t="shared" si="5"/>
        <v>0</v>
      </c>
      <c r="R96" s="804">
        <v>4500</v>
      </c>
      <c r="S96" s="540">
        <v>0</v>
      </c>
      <c r="T96" s="804">
        <v>0</v>
      </c>
      <c r="U96" s="716">
        <v>0</v>
      </c>
      <c r="V96" s="279">
        <v>0</v>
      </c>
      <c r="W96" s="715">
        <v>0</v>
      </c>
      <c r="X96" s="716">
        <v>0</v>
      </c>
      <c r="Y96" s="717">
        <v>0</v>
      </c>
      <c r="Z96" s="279">
        <v>0</v>
      </c>
      <c r="AA96" s="67" t="s">
        <v>317</v>
      </c>
      <c r="AB96" s="893" t="s">
        <v>17</v>
      </c>
      <c r="AC96" s="275" t="s">
        <v>621</v>
      </c>
      <c r="AD96" s="119" t="s">
        <v>338</v>
      </c>
      <c r="AE96" s="119" t="s">
        <v>338</v>
      </c>
      <c r="AF96" s="72" t="s">
        <v>362</v>
      </c>
    </row>
    <row r="97" spans="1:32" ht="38.25" x14ac:dyDescent="0.25">
      <c r="A97" s="476" t="s">
        <v>625</v>
      </c>
      <c r="B97" s="464" t="s">
        <v>324</v>
      </c>
      <c r="C97" s="1320">
        <v>2020</v>
      </c>
      <c r="D97" s="286" t="s">
        <v>733</v>
      </c>
      <c r="E97" s="342" t="s">
        <v>42</v>
      </c>
      <c r="F97" s="342" t="s">
        <v>42</v>
      </c>
      <c r="G97" s="1321" t="s">
        <v>626</v>
      </c>
      <c r="H97" s="336">
        <v>578.17700000000002</v>
      </c>
      <c r="I97" s="585">
        <v>0</v>
      </c>
      <c r="J97" s="585">
        <v>0</v>
      </c>
      <c r="K97" s="585">
        <v>0</v>
      </c>
      <c r="L97" s="604">
        <v>0</v>
      </c>
      <c r="M97" s="1096">
        <v>0</v>
      </c>
      <c r="N97" s="505">
        <v>0</v>
      </c>
      <c r="O97" s="510">
        <v>578.17700000000002</v>
      </c>
      <c r="P97" s="586">
        <v>-578.17700000000002</v>
      </c>
      <c r="Q97" s="1046">
        <f t="shared" si="5"/>
        <v>0</v>
      </c>
      <c r="R97" s="1100">
        <v>578.17700000000002</v>
      </c>
      <c r="S97" s="1101">
        <v>0</v>
      </c>
      <c r="T97" s="1098">
        <v>0</v>
      </c>
      <c r="U97" s="1096">
        <v>0</v>
      </c>
      <c r="V97" s="505">
        <v>0</v>
      </c>
      <c r="W97" s="1102">
        <v>0</v>
      </c>
      <c r="X97" s="1096">
        <v>0</v>
      </c>
      <c r="Y97" s="1103">
        <v>0</v>
      </c>
      <c r="Z97" s="505">
        <v>0</v>
      </c>
      <c r="AA97" s="239" t="s">
        <v>1032</v>
      </c>
      <c r="AB97" s="286" t="s">
        <v>17</v>
      </c>
      <c r="AC97" s="517" t="s">
        <v>621</v>
      </c>
      <c r="AD97" s="478" t="s">
        <v>338</v>
      </c>
      <c r="AE97" s="478" t="s">
        <v>338</v>
      </c>
      <c r="AF97" s="490" t="s">
        <v>363</v>
      </c>
    </row>
    <row r="98" spans="1:32" ht="25.5" x14ac:dyDescent="0.25">
      <c r="A98" s="771" t="s">
        <v>627</v>
      </c>
      <c r="B98" s="915" t="s">
        <v>324</v>
      </c>
      <c r="C98" s="37">
        <v>2020</v>
      </c>
      <c r="D98" s="908" t="s">
        <v>733</v>
      </c>
      <c r="E98" s="908" t="s">
        <v>564</v>
      </c>
      <c r="F98" s="914" t="s">
        <v>42</v>
      </c>
      <c r="G98" s="88" t="s">
        <v>628</v>
      </c>
      <c r="H98" s="909">
        <v>3850</v>
      </c>
      <c r="I98" s="399">
        <v>0</v>
      </c>
      <c r="J98" s="399">
        <v>0</v>
      </c>
      <c r="K98" s="437">
        <v>0</v>
      </c>
      <c r="L98" s="266">
        <v>0</v>
      </c>
      <c r="M98" s="707">
        <v>3850</v>
      </c>
      <c r="N98" s="912">
        <v>0</v>
      </c>
      <c r="O98" s="924">
        <v>3850</v>
      </c>
      <c r="P98" s="922">
        <v>0</v>
      </c>
      <c r="Q98" s="962">
        <f t="shared" si="5"/>
        <v>3850</v>
      </c>
      <c r="R98" s="808">
        <v>0</v>
      </c>
      <c r="S98" s="809">
        <v>0</v>
      </c>
      <c r="T98" s="739">
        <v>0</v>
      </c>
      <c r="U98" s="707">
        <v>0</v>
      </c>
      <c r="V98" s="912">
        <v>0</v>
      </c>
      <c r="W98" s="704">
        <v>0</v>
      </c>
      <c r="X98" s="408">
        <v>0</v>
      </c>
      <c r="Y98" s="705">
        <v>0</v>
      </c>
      <c r="Z98" s="885">
        <v>0</v>
      </c>
      <c r="AA98" s="917" t="s">
        <v>317</v>
      </c>
      <c r="AB98" s="908" t="s">
        <v>28</v>
      </c>
      <c r="AC98" s="153" t="s">
        <v>707</v>
      </c>
      <c r="AD98" s="918" t="s">
        <v>339</v>
      </c>
      <c r="AE98" s="918" t="s">
        <v>339</v>
      </c>
      <c r="AF98" s="916" t="s">
        <v>362</v>
      </c>
    </row>
    <row r="99" spans="1:32" s="723" customFormat="1" ht="26.25" thickBot="1" x14ac:dyDescent="0.3">
      <c r="A99" s="101" t="s">
        <v>676</v>
      </c>
      <c r="B99" s="257" t="s">
        <v>898</v>
      </c>
      <c r="C99" s="430">
        <v>2020</v>
      </c>
      <c r="D99" s="96" t="s">
        <v>733</v>
      </c>
      <c r="E99" s="96" t="s">
        <v>564</v>
      </c>
      <c r="F99" s="200" t="s">
        <v>42</v>
      </c>
      <c r="G99" s="999" t="s">
        <v>677</v>
      </c>
      <c r="H99" s="103">
        <f>207-0.9612</f>
        <v>206.03880000000001</v>
      </c>
      <c r="I99" s="570">
        <v>0</v>
      </c>
      <c r="J99" s="570">
        <v>206.03880000000001</v>
      </c>
      <c r="K99" s="570">
        <v>0</v>
      </c>
      <c r="L99" s="208">
        <v>0</v>
      </c>
      <c r="M99" s="710">
        <v>0</v>
      </c>
      <c r="N99" s="258">
        <v>0</v>
      </c>
      <c r="O99" s="793">
        <v>206.03880000000001</v>
      </c>
      <c r="P99" s="666">
        <v>0</v>
      </c>
      <c r="Q99" s="965">
        <f t="shared" si="5"/>
        <v>206.03880000000001</v>
      </c>
      <c r="R99" s="1000">
        <v>0</v>
      </c>
      <c r="S99" s="1001">
        <v>0</v>
      </c>
      <c r="T99" s="1002">
        <v>0</v>
      </c>
      <c r="U99" s="710">
        <v>0</v>
      </c>
      <c r="V99" s="258">
        <v>0</v>
      </c>
      <c r="W99" s="709">
        <v>0</v>
      </c>
      <c r="X99" s="710">
        <v>0</v>
      </c>
      <c r="Y99" s="711">
        <v>0</v>
      </c>
      <c r="Z99" s="258">
        <v>0</v>
      </c>
      <c r="AA99" s="96" t="s">
        <v>317</v>
      </c>
      <c r="AB99" s="96" t="s">
        <v>352</v>
      </c>
      <c r="AC99" s="106" t="s">
        <v>409</v>
      </c>
      <c r="AD99" s="204" t="s">
        <v>339</v>
      </c>
      <c r="AE99" s="204" t="s">
        <v>339</v>
      </c>
      <c r="AF99" s="106" t="s">
        <v>363</v>
      </c>
    </row>
    <row r="100" spans="1:32" s="698" customFormat="1" ht="30" x14ac:dyDescent="0.25">
      <c r="A100" s="471" t="s">
        <v>709</v>
      </c>
      <c r="B100" s="472" t="s">
        <v>800</v>
      </c>
      <c r="C100" s="195">
        <v>2020</v>
      </c>
      <c r="D100" s="1295" t="s">
        <v>738</v>
      </c>
      <c r="E100" s="195" t="s">
        <v>564</v>
      </c>
      <c r="F100" s="259" t="s">
        <v>42</v>
      </c>
      <c r="G100" s="1296" t="s">
        <v>799</v>
      </c>
      <c r="H100" s="1297">
        <v>1051</v>
      </c>
      <c r="I100" s="597">
        <v>1031</v>
      </c>
      <c r="J100" s="597">
        <v>0</v>
      </c>
      <c r="K100" s="597">
        <v>0</v>
      </c>
      <c r="L100" s="605">
        <v>0</v>
      </c>
      <c r="M100" s="1092">
        <v>20</v>
      </c>
      <c r="N100" s="861">
        <v>0</v>
      </c>
      <c r="O100" s="1017">
        <v>19</v>
      </c>
      <c r="P100" s="1018">
        <v>1</v>
      </c>
      <c r="Q100" s="1089">
        <f t="shared" si="5"/>
        <v>20</v>
      </c>
      <c r="R100" s="1298">
        <v>0</v>
      </c>
      <c r="S100" s="1299">
        <v>0</v>
      </c>
      <c r="T100" s="1090">
        <v>0</v>
      </c>
      <c r="U100" s="1092">
        <v>0</v>
      </c>
      <c r="V100" s="861">
        <v>0</v>
      </c>
      <c r="W100" s="1209">
        <v>0</v>
      </c>
      <c r="X100" s="1092">
        <v>0</v>
      </c>
      <c r="Y100" s="1210">
        <v>0</v>
      </c>
      <c r="Z100" s="861">
        <v>0</v>
      </c>
      <c r="AA100" s="177" t="s">
        <v>1026</v>
      </c>
      <c r="AB100" s="269" t="s">
        <v>820</v>
      </c>
      <c r="AC100" s="515" t="s">
        <v>617</v>
      </c>
      <c r="AD100" s="475" t="s">
        <v>339</v>
      </c>
      <c r="AE100" s="474" t="s">
        <v>339</v>
      </c>
      <c r="AF100" s="1300" t="s">
        <v>363</v>
      </c>
    </row>
    <row r="101" spans="1:32" ht="30" x14ac:dyDescent="0.25">
      <c r="A101" s="771" t="s">
        <v>710</v>
      </c>
      <c r="B101" s="915" t="s">
        <v>324</v>
      </c>
      <c r="C101" s="908">
        <v>2020</v>
      </c>
      <c r="D101" s="1007" t="s">
        <v>738</v>
      </c>
      <c r="E101" s="908" t="s">
        <v>564</v>
      </c>
      <c r="F101" s="914" t="s">
        <v>42</v>
      </c>
      <c r="G101" s="88" t="s">
        <v>711</v>
      </c>
      <c r="H101" s="909">
        <v>65000</v>
      </c>
      <c r="I101" s="437">
        <v>0</v>
      </c>
      <c r="J101" s="437">
        <v>0</v>
      </c>
      <c r="K101" s="437">
        <v>0</v>
      </c>
      <c r="L101" s="266">
        <v>0</v>
      </c>
      <c r="M101" s="707">
        <v>0</v>
      </c>
      <c r="N101" s="811">
        <v>0</v>
      </c>
      <c r="O101" s="923">
        <v>0</v>
      </c>
      <c r="P101" s="922">
        <v>0</v>
      </c>
      <c r="Q101" s="962">
        <f t="shared" si="5"/>
        <v>0</v>
      </c>
      <c r="R101" s="810">
        <v>65000</v>
      </c>
      <c r="S101" s="809">
        <v>0</v>
      </c>
      <c r="T101" s="739">
        <v>0</v>
      </c>
      <c r="U101" s="707">
        <v>0</v>
      </c>
      <c r="V101" s="912">
        <v>0</v>
      </c>
      <c r="W101" s="706">
        <v>0</v>
      </c>
      <c r="X101" s="707">
        <v>0</v>
      </c>
      <c r="Y101" s="708">
        <v>0</v>
      </c>
      <c r="Z101" s="912">
        <v>0</v>
      </c>
      <c r="AA101" s="25" t="s">
        <v>317</v>
      </c>
      <c r="AB101" s="908" t="s">
        <v>17</v>
      </c>
      <c r="AC101" s="918" t="s">
        <v>601</v>
      </c>
      <c r="AD101" s="916" t="s">
        <v>338</v>
      </c>
      <c r="AE101" s="918" t="s">
        <v>338</v>
      </c>
      <c r="AF101" s="916" t="s">
        <v>365</v>
      </c>
    </row>
    <row r="102" spans="1:32" ht="30" x14ac:dyDescent="0.25">
      <c r="A102" s="771" t="s">
        <v>712</v>
      </c>
      <c r="B102" s="915" t="s">
        <v>324</v>
      </c>
      <c r="C102" s="908">
        <v>2020</v>
      </c>
      <c r="D102" s="1007" t="s">
        <v>738</v>
      </c>
      <c r="E102" s="908" t="s">
        <v>564</v>
      </c>
      <c r="F102" s="914" t="s">
        <v>42</v>
      </c>
      <c r="G102" s="88" t="s">
        <v>713</v>
      </c>
      <c r="H102" s="909">
        <v>3602</v>
      </c>
      <c r="I102" s="437">
        <v>0</v>
      </c>
      <c r="J102" s="437">
        <v>0</v>
      </c>
      <c r="K102" s="437">
        <v>0</v>
      </c>
      <c r="L102" s="266">
        <v>0</v>
      </c>
      <c r="M102" s="707">
        <v>3602</v>
      </c>
      <c r="N102" s="811">
        <v>0</v>
      </c>
      <c r="O102" s="923">
        <v>3602</v>
      </c>
      <c r="P102" s="922">
        <v>0</v>
      </c>
      <c r="Q102" s="962">
        <f t="shared" si="5"/>
        <v>3602</v>
      </c>
      <c r="R102" s="902">
        <v>0</v>
      </c>
      <c r="S102" s="921">
        <v>0</v>
      </c>
      <c r="T102" s="739">
        <v>0</v>
      </c>
      <c r="U102" s="707">
        <v>0</v>
      </c>
      <c r="V102" s="912">
        <v>0</v>
      </c>
      <c r="W102" s="704">
        <v>0</v>
      </c>
      <c r="X102" s="408">
        <v>0</v>
      </c>
      <c r="Y102" s="705">
        <v>0</v>
      </c>
      <c r="Z102" s="885">
        <v>0</v>
      </c>
      <c r="AA102" s="908" t="s">
        <v>317</v>
      </c>
      <c r="AB102" s="908" t="s">
        <v>12</v>
      </c>
      <c r="AC102" s="152" t="s">
        <v>617</v>
      </c>
      <c r="AD102" s="779" t="s">
        <v>339</v>
      </c>
      <c r="AE102" s="784" t="s">
        <v>339</v>
      </c>
      <c r="AF102" s="916" t="s">
        <v>363</v>
      </c>
    </row>
    <row r="103" spans="1:32" ht="30" x14ac:dyDescent="0.25">
      <c r="A103" s="771" t="s">
        <v>714</v>
      </c>
      <c r="B103" s="915" t="s">
        <v>324</v>
      </c>
      <c r="C103" s="908">
        <v>2020</v>
      </c>
      <c r="D103" s="1007" t="s">
        <v>738</v>
      </c>
      <c r="E103" s="908" t="s">
        <v>564</v>
      </c>
      <c r="F103" s="914" t="s">
        <v>42</v>
      </c>
      <c r="G103" s="88" t="s">
        <v>715</v>
      </c>
      <c r="H103" s="909">
        <v>2735</v>
      </c>
      <c r="I103" s="437">
        <v>0</v>
      </c>
      <c r="J103" s="437">
        <v>0</v>
      </c>
      <c r="K103" s="437">
        <v>0</v>
      </c>
      <c r="L103" s="266">
        <v>0</v>
      </c>
      <c r="M103" s="707">
        <v>0</v>
      </c>
      <c r="N103" s="811">
        <v>2735</v>
      </c>
      <c r="O103" s="923">
        <v>2735</v>
      </c>
      <c r="P103" s="922">
        <v>0</v>
      </c>
      <c r="Q103" s="962">
        <f t="shared" si="5"/>
        <v>2735</v>
      </c>
      <c r="R103" s="921">
        <v>0</v>
      </c>
      <c r="S103" s="921">
        <v>0</v>
      </c>
      <c r="T103" s="739">
        <v>0</v>
      </c>
      <c r="U103" s="707">
        <v>0</v>
      </c>
      <c r="V103" s="912">
        <v>0</v>
      </c>
      <c r="W103" s="704">
        <v>0</v>
      </c>
      <c r="X103" s="408">
        <v>0</v>
      </c>
      <c r="Y103" s="705">
        <v>0</v>
      </c>
      <c r="Z103" s="885">
        <v>0</v>
      </c>
      <c r="AA103" s="917" t="s">
        <v>896</v>
      </c>
      <c r="AB103" s="908" t="s">
        <v>12</v>
      </c>
      <c r="AC103" s="153" t="s">
        <v>616</v>
      </c>
      <c r="AD103" s="916" t="s">
        <v>338</v>
      </c>
      <c r="AE103" s="918" t="s">
        <v>338</v>
      </c>
      <c r="AF103" s="916" t="s">
        <v>364</v>
      </c>
    </row>
    <row r="104" spans="1:32" ht="30" x14ac:dyDescent="0.25">
      <c r="A104" s="771" t="s">
        <v>716</v>
      </c>
      <c r="B104" s="915" t="s">
        <v>324</v>
      </c>
      <c r="C104" s="908">
        <v>2020</v>
      </c>
      <c r="D104" s="1007" t="s">
        <v>738</v>
      </c>
      <c r="E104" s="908" t="s">
        <v>564</v>
      </c>
      <c r="F104" s="914" t="s">
        <v>42</v>
      </c>
      <c r="G104" s="88" t="s">
        <v>717</v>
      </c>
      <c r="H104" s="909">
        <v>2498</v>
      </c>
      <c r="I104" s="437">
        <v>0</v>
      </c>
      <c r="J104" s="437">
        <v>0</v>
      </c>
      <c r="K104" s="437">
        <v>0</v>
      </c>
      <c r="L104" s="266">
        <v>0</v>
      </c>
      <c r="M104" s="707">
        <v>0</v>
      </c>
      <c r="N104" s="811">
        <v>2498</v>
      </c>
      <c r="O104" s="923">
        <v>2498</v>
      </c>
      <c r="P104" s="922">
        <v>0</v>
      </c>
      <c r="Q104" s="962">
        <f t="shared" si="5"/>
        <v>2498</v>
      </c>
      <c r="R104" s="921">
        <v>0</v>
      </c>
      <c r="S104" s="921">
        <v>0</v>
      </c>
      <c r="T104" s="739">
        <v>0</v>
      </c>
      <c r="U104" s="707">
        <v>0</v>
      </c>
      <c r="V104" s="912">
        <v>0</v>
      </c>
      <c r="W104" s="704">
        <v>0</v>
      </c>
      <c r="X104" s="408">
        <v>0</v>
      </c>
      <c r="Y104" s="705">
        <v>0</v>
      </c>
      <c r="Z104" s="885">
        <v>0</v>
      </c>
      <c r="AA104" s="917" t="s">
        <v>896</v>
      </c>
      <c r="AB104" s="908" t="s">
        <v>12</v>
      </c>
      <c r="AC104" s="153" t="s">
        <v>616</v>
      </c>
      <c r="AD104" s="916" t="s">
        <v>338</v>
      </c>
      <c r="AE104" s="918" t="s">
        <v>338</v>
      </c>
      <c r="AF104" s="916" t="s">
        <v>364</v>
      </c>
    </row>
    <row r="105" spans="1:32" ht="30" x14ac:dyDescent="0.25">
      <c r="A105" s="771" t="s">
        <v>718</v>
      </c>
      <c r="B105" s="915" t="s">
        <v>324</v>
      </c>
      <c r="C105" s="908">
        <v>2020</v>
      </c>
      <c r="D105" s="1007" t="s">
        <v>738</v>
      </c>
      <c r="E105" s="908" t="s">
        <v>564</v>
      </c>
      <c r="F105" s="914" t="s">
        <v>42</v>
      </c>
      <c r="G105" s="88" t="s">
        <v>786</v>
      </c>
      <c r="H105" s="909">
        <v>4988</v>
      </c>
      <c r="I105" s="437">
        <v>0</v>
      </c>
      <c r="J105" s="437">
        <v>0</v>
      </c>
      <c r="K105" s="437">
        <v>0</v>
      </c>
      <c r="L105" s="266">
        <v>0</v>
      </c>
      <c r="M105" s="707">
        <v>0</v>
      </c>
      <c r="N105" s="811">
        <v>4988</v>
      </c>
      <c r="O105" s="923">
        <v>4988</v>
      </c>
      <c r="P105" s="922">
        <v>0</v>
      </c>
      <c r="Q105" s="962">
        <f t="shared" ref="Q105:Q118" si="6">O105+P105</f>
        <v>4988</v>
      </c>
      <c r="R105" s="921">
        <v>0</v>
      </c>
      <c r="S105" s="921">
        <v>0</v>
      </c>
      <c r="T105" s="739">
        <v>0</v>
      </c>
      <c r="U105" s="707">
        <v>0</v>
      </c>
      <c r="V105" s="912">
        <v>0</v>
      </c>
      <c r="W105" s="704">
        <v>0</v>
      </c>
      <c r="X105" s="408">
        <v>0</v>
      </c>
      <c r="Y105" s="705">
        <v>0</v>
      </c>
      <c r="Z105" s="885">
        <v>0</v>
      </c>
      <c r="AA105" s="917" t="s">
        <v>896</v>
      </c>
      <c r="AB105" s="908" t="s">
        <v>12</v>
      </c>
      <c r="AC105" s="153" t="s">
        <v>616</v>
      </c>
      <c r="AD105" s="916" t="s">
        <v>338</v>
      </c>
      <c r="AE105" s="918" t="s">
        <v>338</v>
      </c>
      <c r="AF105" s="916" t="s">
        <v>364</v>
      </c>
    </row>
    <row r="106" spans="1:32" ht="30" x14ac:dyDescent="0.25">
      <c r="A106" s="771" t="s">
        <v>719</v>
      </c>
      <c r="B106" s="915" t="s">
        <v>324</v>
      </c>
      <c r="C106" s="908">
        <v>2020</v>
      </c>
      <c r="D106" s="1007" t="s">
        <v>738</v>
      </c>
      <c r="E106" s="908" t="s">
        <v>564</v>
      </c>
      <c r="F106" s="914" t="s">
        <v>42</v>
      </c>
      <c r="G106" s="88" t="s">
        <v>720</v>
      </c>
      <c r="H106" s="909">
        <v>893</v>
      </c>
      <c r="I106" s="437">
        <v>0</v>
      </c>
      <c r="J106" s="437">
        <v>0</v>
      </c>
      <c r="K106" s="437">
        <v>0</v>
      </c>
      <c r="L106" s="266">
        <v>0</v>
      </c>
      <c r="M106" s="707">
        <v>0</v>
      </c>
      <c r="N106" s="811">
        <v>893</v>
      </c>
      <c r="O106" s="923">
        <v>893</v>
      </c>
      <c r="P106" s="922">
        <v>0</v>
      </c>
      <c r="Q106" s="962">
        <f t="shared" si="6"/>
        <v>893</v>
      </c>
      <c r="R106" s="921">
        <v>0</v>
      </c>
      <c r="S106" s="921">
        <v>0</v>
      </c>
      <c r="T106" s="739">
        <v>0</v>
      </c>
      <c r="U106" s="707">
        <v>0</v>
      </c>
      <c r="V106" s="912">
        <v>0</v>
      </c>
      <c r="W106" s="704">
        <v>0</v>
      </c>
      <c r="X106" s="408">
        <v>0</v>
      </c>
      <c r="Y106" s="705">
        <v>0</v>
      </c>
      <c r="Z106" s="885">
        <v>0</v>
      </c>
      <c r="AA106" s="917" t="s">
        <v>896</v>
      </c>
      <c r="AB106" s="908" t="s">
        <v>12</v>
      </c>
      <c r="AC106" s="153" t="s">
        <v>616</v>
      </c>
      <c r="AD106" s="916" t="s">
        <v>338</v>
      </c>
      <c r="AE106" s="918" t="s">
        <v>338</v>
      </c>
      <c r="AF106" s="916" t="s">
        <v>364</v>
      </c>
    </row>
    <row r="107" spans="1:32" ht="30" x14ac:dyDescent="0.25">
      <c r="A107" s="771" t="s">
        <v>721</v>
      </c>
      <c r="B107" s="915" t="s">
        <v>324</v>
      </c>
      <c r="C107" s="908">
        <v>2020</v>
      </c>
      <c r="D107" s="1007" t="s">
        <v>738</v>
      </c>
      <c r="E107" s="908" t="s">
        <v>564</v>
      </c>
      <c r="F107" s="914" t="s">
        <v>42</v>
      </c>
      <c r="G107" s="88" t="s">
        <v>722</v>
      </c>
      <c r="H107" s="909">
        <v>841</v>
      </c>
      <c r="I107" s="437">
        <v>0</v>
      </c>
      <c r="J107" s="437">
        <v>0</v>
      </c>
      <c r="K107" s="437">
        <v>0</v>
      </c>
      <c r="L107" s="266">
        <v>0</v>
      </c>
      <c r="M107" s="707">
        <v>0</v>
      </c>
      <c r="N107" s="811">
        <v>841</v>
      </c>
      <c r="O107" s="923">
        <v>841</v>
      </c>
      <c r="P107" s="922">
        <v>0</v>
      </c>
      <c r="Q107" s="962">
        <f t="shared" si="6"/>
        <v>841</v>
      </c>
      <c r="R107" s="921">
        <v>0</v>
      </c>
      <c r="S107" s="921">
        <v>0</v>
      </c>
      <c r="T107" s="739">
        <v>0</v>
      </c>
      <c r="U107" s="707">
        <v>0</v>
      </c>
      <c r="V107" s="912">
        <v>0</v>
      </c>
      <c r="W107" s="704">
        <v>0</v>
      </c>
      <c r="X107" s="408">
        <v>0</v>
      </c>
      <c r="Y107" s="705">
        <v>0</v>
      </c>
      <c r="Z107" s="885">
        <v>0</v>
      </c>
      <c r="AA107" s="917" t="s">
        <v>896</v>
      </c>
      <c r="AB107" s="908" t="s">
        <v>17</v>
      </c>
      <c r="AC107" s="153" t="s">
        <v>616</v>
      </c>
      <c r="AD107" s="916" t="s">
        <v>338</v>
      </c>
      <c r="AE107" s="918" t="s">
        <v>338</v>
      </c>
      <c r="AF107" s="916" t="s">
        <v>364</v>
      </c>
    </row>
    <row r="108" spans="1:32" ht="30" x14ac:dyDescent="0.25">
      <c r="A108" s="771" t="s">
        <v>723</v>
      </c>
      <c r="B108" s="915" t="s">
        <v>324</v>
      </c>
      <c r="C108" s="908">
        <v>2020</v>
      </c>
      <c r="D108" s="1007" t="s">
        <v>738</v>
      </c>
      <c r="E108" s="908" t="s">
        <v>564</v>
      </c>
      <c r="F108" s="914" t="s">
        <v>42</v>
      </c>
      <c r="G108" s="88" t="s">
        <v>724</v>
      </c>
      <c r="H108" s="909">
        <v>3265</v>
      </c>
      <c r="I108" s="437">
        <v>0</v>
      </c>
      <c r="J108" s="437">
        <v>0</v>
      </c>
      <c r="K108" s="437">
        <v>0</v>
      </c>
      <c r="L108" s="266">
        <v>0</v>
      </c>
      <c r="M108" s="707">
        <v>0</v>
      </c>
      <c r="N108" s="811">
        <v>3265</v>
      </c>
      <c r="O108" s="923">
        <v>3265</v>
      </c>
      <c r="P108" s="922">
        <v>0</v>
      </c>
      <c r="Q108" s="962">
        <f t="shared" si="6"/>
        <v>3265</v>
      </c>
      <c r="R108" s="921">
        <v>0</v>
      </c>
      <c r="S108" s="921">
        <v>0</v>
      </c>
      <c r="T108" s="739">
        <v>0</v>
      </c>
      <c r="U108" s="707">
        <v>0</v>
      </c>
      <c r="V108" s="912">
        <v>0</v>
      </c>
      <c r="W108" s="704">
        <v>0</v>
      </c>
      <c r="X108" s="408">
        <v>0</v>
      </c>
      <c r="Y108" s="705">
        <v>0</v>
      </c>
      <c r="Z108" s="885">
        <v>0</v>
      </c>
      <c r="AA108" s="917" t="s">
        <v>896</v>
      </c>
      <c r="AB108" s="908" t="s">
        <v>12</v>
      </c>
      <c r="AC108" s="153" t="s">
        <v>616</v>
      </c>
      <c r="AD108" s="916" t="s">
        <v>338</v>
      </c>
      <c r="AE108" s="918" t="s">
        <v>338</v>
      </c>
      <c r="AF108" s="916" t="s">
        <v>364</v>
      </c>
    </row>
    <row r="109" spans="1:32" s="584" customFormat="1" ht="30" x14ac:dyDescent="0.25">
      <c r="A109" s="1238" t="s">
        <v>725</v>
      </c>
      <c r="B109" s="1239" t="s">
        <v>324</v>
      </c>
      <c r="C109" s="1240">
        <v>2020</v>
      </c>
      <c r="D109" s="1241" t="s">
        <v>738</v>
      </c>
      <c r="E109" s="1240" t="s">
        <v>564</v>
      </c>
      <c r="F109" s="1242" t="s">
        <v>42</v>
      </c>
      <c r="G109" s="1243" t="s">
        <v>726</v>
      </c>
      <c r="H109" s="1244">
        <f>3427-427</f>
        <v>3000</v>
      </c>
      <c r="I109" s="1245">
        <v>0</v>
      </c>
      <c r="J109" s="1245">
        <v>0</v>
      </c>
      <c r="K109" s="1245">
        <v>0</v>
      </c>
      <c r="L109" s="1246">
        <v>0</v>
      </c>
      <c r="M109" s="1247">
        <v>3000</v>
      </c>
      <c r="N109" s="1248">
        <v>0</v>
      </c>
      <c r="O109" s="1249">
        <v>3427</v>
      </c>
      <c r="P109" s="1250">
        <v>-427</v>
      </c>
      <c r="Q109" s="1251">
        <f t="shared" si="6"/>
        <v>3000</v>
      </c>
      <c r="R109" s="1252">
        <v>0</v>
      </c>
      <c r="S109" s="1252">
        <v>0</v>
      </c>
      <c r="T109" s="1253">
        <v>0</v>
      </c>
      <c r="U109" s="1247">
        <v>0</v>
      </c>
      <c r="V109" s="1254">
        <v>0</v>
      </c>
      <c r="W109" s="1255">
        <v>0</v>
      </c>
      <c r="X109" s="1256">
        <v>0</v>
      </c>
      <c r="Y109" s="1257">
        <v>0</v>
      </c>
      <c r="Z109" s="1258">
        <v>0</v>
      </c>
      <c r="AA109" s="1259" t="s">
        <v>1021</v>
      </c>
      <c r="AB109" s="1240" t="s">
        <v>820</v>
      </c>
      <c r="AC109" s="1260" t="s">
        <v>646</v>
      </c>
      <c r="AD109" s="1261" t="s">
        <v>339</v>
      </c>
      <c r="AE109" s="1262" t="s">
        <v>339</v>
      </c>
      <c r="AF109" s="1261" t="s">
        <v>364</v>
      </c>
    </row>
    <row r="110" spans="1:32" ht="30" x14ac:dyDescent="0.25">
      <c r="A110" s="771" t="s">
        <v>727</v>
      </c>
      <c r="B110" s="915" t="s">
        <v>324</v>
      </c>
      <c r="C110" s="908">
        <v>2020</v>
      </c>
      <c r="D110" s="1007" t="s">
        <v>738</v>
      </c>
      <c r="E110" s="908" t="s">
        <v>564</v>
      </c>
      <c r="F110" s="914" t="s">
        <v>42</v>
      </c>
      <c r="G110" s="88" t="s">
        <v>728</v>
      </c>
      <c r="H110" s="909">
        <v>3471</v>
      </c>
      <c r="I110" s="437">
        <v>0</v>
      </c>
      <c r="J110" s="437">
        <v>0</v>
      </c>
      <c r="K110" s="437">
        <v>0</v>
      </c>
      <c r="L110" s="266">
        <v>0</v>
      </c>
      <c r="M110" s="707">
        <v>0</v>
      </c>
      <c r="N110" s="811">
        <v>3471</v>
      </c>
      <c r="O110" s="923">
        <v>3471</v>
      </c>
      <c r="P110" s="922">
        <v>0</v>
      </c>
      <c r="Q110" s="962">
        <f t="shared" si="6"/>
        <v>3471</v>
      </c>
      <c r="R110" s="921">
        <v>0</v>
      </c>
      <c r="S110" s="921">
        <v>0</v>
      </c>
      <c r="T110" s="739">
        <v>0</v>
      </c>
      <c r="U110" s="707">
        <v>0</v>
      </c>
      <c r="V110" s="912">
        <v>0</v>
      </c>
      <c r="W110" s="704">
        <v>0</v>
      </c>
      <c r="X110" s="408">
        <v>0</v>
      </c>
      <c r="Y110" s="705">
        <v>0</v>
      </c>
      <c r="Z110" s="885">
        <v>0</v>
      </c>
      <c r="AA110" s="917" t="s">
        <v>896</v>
      </c>
      <c r="AB110" s="908" t="s">
        <v>12</v>
      </c>
      <c r="AC110" s="153" t="s">
        <v>616</v>
      </c>
      <c r="AD110" s="916" t="s">
        <v>338</v>
      </c>
      <c r="AE110" s="918" t="s">
        <v>338</v>
      </c>
      <c r="AF110" s="916" t="s">
        <v>364</v>
      </c>
    </row>
    <row r="111" spans="1:32" ht="30" x14ac:dyDescent="0.25">
      <c r="A111" s="771" t="s">
        <v>729</v>
      </c>
      <c r="B111" s="915" t="s">
        <v>324</v>
      </c>
      <c r="C111" s="908">
        <v>2020</v>
      </c>
      <c r="D111" s="1007" t="s">
        <v>738</v>
      </c>
      <c r="E111" s="908" t="s">
        <v>564</v>
      </c>
      <c r="F111" s="914" t="s">
        <v>42</v>
      </c>
      <c r="G111" s="88" t="s">
        <v>730</v>
      </c>
      <c r="H111" s="909">
        <v>1378</v>
      </c>
      <c r="I111" s="437">
        <v>0</v>
      </c>
      <c r="J111" s="437">
        <v>0</v>
      </c>
      <c r="K111" s="437">
        <v>0</v>
      </c>
      <c r="L111" s="266">
        <v>0</v>
      </c>
      <c r="M111" s="707">
        <v>0</v>
      </c>
      <c r="N111" s="811">
        <v>1378</v>
      </c>
      <c r="O111" s="923">
        <v>1378</v>
      </c>
      <c r="P111" s="922">
        <v>0</v>
      </c>
      <c r="Q111" s="962">
        <f t="shared" si="6"/>
        <v>1378</v>
      </c>
      <c r="R111" s="921">
        <v>0</v>
      </c>
      <c r="S111" s="921">
        <v>0</v>
      </c>
      <c r="T111" s="739">
        <v>0</v>
      </c>
      <c r="U111" s="707">
        <v>0</v>
      </c>
      <c r="V111" s="912">
        <v>0</v>
      </c>
      <c r="W111" s="704">
        <v>0</v>
      </c>
      <c r="X111" s="408">
        <v>0</v>
      </c>
      <c r="Y111" s="705">
        <v>0</v>
      </c>
      <c r="Z111" s="885">
        <v>0</v>
      </c>
      <c r="AA111" s="917" t="s">
        <v>896</v>
      </c>
      <c r="AB111" s="908" t="s">
        <v>12</v>
      </c>
      <c r="AC111" s="153" t="s">
        <v>616</v>
      </c>
      <c r="AD111" s="916" t="s">
        <v>338</v>
      </c>
      <c r="AE111" s="918" t="s">
        <v>338</v>
      </c>
      <c r="AF111" s="916" t="s">
        <v>364</v>
      </c>
    </row>
    <row r="112" spans="1:32" ht="30" x14ac:dyDescent="0.25">
      <c r="A112" s="771" t="s">
        <v>734</v>
      </c>
      <c r="B112" s="915" t="s">
        <v>324</v>
      </c>
      <c r="C112" s="908">
        <v>2020</v>
      </c>
      <c r="D112" s="1007" t="s">
        <v>738</v>
      </c>
      <c r="E112" s="908" t="s">
        <v>564</v>
      </c>
      <c r="F112" s="914" t="s">
        <v>42</v>
      </c>
      <c r="G112" s="88" t="s">
        <v>731</v>
      </c>
      <c r="H112" s="909">
        <v>4384</v>
      </c>
      <c r="I112" s="437">
        <v>0</v>
      </c>
      <c r="J112" s="437">
        <v>0</v>
      </c>
      <c r="K112" s="437">
        <v>0</v>
      </c>
      <c r="L112" s="266">
        <v>0</v>
      </c>
      <c r="M112" s="707">
        <v>0</v>
      </c>
      <c r="N112" s="811">
        <v>4384</v>
      </c>
      <c r="O112" s="923">
        <v>4384</v>
      </c>
      <c r="P112" s="922">
        <v>0</v>
      </c>
      <c r="Q112" s="962">
        <f t="shared" si="6"/>
        <v>4384</v>
      </c>
      <c r="R112" s="921">
        <v>0</v>
      </c>
      <c r="S112" s="921">
        <v>0</v>
      </c>
      <c r="T112" s="739">
        <v>0</v>
      </c>
      <c r="U112" s="707">
        <v>0</v>
      </c>
      <c r="V112" s="912">
        <v>0</v>
      </c>
      <c r="W112" s="704">
        <v>0</v>
      </c>
      <c r="X112" s="408">
        <v>0</v>
      </c>
      <c r="Y112" s="705">
        <v>0</v>
      </c>
      <c r="Z112" s="885">
        <v>0</v>
      </c>
      <c r="AA112" s="917" t="s">
        <v>566</v>
      </c>
      <c r="AB112" s="908" t="s">
        <v>820</v>
      </c>
      <c r="AC112" s="153" t="s">
        <v>617</v>
      </c>
      <c r="AD112" s="916" t="s">
        <v>339</v>
      </c>
      <c r="AE112" s="918" t="s">
        <v>339</v>
      </c>
      <c r="AF112" s="916" t="s">
        <v>364</v>
      </c>
    </row>
    <row r="113" spans="1:32" ht="30.75" thickBot="1" x14ac:dyDescent="0.3">
      <c r="A113" s="69" t="s">
        <v>735</v>
      </c>
      <c r="B113" s="70" t="s">
        <v>324</v>
      </c>
      <c r="C113" s="893">
        <v>2020</v>
      </c>
      <c r="D113" s="1008" t="s">
        <v>738</v>
      </c>
      <c r="E113" s="893" t="s">
        <v>564</v>
      </c>
      <c r="F113" s="887" t="s">
        <v>42</v>
      </c>
      <c r="G113" s="655" t="s">
        <v>732</v>
      </c>
      <c r="H113" s="20">
        <v>2032</v>
      </c>
      <c r="I113" s="434">
        <v>0</v>
      </c>
      <c r="J113" s="434">
        <v>0</v>
      </c>
      <c r="K113" s="434">
        <v>0</v>
      </c>
      <c r="L113" s="260">
        <v>0</v>
      </c>
      <c r="M113" s="716">
        <v>0</v>
      </c>
      <c r="N113" s="862">
        <v>2032</v>
      </c>
      <c r="O113" s="751">
        <v>2032</v>
      </c>
      <c r="P113" s="635">
        <v>0</v>
      </c>
      <c r="Q113" s="964">
        <f t="shared" si="6"/>
        <v>2032</v>
      </c>
      <c r="R113" s="540">
        <v>0</v>
      </c>
      <c r="S113" s="540">
        <v>0</v>
      </c>
      <c r="T113" s="804">
        <v>0</v>
      </c>
      <c r="U113" s="716">
        <v>0</v>
      </c>
      <c r="V113" s="279">
        <v>0</v>
      </c>
      <c r="W113" s="715">
        <v>0</v>
      </c>
      <c r="X113" s="716">
        <v>0</v>
      </c>
      <c r="Y113" s="717">
        <v>0</v>
      </c>
      <c r="Z113" s="279">
        <v>0</v>
      </c>
      <c r="AA113" s="893" t="s">
        <v>896</v>
      </c>
      <c r="AB113" s="893" t="s">
        <v>12</v>
      </c>
      <c r="AC113" s="661" t="s">
        <v>616</v>
      </c>
      <c r="AD113" s="72" t="s">
        <v>338</v>
      </c>
      <c r="AE113" s="119" t="s">
        <v>338</v>
      </c>
      <c r="AF113" s="72" t="s">
        <v>364</v>
      </c>
    </row>
    <row r="114" spans="1:32" ht="30" x14ac:dyDescent="0.25">
      <c r="A114" s="773" t="s">
        <v>787</v>
      </c>
      <c r="B114" s="777" t="s">
        <v>324</v>
      </c>
      <c r="C114" s="765">
        <v>2020</v>
      </c>
      <c r="D114" s="742" t="s">
        <v>821</v>
      </c>
      <c r="E114" s="765" t="s">
        <v>42</v>
      </c>
      <c r="F114" s="775" t="s">
        <v>42</v>
      </c>
      <c r="G114" s="436" t="s">
        <v>788</v>
      </c>
      <c r="H114" s="743">
        <v>769</v>
      </c>
      <c r="I114" s="566">
        <v>0</v>
      </c>
      <c r="J114" s="566">
        <v>0</v>
      </c>
      <c r="K114" s="437">
        <v>0</v>
      </c>
      <c r="L114" s="266">
        <v>0</v>
      </c>
      <c r="M114" s="707">
        <v>0</v>
      </c>
      <c r="N114" s="811">
        <v>0</v>
      </c>
      <c r="O114" s="756">
        <v>0</v>
      </c>
      <c r="P114" s="922">
        <v>0</v>
      </c>
      <c r="Q114" s="971">
        <f t="shared" si="6"/>
        <v>0</v>
      </c>
      <c r="R114" s="812">
        <v>769</v>
      </c>
      <c r="S114" s="626">
        <v>0</v>
      </c>
      <c r="T114" s="803">
        <v>0</v>
      </c>
      <c r="U114" s="733">
        <v>0</v>
      </c>
      <c r="V114" s="117">
        <v>0</v>
      </c>
      <c r="W114" s="732">
        <v>0</v>
      </c>
      <c r="X114" s="733">
        <v>0</v>
      </c>
      <c r="Y114" s="734">
        <v>0</v>
      </c>
      <c r="Z114" s="117">
        <v>0</v>
      </c>
      <c r="AA114" s="917" t="s">
        <v>317</v>
      </c>
      <c r="AB114" s="765" t="s">
        <v>17</v>
      </c>
      <c r="AC114" s="118" t="s">
        <v>616</v>
      </c>
      <c r="AD114" s="211" t="s">
        <v>338</v>
      </c>
      <c r="AE114" s="896" t="s">
        <v>338</v>
      </c>
      <c r="AF114" s="779" t="s">
        <v>362</v>
      </c>
    </row>
    <row r="115" spans="1:32" ht="45.75" thickBot="1" x14ac:dyDescent="0.3">
      <c r="A115" s="69" t="s">
        <v>795</v>
      </c>
      <c r="B115" s="70" t="s">
        <v>324</v>
      </c>
      <c r="C115" s="893">
        <v>2020</v>
      </c>
      <c r="D115" s="847" t="s">
        <v>821</v>
      </c>
      <c r="E115" s="893" t="s">
        <v>42</v>
      </c>
      <c r="F115" s="887" t="s">
        <v>42</v>
      </c>
      <c r="G115" s="865" t="s">
        <v>789</v>
      </c>
      <c r="H115" s="20">
        <f>79939-0.73236</f>
        <v>79938.267640000005</v>
      </c>
      <c r="I115" s="560">
        <v>0</v>
      </c>
      <c r="J115" s="560">
        <v>0</v>
      </c>
      <c r="K115" s="560">
        <v>0</v>
      </c>
      <c r="L115" s="579">
        <v>0</v>
      </c>
      <c r="M115" s="716">
        <v>0</v>
      </c>
      <c r="N115" s="862">
        <v>30000</v>
      </c>
      <c r="O115" s="754">
        <v>30000</v>
      </c>
      <c r="P115" s="643">
        <v>0</v>
      </c>
      <c r="Q115" s="964">
        <f t="shared" si="6"/>
        <v>30000</v>
      </c>
      <c r="R115" s="527">
        <f>29939-0.73236</f>
        <v>29938.267639999998</v>
      </c>
      <c r="S115" s="946">
        <v>20000</v>
      </c>
      <c r="T115" s="804">
        <v>0</v>
      </c>
      <c r="U115" s="716">
        <v>0</v>
      </c>
      <c r="V115" s="279">
        <v>0</v>
      </c>
      <c r="W115" s="715">
        <f>79939-0.73236</f>
        <v>79938.267640000005</v>
      </c>
      <c r="X115" s="716">
        <v>0</v>
      </c>
      <c r="Y115" s="717">
        <v>30000</v>
      </c>
      <c r="Z115" s="279">
        <f>49939-0.73236</f>
        <v>49938.267639999998</v>
      </c>
      <c r="AA115" s="67" t="s">
        <v>880</v>
      </c>
      <c r="AB115" s="893" t="s">
        <v>17</v>
      </c>
      <c r="AC115" s="275" t="s">
        <v>790</v>
      </c>
      <c r="AD115" s="72" t="s">
        <v>338</v>
      </c>
      <c r="AE115" s="119" t="s">
        <v>338</v>
      </c>
      <c r="AF115" s="72" t="s">
        <v>363</v>
      </c>
    </row>
    <row r="116" spans="1:32" ht="30.75" thickBot="1" x14ac:dyDescent="0.3">
      <c r="A116" s="58" t="s">
        <v>822</v>
      </c>
      <c r="B116" s="654" t="s">
        <v>324</v>
      </c>
      <c r="C116" s="886">
        <v>2021</v>
      </c>
      <c r="D116" s="741" t="s">
        <v>842</v>
      </c>
      <c r="E116" s="886" t="s">
        <v>42</v>
      </c>
      <c r="F116" s="888" t="s">
        <v>42</v>
      </c>
      <c r="G116" s="744" t="s">
        <v>816</v>
      </c>
      <c r="H116" s="769">
        <v>1093.49152</v>
      </c>
      <c r="I116" s="566">
        <v>0</v>
      </c>
      <c r="J116" s="566">
        <v>0</v>
      </c>
      <c r="K116" s="566">
        <v>0</v>
      </c>
      <c r="L116" s="574">
        <v>0</v>
      </c>
      <c r="M116" s="906">
        <v>1093.49152</v>
      </c>
      <c r="N116" s="813">
        <v>0</v>
      </c>
      <c r="O116" s="756">
        <v>1093.49152</v>
      </c>
      <c r="P116" s="748">
        <v>0</v>
      </c>
      <c r="Q116" s="969">
        <f t="shared" si="6"/>
        <v>1093.49152</v>
      </c>
      <c r="R116" s="814">
        <v>0</v>
      </c>
      <c r="S116" s="735">
        <v>0</v>
      </c>
      <c r="T116" s="815">
        <v>0</v>
      </c>
      <c r="U116" s="906">
        <v>0</v>
      </c>
      <c r="V116" s="728">
        <v>0</v>
      </c>
      <c r="W116" s="730">
        <v>0</v>
      </c>
      <c r="X116" s="906">
        <v>0</v>
      </c>
      <c r="Y116" s="731">
        <v>0</v>
      </c>
      <c r="Z116" s="728">
        <v>0</v>
      </c>
      <c r="AA116" s="736" t="s">
        <v>317</v>
      </c>
      <c r="AB116" s="886" t="s">
        <v>28</v>
      </c>
      <c r="AC116" s="433" t="s">
        <v>617</v>
      </c>
      <c r="AD116" s="55" t="s">
        <v>339</v>
      </c>
      <c r="AE116" s="919" t="s">
        <v>339</v>
      </c>
      <c r="AF116" s="519" t="s">
        <v>363</v>
      </c>
    </row>
    <row r="117" spans="1:32" ht="30.75" thickBot="1" x14ac:dyDescent="0.3">
      <c r="A117" s="58" t="s">
        <v>849</v>
      </c>
      <c r="B117" s="654" t="s">
        <v>324</v>
      </c>
      <c r="C117" s="886">
        <v>2021</v>
      </c>
      <c r="D117" s="719" t="s">
        <v>881</v>
      </c>
      <c r="E117" s="886" t="s">
        <v>42</v>
      </c>
      <c r="F117" s="888" t="s">
        <v>42</v>
      </c>
      <c r="G117" s="744" t="s">
        <v>850</v>
      </c>
      <c r="H117" s="769">
        <v>7540</v>
      </c>
      <c r="I117" s="566">
        <v>0</v>
      </c>
      <c r="J117" s="566"/>
      <c r="K117" s="566">
        <v>0</v>
      </c>
      <c r="L117" s="574">
        <v>0</v>
      </c>
      <c r="M117" s="906">
        <v>0</v>
      </c>
      <c r="N117" s="813">
        <v>0</v>
      </c>
      <c r="O117" s="756">
        <v>0</v>
      </c>
      <c r="P117" s="748">
        <v>0</v>
      </c>
      <c r="Q117" s="969">
        <f t="shared" si="6"/>
        <v>0</v>
      </c>
      <c r="R117" s="814">
        <v>7540</v>
      </c>
      <c r="S117" s="735">
        <v>0</v>
      </c>
      <c r="T117" s="815">
        <v>0</v>
      </c>
      <c r="U117" s="906">
        <v>0</v>
      </c>
      <c r="V117" s="728">
        <v>0</v>
      </c>
      <c r="W117" s="730">
        <v>0</v>
      </c>
      <c r="X117" s="906">
        <v>0</v>
      </c>
      <c r="Y117" s="731">
        <v>0</v>
      </c>
      <c r="Z117" s="728">
        <v>0</v>
      </c>
      <c r="AA117" s="736" t="s">
        <v>317</v>
      </c>
      <c r="AB117" s="886" t="s">
        <v>17</v>
      </c>
      <c r="AC117" s="433" t="s">
        <v>851</v>
      </c>
      <c r="AD117" s="55" t="s">
        <v>338</v>
      </c>
      <c r="AE117" s="919" t="s">
        <v>338</v>
      </c>
      <c r="AF117" s="519" t="s">
        <v>362</v>
      </c>
    </row>
    <row r="118" spans="1:32" x14ac:dyDescent="0.25">
      <c r="A118" s="520" t="s">
        <v>970</v>
      </c>
      <c r="B118" s="1104" t="s">
        <v>324</v>
      </c>
      <c r="C118" s="237">
        <v>2021</v>
      </c>
      <c r="D118" s="1149" t="s">
        <v>317</v>
      </c>
      <c r="E118" s="237" t="s">
        <v>42</v>
      </c>
      <c r="F118" s="523" t="s">
        <v>42</v>
      </c>
      <c r="G118" s="1105" t="s">
        <v>1022</v>
      </c>
      <c r="H118" s="247">
        <v>2321</v>
      </c>
      <c r="I118" s="563">
        <v>0</v>
      </c>
      <c r="J118" s="563">
        <v>0</v>
      </c>
      <c r="K118" s="607">
        <v>0</v>
      </c>
      <c r="L118" s="607"/>
      <c r="M118" s="1107">
        <v>0</v>
      </c>
      <c r="N118" s="1108">
        <v>2321</v>
      </c>
      <c r="O118" s="1109">
        <v>0</v>
      </c>
      <c r="P118" s="1110">
        <v>2321</v>
      </c>
      <c r="Q118" s="1110">
        <f t="shared" si="6"/>
        <v>2321</v>
      </c>
      <c r="R118" s="1111">
        <v>0</v>
      </c>
      <c r="S118" s="1112">
        <v>0</v>
      </c>
      <c r="T118" s="1113">
        <v>0</v>
      </c>
      <c r="U118" s="1107">
        <v>0</v>
      </c>
      <c r="V118" s="1109">
        <v>0</v>
      </c>
      <c r="W118" s="1114">
        <v>0</v>
      </c>
      <c r="X118" s="1107">
        <v>0</v>
      </c>
      <c r="Y118" s="1115">
        <v>0</v>
      </c>
      <c r="Z118" s="1109">
        <v>0</v>
      </c>
      <c r="AA118" s="690" t="s">
        <v>317</v>
      </c>
      <c r="AB118" s="237" t="s">
        <v>17</v>
      </c>
      <c r="AC118" s="1116" t="s">
        <v>601</v>
      </c>
      <c r="AD118" s="546" t="s">
        <v>338</v>
      </c>
      <c r="AE118" s="522" t="s">
        <v>338</v>
      </c>
      <c r="AF118" s="468" t="s">
        <v>364</v>
      </c>
    </row>
    <row r="119" spans="1:32" s="721" customFormat="1" ht="15.75" thickBot="1" x14ac:dyDescent="0.3">
      <c r="A119" s="824" t="s">
        <v>357</v>
      </c>
      <c r="B119" s="825" t="s">
        <v>357</v>
      </c>
      <c r="C119" s="913" t="s">
        <v>357</v>
      </c>
      <c r="D119" s="913" t="s">
        <v>357</v>
      </c>
      <c r="E119" s="776" t="s">
        <v>357</v>
      </c>
      <c r="F119" s="776" t="s">
        <v>357</v>
      </c>
      <c r="G119" s="550" t="s">
        <v>357</v>
      </c>
      <c r="H119" s="822" t="s">
        <v>357</v>
      </c>
      <c r="I119" s="822" t="s">
        <v>357</v>
      </c>
      <c r="J119" s="440" t="s">
        <v>357</v>
      </c>
      <c r="K119" s="440" t="s">
        <v>357</v>
      </c>
      <c r="L119" s="263" t="s">
        <v>357</v>
      </c>
      <c r="M119" s="443" t="s">
        <v>357</v>
      </c>
      <c r="N119" s="406" t="s">
        <v>357</v>
      </c>
      <c r="O119" s="753" t="s">
        <v>357</v>
      </c>
      <c r="P119" s="818" t="s">
        <v>357</v>
      </c>
      <c r="Q119" s="968" t="s">
        <v>357</v>
      </c>
      <c r="R119" s="531" t="s">
        <v>357</v>
      </c>
      <c r="S119" s="276" t="s">
        <v>357</v>
      </c>
      <c r="T119" s="441" t="s">
        <v>357</v>
      </c>
      <c r="U119" s="443" t="s">
        <v>357</v>
      </c>
      <c r="V119" s="441" t="s">
        <v>357</v>
      </c>
      <c r="W119" s="567" t="s">
        <v>357</v>
      </c>
      <c r="X119" s="452" t="s">
        <v>357</v>
      </c>
      <c r="Y119" s="452" t="s">
        <v>357</v>
      </c>
      <c r="Z119" s="406" t="s">
        <v>357</v>
      </c>
      <c r="AA119" s="406" t="s">
        <v>357</v>
      </c>
      <c r="AB119" s="913" t="s">
        <v>357</v>
      </c>
      <c r="AC119" s="120" t="s">
        <v>357</v>
      </c>
      <c r="AD119" s="120" t="s">
        <v>357</v>
      </c>
      <c r="AE119" s="120" t="s">
        <v>357</v>
      </c>
      <c r="AF119" s="72" t="s">
        <v>357</v>
      </c>
    </row>
    <row r="120" spans="1:32" ht="35.25" customHeight="1" thickBot="1" x14ac:dyDescent="0.3">
      <c r="A120" s="370" t="s">
        <v>317</v>
      </c>
      <c r="B120" s="371" t="s">
        <v>317</v>
      </c>
      <c r="C120" s="79" t="s">
        <v>317</v>
      </c>
      <c r="D120" s="59" t="s">
        <v>317</v>
      </c>
      <c r="E120" s="79" t="s">
        <v>317</v>
      </c>
      <c r="F120" s="79" t="s">
        <v>317</v>
      </c>
      <c r="G120" s="404" t="s">
        <v>372</v>
      </c>
      <c r="H120" s="892">
        <f t="shared" ref="H120:Z120" si="7">SUM(H41:H119)</f>
        <v>2550327.7228400009</v>
      </c>
      <c r="I120" s="892">
        <f t="shared" si="7"/>
        <v>694887.68175999983</v>
      </c>
      <c r="J120" s="892">
        <f t="shared" si="7"/>
        <v>14368.248529999999</v>
      </c>
      <c r="K120" s="892">
        <f t="shared" si="7"/>
        <v>44414.787340000003</v>
      </c>
      <c r="L120" s="892">
        <f t="shared" si="7"/>
        <v>2214.7829999999999</v>
      </c>
      <c r="M120" s="892">
        <f t="shared" si="7"/>
        <v>209551.18367999999</v>
      </c>
      <c r="N120" s="892">
        <f t="shared" si="7"/>
        <v>305407.43369999999</v>
      </c>
      <c r="O120" s="892">
        <f t="shared" si="7"/>
        <v>567301.74068000005</v>
      </c>
      <c r="P120" s="892">
        <f t="shared" si="7"/>
        <v>6439.9125700000013</v>
      </c>
      <c r="Q120" s="892">
        <f t="shared" si="7"/>
        <v>573741.65325000009</v>
      </c>
      <c r="R120" s="892">
        <f t="shared" si="7"/>
        <v>530619.23842000007</v>
      </c>
      <c r="S120" s="892">
        <f t="shared" si="7"/>
        <v>743818.14940999995</v>
      </c>
      <c r="T120" s="892">
        <f t="shared" si="7"/>
        <v>7261</v>
      </c>
      <c r="U120" s="892">
        <f t="shared" si="7"/>
        <v>0</v>
      </c>
      <c r="V120" s="892">
        <f t="shared" si="7"/>
        <v>0</v>
      </c>
      <c r="W120" s="892">
        <f t="shared" si="7"/>
        <v>269921.70406000002</v>
      </c>
      <c r="X120" s="892">
        <f t="shared" si="7"/>
        <v>0</v>
      </c>
      <c r="Y120" s="892">
        <f t="shared" si="7"/>
        <v>219983.43641999998</v>
      </c>
      <c r="Z120" s="892">
        <f t="shared" si="7"/>
        <v>49938.267639999998</v>
      </c>
      <c r="AA120" s="66" t="s">
        <v>1045</v>
      </c>
      <c r="AB120" s="59" t="s">
        <v>317</v>
      </c>
      <c r="AC120" s="932" t="s">
        <v>317</v>
      </c>
      <c r="AD120" s="326" t="s">
        <v>317</v>
      </c>
      <c r="AE120" s="932" t="s">
        <v>317</v>
      </c>
      <c r="AF120" s="179" t="s">
        <v>317</v>
      </c>
    </row>
    <row r="121" spans="1:32" s="698" customFormat="1" ht="30" x14ac:dyDescent="0.25">
      <c r="A121" s="30" t="s">
        <v>430</v>
      </c>
      <c r="B121" s="777" t="s">
        <v>61</v>
      </c>
      <c r="C121" s="765">
        <v>2016</v>
      </c>
      <c r="D121" s="882" t="s">
        <v>418</v>
      </c>
      <c r="E121" s="31" t="s">
        <v>10</v>
      </c>
      <c r="F121" s="46" t="s">
        <v>62</v>
      </c>
      <c r="G121" s="270" t="s">
        <v>63</v>
      </c>
      <c r="H121" s="763">
        <v>17735.187600000001</v>
      </c>
      <c r="I121" s="769">
        <v>17014.405350000001</v>
      </c>
      <c r="J121" s="769">
        <v>0</v>
      </c>
      <c r="K121" s="769">
        <v>0</v>
      </c>
      <c r="L121" s="895">
        <v>0</v>
      </c>
      <c r="M121" s="787">
        <v>0</v>
      </c>
      <c r="N121" s="881">
        <v>0</v>
      </c>
      <c r="O121" s="923">
        <v>0</v>
      </c>
      <c r="P121" s="922">
        <v>0</v>
      </c>
      <c r="Q121" s="961">
        <f t="shared" ref="Q121:Q184" si="8">O121+P121</f>
        <v>0</v>
      </c>
      <c r="R121" s="884">
        <v>720.78224999999998</v>
      </c>
      <c r="S121" s="1">
        <v>0</v>
      </c>
      <c r="T121" s="778">
        <v>0</v>
      </c>
      <c r="U121" s="897">
        <v>0</v>
      </c>
      <c r="V121" s="778">
        <v>0</v>
      </c>
      <c r="W121" s="905">
        <v>0</v>
      </c>
      <c r="X121" s="885">
        <v>0</v>
      </c>
      <c r="Y121" s="885">
        <v>0</v>
      </c>
      <c r="Z121" s="885">
        <v>0</v>
      </c>
      <c r="AA121" s="917" t="s">
        <v>893</v>
      </c>
      <c r="AB121" s="882" t="s">
        <v>705</v>
      </c>
      <c r="AC121" s="784" t="s">
        <v>604</v>
      </c>
      <c r="AD121" s="784" t="s">
        <v>339</v>
      </c>
      <c r="AE121" s="784" t="s">
        <v>339</v>
      </c>
      <c r="AF121" s="779" t="s">
        <v>365</v>
      </c>
    </row>
    <row r="122" spans="1:32" s="722" customFormat="1" ht="25.5" x14ac:dyDescent="0.25">
      <c r="A122" s="773" t="s">
        <v>431</v>
      </c>
      <c r="B122" s="48" t="s">
        <v>64</v>
      </c>
      <c r="C122" s="45">
        <v>2016</v>
      </c>
      <c r="D122" s="45" t="s">
        <v>417</v>
      </c>
      <c r="E122" s="44" t="s">
        <v>10</v>
      </c>
      <c r="F122" s="914" t="s">
        <v>65</v>
      </c>
      <c r="G122" s="656" t="s">
        <v>66</v>
      </c>
      <c r="H122" s="8">
        <f>104982.385+3149.47155+1989.802</f>
        <v>110121.65854999999</v>
      </c>
      <c r="I122" s="909">
        <v>2038.202</v>
      </c>
      <c r="J122" s="909">
        <v>0</v>
      </c>
      <c r="K122" s="909">
        <v>0</v>
      </c>
      <c r="L122" s="909">
        <v>0</v>
      </c>
      <c r="M122" s="311">
        <f>27032.96414-13516.48207</f>
        <v>13516.48207</v>
      </c>
      <c r="N122" s="9">
        <f>27032.96413+13516.48207</f>
        <v>40549.446199999998</v>
      </c>
      <c r="O122" s="923">
        <v>54065.928269999997</v>
      </c>
      <c r="P122" s="922">
        <v>0</v>
      </c>
      <c r="Q122" s="962">
        <f t="shared" si="8"/>
        <v>54065.928269999997</v>
      </c>
      <c r="R122" s="12">
        <f>54065.92828-48.4</f>
        <v>54017.528279999999</v>
      </c>
      <c r="S122" s="10">
        <v>0</v>
      </c>
      <c r="T122" s="11">
        <v>0</v>
      </c>
      <c r="U122" s="311">
        <v>0</v>
      </c>
      <c r="V122" s="11">
        <v>0</v>
      </c>
      <c r="W122" s="625">
        <v>105000</v>
      </c>
      <c r="X122" s="393">
        <v>0</v>
      </c>
      <c r="Y122" s="393">
        <v>54065.928269999997</v>
      </c>
      <c r="Z122" s="393">
        <f>55000-4065.92827</f>
        <v>50934.071730000003</v>
      </c>
      <c r="AA122" s="178" t="s">
        <v>317</v>
      </c>
      <c r="AB122" s="45" t="s">
        <v>12</v>
      </c>
      <c r="AC122" s="660" t="s">
        <v>646</v>
      </c>
      <c r="AD122" s="660" t="s">
        <v>338</v>
      </c>
      <c r="AE122" s="660" t="s">
        <v>338</v>
      </c>
      <c r="AF122" s="916" t="s">
        <v>363</v>
      </c>
    </row>
    <row r="123" spans="1:32" s="584" customFormat="1" ht="25.5" x14ac:dyDescent="0.25">
      <c r="A123" s="476" t="s">
        <v>432</v>
      </c>
      <c r="B123" s="464" t="s">
        <v>68</v>
      </c>
      <c r="C123" s="286">
        <v>2017</v>
      </c>
      <c r="D123" s="286" t="s">
        <v>428</v>
      </c>
      <c r="E123" s="342" t="s">
        <v>10</v>
      </c>
      <c r="F123" s="286" t="s">
        <v>480</v>
      </c>
      <c r="G123" s="477" t="s">
        <v>69</v>
      </c>
      <c r="H123" s="336">
        <v>24585.773000000001</v>
      </c>
      <c r="I123" s="369">
        <v>585.77300000000002</v>
      </c>
      <c r="J123" s="369">
        <v>0</v>
      </c>
      <c r="K123" s="369">
        <v>0</v>
      </c>
      <c r="L123" s="1166">
        <v>0</v>
      </c>
      <c r="M123" s="461">
        <v>0</v>
      </c>
      <c r="N123" s="1165">
        <v>0</v>
      </c>
      <c r="O123" s="510">
        <v>20000</v>
      </c>
      <c r="P123" s="586">
        <v>-20000</v>
      </c>
      <c r="Q123" s="1097">
        <f t="shared" si="8"/>
        <v>0</v>
      </c>
      <c r="R123" s="338">
        <f>4000+20000</f>
        <v>24000</v>
      </c>
      <c r="S123" s="343">
        <v>0</v>
      </c>
      <c r="T123" s="334">
        <v>0</v>
      </c>
      <c r="U123" s="461">
        <v>0</v>
      </c>
      <c r="V123" s="352">
        <v>0</v>
      </c>
      <c r="W123" s="465">
        <v>0</v>
      </c>
      <c r="X123" s="463">
        <v>0</v>
      </c>
      <c r="Y123" s="463">
        <v>0</v>
      </c>
      <c r="Z123" s="463">
        <v>0</v>
      </c>
      <c r="AA123" s="532" t="s">
        <v>989</v>
      </c>
      <c r="AB123" s="286" t="s">
        <v>17</v>
      </c>
      <c r="AC123" s="478" t="s">
        <v>406</v>
      </c>
      <c r="AD123" s="478" t="s">
        <v>338</v>
      </c>
      <c r="AE123" s="478" t="s">
        <v>338</v>
      </c>
      <c r="AF123" s="337" t="s">
        <v>363</v>
      </c>
    </row>
    <row r="124" spans="1:32" s="722" customFormat="1" ht="25.5" x14ac:dyDescent="0.25">
      <c r="A124" s="30" t="s">
        <v>433</v>
      </c>
      <c r="B124" s="915" t="s">
        <v>70</v>
      </c>
      <c r="C124" s="908">
        <v>2017</v>
      </c>
      <c r="D124" s="908" t="s">
        <v>67</v>
      </c>
      <c r="E124" s="914" t="s">
        <v>10</v>
      </c>
      <c r="F124" s="46" t="s">
        <v>71</v>
      </c>
      <c r="G124" s="272" t="s">
        <v>72</v>
      </c>
      <c r="H124" s="909">
        <f>69390.465+1254.802+5968.67241</f>
        <v>76613.939409999992</v>
      </c>
      <c r="I124" s="907">
        <v>21504.745760000002</v>
      </c>
      <c r="J124" s="907">
        <v>9356.2942199999998</v>
      </c>
      <c r="K124" s="907">
        <v>18940.30759</v>
      </c>
      <c r="L124" s="895">
        <v>1582.7155500000001</v>
      </c>
      <c r="M124" s="920">
        <f>16390.465-296.60181</f>
        <v>16093.86319</v>
      </c>
      <c r="N124" s="910">
        <f>4750.05624+5968.67241</f>
        <v>10718.728650000001</v>
      </c>
      <c r="O124" s="923">
        <v>55109.193649999994</v>
      </c>
      <c r="P124" s="922">
        <v>0</v>
      </c>
      <c r="Q124" s="962">
        <f t="shared" si="8"/>
        <v>55109.193649999994</v>
      </c>
      <c r="R124" s="768">
        <v>0</v>
      </c>
      <c r="S124" s="767">
        <v>0</v>
      </c>
      <c r="T124" s="911">
        <v>0</v>
      </c>
      <c r="U124" s="920">
        <v>0</v>
      </c>
      <c r="V124" s="911">
        <v>0</v>
      </c>
      <c r="W124" s="921">
        <v>55109.193650000001</v>
      </c>
      <c r="X124" s="912">
        <v>29879.317360000001</v>
      </c>
      <c r="Y124" s="912">
        <v>55109.193650000001</v>
      </c>
      <c r="Z124" s="912">
        <v>0</v>
      </c>
      <c r="AA124" s="178" t="s">
        <v>317</v>
      </c>
      <c r="AB124" s="908" t="s">
        <v>28</v>
      </c>
      <c r="AC124" s="918" t="s">
        <v>617</v>
      </c>
      <c r="AD124" s="918" t="s">
        <v>339</v>
      </c>
      <c r="AE124" s="918" t="s">
        <v>339</v>
      </c>
      <c r="AF124" s="916" t="s">
        <v>363</v>
      </c>
    </row>
    <row r="125" spans="1:32" s="722" customFormat="1" ht="51" x14ac:dyDescent="0.25">
      <c r="A125" s="30" t="s">
        <v>434</v>
      </c>
      <c r="B125" s="915" t="s">
        <v>73</v>
      </c>
      <c r="C125" s="908">
        <v>2017</v>
      </c>
      <c r="D125" s="908" t="s">
        <v>411</v>
      </c>
      <c r="E125" s="914" t="s">
        <v>10</v>
      </c>
      <c r="F125" s="772" t="s">
        <v>74</v>
      </c>
      <c r="G125" s="272" t="s">
        <v>75</v>
      </c>
      <c r="H125" s="909">
        <v>21389</v>
      </c>
      <c r="I125" s="907">
        <v>0</v>
      </c>
      <c r="J125" s="907">
        <v>0</v>
      </c>
      <c r="K125" s="907">
        <v>0</v>
      </c>
      <c r="L125" s="895">
        <v>0</v>
      </c>
      <c r="M125" s="920">
        <v>0</v>
      </c>
      <c r="N125" s="910">
        <v>0</v>
      </c>
      <c r="O125" s="923">
        <v>0</v>
      </c>
      <c r="P125" s="922">
        <v>0</v>
      </c>
      <c r="Q125" s="962">
        <f t="shared" si="8"/>
        <v>0</v>
      </c>
      <c r="R125" s="768">
        <v>21389</v>
      </c>
      <c r="S125" s="767">
        <v>0</v>
      </c>
      <c r="T125" s="911">
        <v>0</v>
      </c>
      <c r="U125" s="920">
        <v>0</v>
      </c>
      <c r="V125" s="138">
        <v>0</v>
      </c>
      <c r="W125" s="160">
        <v>0</v>
      </c>
      <c r="X125" s="167">
        <v>0</v>
      </c>
      <c r="Y125" s="167">
        <v>0</v>
      </c>
      <c r="Z125" s="167">
        <v>0</v>
      </c>
      <c r="AA125" s="25" t="s">
        <v>838</v>
      </c>
      <c r="AB125" s="908" t="s">
        <v>17</v>
      </c>
      <c r="AC125" s="918" t="s">
        <v>839</v>
      </c>
      <c r="AD125" s="918" t="s">
        <v>338</v>
      </c>
      <c r="AE125" s="918" t="s">
        <v>338</v>
      </c>
      <c r="AF125" s="916" t="s">
        <v>365</v>
      </c>
    </row>
    <row r="126" spans="1:32" s="722" customFormat="1" ht="25.5" x14ac:dyDescent="0.25">
      <c r="A126" s="30" t="s">
        <v>435</v>
      </c>
      <c r="B126" s="915" t="s">
        <v>77</v>
      </c>
      <c r="C126" s="908">
        <v>2017</v>
      </c>
      <c r="D126" s="908" t="s">
        <v>411</v>
      </c>
      <c r="E126" s="914" t="s">
        <v>10</v>
      </c>
      <c r="F126" s="772" t="s">
        <v>76</v>
      </c>
      <c r="G126" s="272" t="s">
        <v>78</v>
      </c>
      <c r="H126" s="909">
        <v>14599.42</v>
      </c>
      <c r="I126" s="361">
        <v>139.15</v>
      </c>
      <c r="J126" s="361">
        <v>0</v>
      </c>
      <c r="K126" s="361">
        <v>0</v>
      </c>
      <c r="L126" s="1036">
        <v>0</v>
      </c>
      <c r="M126" s="920">
        <v>0</v>
      </c>
      <c r="N126" s="910">
        <v>0</v>
      </c>
      <c r="O126" s="923">
        <v>0</v>
      </c>
      <c r="P126" s="922">
        <v>0</v>
      </c>
      <c r="Q126" s="962">
        <f t="shared" si="8"/>
        <v>0</v>
      </c>
      <c r="R126" s="220">
        <v>0</v>
      </c>
      <c r="S126" s="13">
        <v>14460.27</v>
      </c>
      <c r="T126" s="911">
        <v>0</v>
      </c>
      <c r="U126" s="920">
        <v>0</v>
      </c>
      <c r="V126" s="138">
        <v>0</v>
      </c>
      <c r="W126" s="160">
        <v>0</v>
      </c>
      <c r="X126" s="167">
        <v>0</v>
      </c>
      <c r="Y126" s="167">
        <v>0</v>
      </c>
      <c r="Z126" s="167">
        <v>0</v>
      </c>
      <c r="AA126" s="25" t="s">
        <v>317</v>
      </c>
      <c r="AB126" s="908" t="s">
        <v>17</v>
      </c>
      <c r="AC126" s="918" t="s">
        <v>840</v>
      </c>
      <c r="AD126" s="918" t="s">
        <v>338</v>
      </c>
      <c r="AE126" s="918" t="s">
        <v>338</v>
      </c>
      <c r="AF126" s="916" t="s">
        <v>365</v>
      </c>
    </row>
    <row r="127" spans="1:32" s="722" customFormat="1" ht="30" x14ac:dyDescent="0.25">
      <c r="A127" s="30" t="s">
        <v>436</v>
      </c>
      <c r="B127" s="915" t="s">
        <v>79</v>
      </c>
      <c r="C127" s="908">
        <v>2017</v>
      </c>
      <c r="D127" s="908" t="s">
        <v>411</v>
      </c>
      <c r="E127" s="914" t="s">
        <v>80</v>
      </c>
      <c r="F127" s="772" t="s">
        <v>80</v>
      </c>
      <c r="G127" s="272" t="s">
        <v>81</v>
      </c>
      <c r="H127" s="909">
        <v>1300</v>
      </c>
      <c r="I127" s="361">
        <v>0</v>
      </c>
      <c r="J127" s="361">
        <v>0</v>
      </c>
      <c r="K127" s="361">
        <v>0</v>
      </c>
      <c r="L127" s="1036">
        <v>0</v>
      </c>
      <c r="M127" s="920">
        <v>0</v>
      </c>
      <c r="N127" s="910">
        <v>0</v>
      </c>
      <c r="O127" s="923">
        <v>0</v>
      </c>
      <c r="P127" s="922">
        <v>0</v>
      </c>
      <c r="Q127" s="962">
        <f t="shared" si="8"/>
        <v>0</v>
      </c>
      <c r="R127" s="768">
        <v>1300</v>
      </c>
      <c r="S127" s="767">
        <v>0</v>
      </c>
      <c r="T127" s="911">
        <v>0</v>
      </c>
      <c r="U127" s="920">
        <v>0</v>
      </c>
      <c r="V127" s="138">
        <v>0</v>
      </c>
      <c r="W127" s="160">
        <v>0</v>
      </c>
      <c r="X127" s="167">
        <v>0</v>
      </c>
      <c r="Y127" s="167">
        <v>0</v>
      </c>
      <c r="Z127" s="167">
        <v>0</v>
      </c>
      <c r="AA127" s="785" t="s">
        <v>317</v>
      </c>
      <c r="AB127" s="908" t="s">
        <v>17</v>
      </c>
      <c r="AC127" s="918" t="s">
        <v>406</v>
      </c>
      <c r="AD127" s="918" t="s">
        <v>338</v>
      </c>
      <c r="AE127" s="918" t="s">
        <v>338</v>
      </c>
      <c r="AF127" s="916" t="s">
        <v>365</v>
      </c>
    </row>
    <row r="128" spans="1:32" s="722" customFormat="1" ht="38.25" x14ac:dyDescent="0.25">
      <c r="A128" s="30" t="s">
        <v>437</v>
      </c>
      <c r="B128" s="915" t="s">
        <v>83</v>
      </c>
      <c r="C128" s="908">
        <v>2017</v>
      </c>
      <c r="D128" s="908" t="s">
        <v>411</v>
      </c>
      <c r="E128" s="914" t="s">
        <v>10</v>
      </c>
      <c r="F128" s="772" t="s">
        <v>84</v>
      </c>
      <c r="G128" s="272" t="s">
        <v>85</v>
      </c>
      <c r="H128" s="909">
        <v>17756</v>
      </c>
      <c r="I128" s="907">
        <v>603.79</v>
      </c>
      <c r="J128" s="907">
        <v>0</v>
      </c>
      <c r="K128" s="907">
        <v>0</v>
      </c>
      <c r="L128" s="895">
        <v>0</v>
      </c>
      <c r="M128" s="920">
        <v>0</v>
      </c>
      <c r="N128" s="910">
        <v>0</v>
      </c>
      <c r="O128" s="923">
        <v>0</v>
      </c>
      <c r="P128" s="922">
        <v>0</v>
      </c>
      <c r="Q128" s="962">
        <f t="shared" si="8"/>
        <v>0</v>
      </c>
      <c r="R128" s="768">
        <v>17152.21</v>
      </c>
      <c r="S128" s="767">
        <v>0</v>
      </c>
      <c r="T128" s="911">
        <v>0</v>
      </c>
      <c r="U128" s="920">
        <v>0</v>
      </c>
      <c r="V128" s="138">
        <v>0</v>
      </c>
      <c r="W128" s="160">
        <v>0</v>
      </c>
      <c r="X128" s="167">
        <v>0</v>
      </c>
      <c r="Y128" s="167">
        <v>0</v>
      </c>
      <c r="Z128" s="167">
        <v>0</v>
      </c>
      <c r="AA128" s="785" t="s">
        <v>317</v>
      </c>
      <c r="AB128" s="908" t="s">
        <v>17</v>
      </c>
      <c r="AC128" s="918" t="s">
        <v>835</v>
      </c>
      <c r="AD128" s="918" t="s">
        <v>338</v>
      </c>
      <c r="AE128" s="918" t="s">
        <v>338</v>
      </c>
      <c r="AF128" s="916" t="s">
        <v>365</v>
      </c>
    </row>
    <row r="129" spans="1:32" s="722" customFormat="1" ht="25.5" x14ac:dyDescent="0.25">
      <c r="A129" s="30" t="s">
        <v>438</v>
      </c>
      <c r="B129" s="915" t="s">
        <v>86</v>
      </c>
      <c r="C129" s="908">
        <v>2017</v>
      </c>
      <c r="D129" s="908" t="s">
        <v>411</v>
      </c>
      <c r="E129" s="914" t="s">
        <v>10</v>
      </c>
      <c r="F129" s="772" t="s">
        <v>87</v>
      </c>
      <c r="G129" s="272" t="s">
        <v>88</v>
      </c>
      <c r="H129" s="909">
        <v>88000</v>
      </c>
      <c r="I129" s="361">
        <f>2801.15+118.1444</f>
        <v>2919.2944000000002</v>
      </c>
      <c r="J129" s="361">
        <v>0</v>
      </c>
      <c r="K129" s="361">
        <v>1597.2</v>
      </c>
      <c r="L129" s="1036">
        <v>0</v>
      </c>
      <c r="M129" s="920">
        <f>1585.1+1808.95-1597.2</f>
        <v>1796.8500000000001</v>
      </c>
      <c r="N129" s="910">
        <v>0</v>
      </c>
      <c r="O129" s="923">
        <v>3394.0500000000029</v>
      </c>
      <c r="P129" s="922">
        <v>0</v>
      </c>
      <c r="Q129" s="962">
        <f t="shared" si="8"/>
        <v>3394.0500000000029</v>
      </c>
      <c r="R129" s="11">
        <f>38918.2+39539+3347.6-118.1444</f>
        <v>81686.655599999998</v>
      </c>
      <c r="S129" s="10">
        <v>0</v>
      </c>
      <c r="T129" s="911">
        <v>0</v>
      </c>
      <c r="U129" s="920">
        <v>0</v>
      </c>
      <c r="V129" s="138">
        <v>0</v>
      </c>
      <c r="W129" s="160">
        <v>0</v>
      </c>
      <c r="X129" s="167">
        <v>0</v>
      </c>
      <c r="Y129" s="167">
        <v>0</v>
      </c>
      <c r="Z129" s="167">
        <v>0</v>
      </c>
      <c r="AA129" s="785" t="s">
        <v>317</v>
      </c>
      <c r="AB129" s="908" t="s">
        <v>28</v>
      </c>
      <c r="AC129" s="918" t="s">
        <v>646</v>
      </c>
      <c r="AD129" s="918" t="s">
        <v>339</v>
      </c>
      <c r="AE129" s="918" t="s">
        <v>339</v>
      </c>
      <c r="AF129" s="916" t="s">
        <v>363</v>
      </c>
    </row>
    <row r="130" spans="1:32" s="722" customFormat="1" ht="38.25" x14ac:dyDescent="0.25">
      <c r="A130" s="30" t="s">
        <v>439</v>
      </c>
      <c r="B130" s="915" t="s">
        <v>89</v>
      </c>
      <c r="C130" s="908">
        <v>2017</v>
      </c>
      <c r="D130" s="908" t="s">
        <v>411</v>
      </c>
      <c r="E130" s="914" t="s">
        <v>10</v>
      </c>
      <c r="F130" s="772" t="s">
        <v>90</v>
      </c>
      <c r="G130" s="272" t="s">
        <v>91</v>
      </c>
      <c r="H130" s="909">
        <v>14292.75</v>
      </c>
      <c r="I130" s="361">
        <v>1489.7046</v>
      </c>
      <c r="J130" s="361">
        <v>1753.5132799999999</v>
      </c>
      <c r="K130" s="361">
        <v>2694.4645099999998</v>
      </c>
      <c r="L130" s="1036">
        <v>1068.61553</v>
      </c>
      <c r="M130" s="920">
        <f>1848.631+8805.20112-2694.46451</f>
        <v>7959.3676099999993</v>
      </c>
      <c r="N130" s="910">
        <v>0</v>
      </c>
      <c r="O130" s="923">
        <v>12407.3454</v>
      </c>
      <c r="P130" s="922">
        <v>0</v>
      </c>
      <c r="Q130" s="962">
        <f t="shared" si="8"/>
        <v>12407.3454</v>
      </c>
      <c r="R130" s="768">
        <v>0</v>
      </c>
      <c r="S130" s="767">
        <v>0</v>
      </c>
      <c r="T130" s="911">
        <v>0</v>
      </c>
      <c r="U130" s="920">
        <v>0</v>
      </c>
      <c r="V130" s="138">
        <v>395.7</v>
      </c>
      <c r="W130" s="160">
        <v>0</v>
      </c>
      <c r="X130" s="167">
        <v>0</v>
      </c>
      <c r="Y130" s="167">
        <v>0</v>
      </c>
      <c r="Z130" s="167">
        <v>0</v>
      </c>
      <c r="AA130" s="178" t="s">
        <v>317</v>
      </c>
      <c r="AB130" s="908" t="s">
        <v>28</v>
      </c>
      <c r="AC130" s="918" t="s">
        <v>837</v>
      </c>
      <c r="AD130" s="918" t="s">
        <v>339</v>
      </c>
      <c r="AE130" s="918" t="s">
        <v>339</v>
      </c>
      <c r="AF130" s="916" t="s">
        <v>363</v>
      </c>
    </row>
    <row r="131" spans="1:32" s="722" customFormat="1" ht="38.25" x14ac:dyDescent="0.25">
      <c r="A131" s="30" t="s">
        <v>440</v>
      </c>
      <c r="B131" s="915" t="s">
        <v>95</v>
      </c>
      <c r="C131" s="908">
        <v>2018</v>
      </c>
      <c r="D131" s="908" t="s">
        <v>94</v>
      </c>
      <c r="E131" s="914" t="s">
        <v>92</v>
      </c>
      <c r="F131" s="772" t="s">
        <v>92</v>
      </c>
      <c r="G131" s="272" t="s">
        <v>96</v>
      </c>
      <c r="H131" s="909">
        <v>6900</v>
      </c>
      <c r="I131" s="907">
        <v>498.52</v>
      </c>
      <c r="J131" s="907">
        <v>0</v>
      </c>
      <c r="K131" s="907">
        <v>0</v>
      </c>
      <c r="L131" s="895">
        <v>0</v>
      </c>
      <c r="M131" s="920">
        <v>0</v>
      </c>
      <c r="N131" s="910">
        <v>0</v>
      </c>
      <c r="O131" s="923">
        <v>0</v>
      </c>
      <c r="P131" s="922">
        <v>0</v>
      </c>
      <c r="Q131" s="962">
        <f t="shared" si="8"/>
        <v>0</v>
      </c>
      <c r="R131" s="11">
        <f>6400+1.48000000000002</f>
        <v>6401.4800000000005</v>
      </c>
      <c r="S131" s="10">
        <v>0</v>
      </c>
      <c r="T131" s="911">
        <v>0</v>
      </c>
      <c r="U131" s="920">
        <v>0</v>
      </c>
      <c r="V131" s="138">
        <v>0</v>
      </c>
      <c r="W131" s="160">
        <v>0</v>
      </c>
      <c r="X131" s="167">
        <v>0</v>
      </c>
      <c r="Y131" s="167">
        <v>0</v>
      </c>
      <c r="Z131" s="167">
        <v>0</v>
      </c>
      <c r="AA131" s="25" t="s">
        <v>843</v>
      </c>
      <c r="AB131" s="908" t="s">
        <v>17</v>
      </c>
      <c r="AC131" s="918" t="s">
        <v>565</v>
      </c>
      <c r="AD131" s="918" t="s">
        <v>338</v>
      </c>
      <c r="AE131" s="918" t="s">
        <v>338</v>
      </c>
      <c r="AF131" s="916" t="s">
        <v>365</v>
      </c>
    </row>
    <row r="132" spans="1:32" s="722" customFormat="1" ht="38.25" x14ac:dyDescent="0.25">
      <c r="A132" s="30" t="s">
        <v>441</v>
      </c>
      <c r="B132" s="915" t="s">
        <v>97</v>
      </c>
      <c r="C132" s="908">
        <v>2018</v>
      </c>
      <c r="D132" s="908" t="s">
        <v>94</v>
      </c>
      <c r="E132" s="914" t="s">
        <v>10</v>
      </c>
      <c r="F132" s="772" t="s">
        <v>98</v>
      </c>
      <c r="G132" s="272" t="s">
        <v>99</v>
      </c>
      <c r="H132" s="909">
        <v>69060</v>
      </c>
      <c r="I132" s="907">
        <v>111.8</v>
      </c>
      <c r="J132" s="907">
        <v>0</v>
      </c>
      <c r="K132" s="907">
        <v>0</v>
      </c>
      <c r="L132" s="895">
        <v>0</v>
      </c>
      <c r="M132" s="920">
        <v>0</v>
      </c>
      <c r="N132" s="910">
        <v>0</v>
      </c>
      <c r="O132" s="923">
        <v>0</v>
      </c>
      <c r="P132" s="922">
        <v>0</v>
      </c>
      <c r="Q132" s="962">
        <f t="shared" si="8"/>
        <v>0</v>
      </c>
      <c r="R132" s="768">
        <v>68948.2</v>
      </c>
      <c r="S132" s="767">
        <v>0</v>
      </c>
      <c r="T132" s="911">
        <v>0</v>
      </c>
      <c r="U132" s="920">
        <v>0</v>
      </c>
      <c r="V132" s="138">
        <v>0</v>
      </c>
      <c r="W132" s="160">
        <v>0</v>
      </c>
      <c r="X132" s="167">
        <v>0</v>
      </c>
      <c r="Y132" s="167">
        <v>0</v>
      </c>
      <c r="Z132" s="167">
        <v>0</v>
      </c>
      <c r="AA132" s="25" t="s">
        <v>317</v>
      </c>
      <c r="AB132" s="908" t="s">
        <v>17</v>
      </c>
      <c r="AC132" s="918" t="s">
        <v>356</v>
      </c>
      <c r="AD132" s="918" t="s">
        <v>338</v>
      </c>
      <c r="AE132" s="918" t="s">
        <v>338</v>
      </c>
      <c r="AF132" s="916" t="s">
        <v>365</v>
      </c>
    </row>
    <row r="133" spans="1:32" s="698" customFormat="1" ht="30" x14ac:dyDescent="0.25">
      <c r="A133" s="30" t="s">
        <v>442</v>
      </c>
      <c r="B133" s="915" t="s">
        <v>100</v>
      </c>
      <c r="C133" s="908">
        <v>2018</v>
      </c>
      <c r="D133" s="908" t="s">
        <v>94</v>
      </c>
      <c r="E133" s="914" t="s">
        <v>101</v>
      </c>
      <c r="F133" s="772" t="s">
        <v>101</v>
      </c>
      <c r="G133" s="272" t="s">
        <v>102</v>
      </c>
      <c r="H133" s="909">
        <v>1048.1600000000001</v>
      </c>
      <c r="I133" s="907">
        <v>101.94999999999999</v>
      </c>
      <c r="J133" s="907">
        <v>0</v>
      </c>
      <c r="K133" s="907">
        <v>0</v>
      </c>
      <c r="L133" s="895">
        <v>0</v>
      </c>
      <c r="M133" s="920">
        <v>0</v>
      </c>
      <c r="N133" s="910">
        <v>0</v>
      </c>
      <c r="O133" s="923">
        <v>0</v>
      </c>
      <c r="P133" s="922">
        <v>0</v>
      </c>
      <c r="Q133" s="962">
        <f t="shared" si="8"/>
        <v>0</v>
      </c>
      <c r="R133" s="11">
        <v>693.21</v>
      </c>
      <c r="S133" s="10">
        <v>0</v>
      </c>
      <c r="T133" s="911">
        <v>253</v>
      </c>
      <c r="U133" s="920">
        <v>0</v>
      </c>
      <c r="V133" s="138">
        <v>0</v>
      </c>
      <c r="W133" s="160">
        <v>0</v>
      </c>
      <c r="X133" s="167">
        <v>0</v>
      </c>
      <c r="Y133" s="167">
        <v>0</v>
      </c>
      <c r="Z133" s="167">
        <v>0</v>
      </c>
      <c r="AA133" s="178" t="s">
        <v>317</v>
      </c>
      <c r="AB133" s="908" t="s">
        <v>17</v>
      </c>
      <c r="AC133" s="918" t="s">
        <v>835</v>
      </c>
      <c r="AD133" s="918" t="s">
        <v>338</v>
      </c>
      <c r="AE133" s="918" t="s">
        <v>338</v>
      </c>
      <c r="AF133" s="916" t="s">
        <v>365</v>
      </c>
    </row>
    <row r="134" spans="1:32" s="722" customFormat="1" ht="25.5" x14ac:dyDescent="0.25">
      <c r="A134" s="30" t="s">
        <v>443</v>
      </c>
      <c r="B134" s="915" t="s">
        <v>103</v>
      </c>
      <c r="C134" s="908">
        <v>2018</v>
      </c>
      <c r="D134" s="908" t="s">
        <v>94</v>
      </c>
      <c r="E134" s="914" t="s">
        <v>10</v>
      </c>
      <c r="F134" s="772" t="s">
        <v>104</v>
      </c>
      <c r="G134" s="272" t="s">
        <v>105</v>
      </c>
      <c r="H134" s="909">
        <v>35544.959999999999</v>
      </c>
      <c r="I134" s="361">
        <v>1647.6570000000002</v>
      </c>
      <c r="J134" s="361">
        <v>0</v>
      </c>
      <c r="K134" s="361">
        <v>0</v>
      </c>
      <c r="L134" s="1036">
        <v>0</v>
      </c>
      <c r="M134" s="920">
        <v>316.173</v>
      </c>
      <c r="N134" s="910">
        <v>0</v>
      </c>
      <c r="O134" s="923">
        <v>316.173</v>
      </c>
      <c r="P134" s="922">
        <v>0</v>
      </c>
      <c r="Q134" s="962">
        <f t="shared" si="8"/>
        <v>316.173</v>
      </c>
      <c r="R134" s="11">
        <f>13000+20581.13</f>
        <v>33581.130000000005</v>
      </c>
      <c r="S134" s="10">
        <v>0</v>
      </c>
      <c r="T134" s="911">
        <v>0</v>
      </c>
      <c r="U134" s="920">
        <v>0</v>
      </c>
      <c r="V134" s="138">
        <v>0</v>
      </c>
      <c r="W134" s="160">
        <v>0</v>
      </c>
      <c r="X134" s="167">
        <v>0</v>
      </c>
      <c r="Y134" s="167">
        <v>0</v>
      </c>
      <c r="Z134" s="167">
        <v>0</v>
      </c>
      <c r="AA134" s="178" t="s">
        <v>854</v>
      </c>
      <c r="AB134" s="908" t="s">
        <v>17</v>
      </c>
      <c r="AC134" s="918" t="s">
        <v>707</v>
      </c>
      <c r="AD134" s="918" t="s">
        <v>338</v>
      </c>
      <c r="AE134" s="918" t="s">
        <v>338</v>
      </c>
      <c r="AF134" s="916" t="s">
        <v>365</v>
      </c>
    </row>
    <row r="135" spans="1:32" s="722" customFormat="1" ht="25.5" x14ac:dyDescent="0.25">
      <c r="A135" s="30" t="s">
        <v>444</v>
      </c>
      <c r="B135" s="915" t="s">
        <v>106</v>
      </c>
      <c r="C135" s="908">
        <v>2018</v>
      </c>
      <c r="D135" s="908" t="s">
        <v>94</v>
      </c>
      <c r="E135" s="914" t="s">
        <v>107</v>
      </c>
      <c r="F135" s="772" t="s">
        <v>107</v>
      </c>
      <c r="G135" s="272" t="s">
        <v>108</v>
      </c>
      <c r="H135" s="909">
        <v>950</v>
      </c>
      <c r="I135" s="361">
        <v>0</v>
      </c>
      <c r="J135" s="361">
        <v>101.64</v>
      </c>
      <c r="K135" s="361">
        <v>0</v>
      </c>
      <c r="L135" s="1036">
        <v>0</v>
      </c>
      <c r="M135" s="920">
        <v>0</v>
      </c>
      <c r="N135" s="910">
        <v>0</v>
      </c>
      <c r="O135" s="923">
        <v>101.64</v>
      </c>
      <c r="P135" s="922">
        <v>0</v>
      </c>
      <c r="Q135" s="962">
        <f t="shared" si="8"/>
        <v>101.64</v>
      </c>
      <c r="R135" s="11">
        <f>950-101.64</f>
        <v>848.36</v>
      </c>
      <c r="S135" s="10">
        <v>0</v>
      </c>
      <c r="T135" s="911">
        <v>0</v>
      </c>
      <c r="U135" s="920">
        <v>0</v>
      </c>
      <c r="V135" s="138">
        <v>0</v>
      </c>
      <c r="W135" s="160">
        <v>0</v>
      </c>
      <c r="X135" s="167">
        <v>0</v>
      </c>
      <c r="Y135" s="167">
        <v>0</v>
      </c>
      <c r="Z135" s="167">
        <v>0</v>
      </c>
      <c r="AA135" s="25" t="s">
        <v>317</v>
      </c>
      <c r="AB135" s="908" t="s">
        <v>17</v>
      </c>
      <c r="AC135" s="918" t="s">
        <v>406</v>
      </c>
      <c r="AD135" s="918" t="s">
        <v>338</v>
      </c>
      <c r="AE135" s="918" t="s">
        <v>338</v>
      </c>
      <c r="AF135" s="916" t="s">
        <v>365</v>
      </c>
    </row>
    <row r="136" spans="1:32" s="722" customFormat="1" ht="38.25" x14ac:dyDescent="0.25">
      <c r="A136" s="771" t="s">
        <v>445</v>
      </c>
      <c r="B136" s="915" t="s">
        <v>109</v>
      </c>
      <c r="C136" s="908">
        <v>2018</v>
      </c>
      <c r="D136" s="908" t="s">
        <v>94</v>
      </c>
      <c r="E136" s="914" t="s">
        <v>425</v>
      </c>
      <c r="F136" s="1349" t="s">
        <v>425</v>
      </c>
      <c r="G136" s="272" t="s">
        <v>110</v>
      </c>
      <c r="H136" s="909">
        <v>4200</v>
      </c>
      <c r="I136" s="32">
        <v>0</v>
      </c>
      <c r="J136" s="32">
        <v>0</v>
      </c>
      <c r="K136" s="32">
        <v>0</v>
      </c>
      <c r="L136" s="1350">
        <v>0</v>
      </c>
      <c r="M136" s="920">
        <v>0</v>
      </c>
      <c r="N136" s="910">
        <v>0</v>
      </c>
      <c r="O136" s="924">
        <v>0</v>
      </c>
      <c r="P136" s="925">
        <v>0</v>
      </c>
      <c r="Q136" s="962">
        <f t="shared" si="8"/>
        <v>0</v>
      </c>
      <c r="R136" s="911">
        <v>4200</v>
      </c>
      <c r="S136" s="767">
        <v>0</v>
      </c>
      <c r="T136" s="911">
        <v>0</v>
      </c>
      <c r="U136" s="920">
        <v>0</v>
      </c>
      <c r="V136" s="138">
        <v>0</v>
      </c>
      <c r="W136" s="160">
        <v>0</v>
      </c>
      <c r="X136" s="167">
        <v>0</v>
      </c>
      <c r="Y136" s="167">
        <v>0</v>
      </c>
      <c r="Z136" s="167">
        <v>0</v>
      </c>
      <c r="AA136" s="25" t="s">
        <v>317</v>
      </c>
      <c r="AB136" s="908" t="s">
        <v>17</v>
      </c>
      <c r="AC136" s="918" t="s">
        <v>565</v>
      </c>
      <c r="AD136" s="918" t="s">
        <v>338</v>
      </c>
      <c r="AE136" s="918" t="s">
        <v>338</v>
      </c>
      <c r="AF136" s="916" t="s">
        <v>365</v>
      </c>
    </row>
    <row r="137" spans="1:32" s="722" customFormat="1" ht="38.25" x14ac:dyDescent="0.25">
      <c r="A137" s="771" t="s">
        <v>446</v>
      </c>
      <c r="B137" s="915" t="s">
        <v>112</v>
      </c>
      <c r="C137" s="908">
        <v>2018</v>
      </c>
      <c r="D137" s="908" t="s">
        <v>111</v>
      </c>
      <c r="E137" s="914" t="s">
        <v>113</v>
      </c>
      <c r="F137" s="1349" t="s">
        <v>113</v>
      </c>
      <c r="G137" s="780" t="s">
        <v>114</v>
      </c>
      <c r="H137" s="909">
        <v>4200</v>
      </c>
      <c r="I137" s="32">
        <v>170</v>
      </c>
      <c r="J137" s="32">
        <v>0</v>
      </c>
      <c r="K137" s="32">
        <v>0</v>
      </c>
      <c r="L137" s="1350">
        <v>0</v>
      </c>
      <c r="M137" s="920">
        <v>0</v>
      </c>
      <c r="N137" s="910">
        <v>0</v>
      </c>
      <c r="O137" s="924">
        <v>0</v>
      </c>
      <c r="P137" s="925">
        <v>0</v>
      </c>
      <c r="Q137" s="962">
        <f t="shared" si="8"/>
        <v>0</v>
      </c>
      <c r="R137" s="911">
        <v>4030</v>
      </c>
      <c r="S137" s="767">
        <v>0</v>
      </c>
      <c r="T137" s="911">
        <v>0</v>
      </c>
      <c r="U137" s="920">
        <v>0</v>
      </c>
      <c r="V137" s="138">
        <v>0</v>
      </c>
      <c r="W137" s="160">
        <v>0</v>
      </c>
      <c r="X137" s="167">
        <v>0</v>
      </c>
      <c r="Y137" s="167">
        <v>0</v>
      </c>
      <c r="Z137" s="167">
        <v>0</v>
      </c>
      <c r="AA137" s="25" t="s">
        <v>317</v>
      </c>
      <c r="AB137" s="908" t="s">
        <v>17</v>
      </c>
      <c r="AC137" s="918" t="s">
        <v>356</v>
      </c>
      <c r="AD137" s="918" t="s">
        <v>338</v>
      </c>
      <c r="AE137" s="918" t="s">
        <v>338</v>
      </c>
      <c r="AF137" s="916" t="s">
        <v>365</v>
      </c>
    </row>
    <row r="138" spans="1:32" s="722" customFormat="1" ht="25.5" x14ac:dyDescent="0.25">
      <c r="A138" s="30" t="s">
        <v>447</v>
      </c>
      <c r="B138" s="915" t="s">
        <v>234</v>
      </c>
      <c r="C138" s="908">
        <v>2018</v>
      </c>
      <c r="D138" s="45" t="s">
        <v>48</v>
      </c>
      <c r="E138" s="31" t="s">
        <v>118</v>
      </c>
      <c r="F138" s="391" t="s">
        <v>118</v>
      </c>
      <c r="G138" s="780" t="s">
        <v>119</v>
      </c>
      <c r="H138" s="909">
        <v>6500</v>
      </c>
      <c r="I138" s="361">
        <v>0</v>
      </c>
      <c r="J138" s="361">
        <v>0</v>
      </c>
      <c r="K138" s="361">
        <v>0</v>
      </c>
      <c r="L138" s="1036">
        <v>0</v>
      </c>
      <c r="M138" s="920">
        <v>0</v>
      </c>
      <c r="N138" s="910">
        <v>0</v>
      </c>
      <c r="O138" s="923">
        <v>0</v>
      </c>
      <c r="P138" s="922">
        <v>0</v>
      </c>
      <c r="Q138" s="962">
        <f t="shared" si="8"/>
        <v>0</v>
      </c>
      <c r="R138" s="11">
        <v>6380</v>
      </c>
      <c r="S138" s="10">
        <v>0</v>
      </c>
      <c r="T138" s="911">
        <v>0</v>
      </c>
      <c r="U138" s="920">
        <v>0</v>
      </c>
      <c r="V138" s="138">
        <v>120</v>
      </c>
      <c r="W138" s="160">
        <v>0</v>
      </c>
      <c r="X138" s="167">
        <v>0</v>
      </c>
      <c r="Y138" s="167">
        <v>0</v>
      </c>
      <c r="Z138" s="167">
        <v>0</v>
      </c>
      <c r="AA138" s="25" t="s">
        <v>317</v>
      </c>
      <c r="AB138" s="908" t="s">
        <v>17</v>
      </c>
      <c r="AC138" s="918" t="s">
        <v>839</v>
      </c>
      <c r="AD138" s="918" t="s">
        <v>338</v>
      </c>
      <c r="AE138" s="918" t="s">
        <v>338</v>
      </c>
      <c r="AF138" s="916" t="s">
        <v>365</v>
      </c>
    </row>
    <row r="139" spans="1:32" s="722" customFormat="1" ht="38.25" x14ac:dyDescent="0.25">
      <c r="A139" s="30" t="s">
        <v>448</v>
      </c>
      <c r="B139" s="915" t="s">
        <v>235</v>
      </c>
      <c r="C139" s="908">
        <v>2018</v>
      </c>
      <c r="D139" s="45" t="s">
        <v>48</v>
      </c>
      <c r="E139" s="31" t="s">
        <v>10</v>
      </c>
      <c r="F139" s="1003" t="s">
        <v>120</v>
      </c>
      <c r="G139" s="780" t="s">
        <v>121</v>
      </c>
      <c r="H139" s="909">
        <v>13579</v>
      </c>
      <c r="I139" s="361">
        <v>0</v>
      </c>
      <c r="J139" s="361">
        <v>0</v>
      </c>
      <c r="K139" s="361">
        <v>4732.8223199999993</v>
      </c>
      <c r="L139" s="1036">
        <v>35.090000000000003</v>
      </c>
      <c r="M139" s="920">
        <f>6000-732.82232</f>
        <v>5267.1776799999998</v>
      </c>
      <c r="N139" s="910">
        <v>3579</v>
      </c>
      <c r="O139" s="923">
        <v>13579</v>
      </c>
      <c r="P139" s="922">
        <v>0</v>
      </c>
      <c r="Q139" s="962">
        <f t="shared" si="8"/>
        <v>13579</v>
      </c>
      <c r="R139" s="11">
        <v>0</v>
      </c>
      <c r="S139" s="10">
        <v>0</v>
      </c>
      <c r="T139" s="911">
        <v>0</v>
      </c>
      <c r="U139" s="920">
        <v>0</v>
      </c>
      <c r="V139" s="138">
        <v>0</v>
      </c>
      <c r="W139" s="160">
        <v>0</v>
      </c>
      <c r="X139" s="167">
        <v>0</v>
      </c>
      <c r="Y139" s="167">
        <v>0</v>
      </c>
      <c r="Z139" s="167">
        <v>0</v>
      </c>
      <c r="AA139" s="25" t="s">
        <v>317</v>
      </c>
      <c r="AB139" s="916" t="s">
        <v>28</v>
      </c>
      <c r="AC139" s="918" t="s">
        <v>617</v>
      </c>
      <c r="AD139" s="918" t="s">
        <v>339</v>
      </c>
      <c r="AE139" s="918" t="s">
        <v>339</v>
      </c>
      <c r="AF139" s="916" t="s">
        <v>363</v>
      </c>
    </row>
    <row r="140" spans="1:32" s="722" customFormat="1" ht="26.25" thickBot="1" x14ac:dyDescent="0.3">
      <c r="A140" s="69" t="s">
        <v>449</v>
      </c>
      <c r="B140" s="70" t="s">
        <v>407</v>
      </c>
      <c r="C140" s="893">
        <v>2018</v>
      </c>
      <c r="D140" s="893" t="s">
        <v>358</v>
      </c>
      <c r="E140" s="67" t="s">
        <v>122</v>
      </c>
      <c r="F140" s="67" t="s">
        <v>122</v>
      </c>
      <c r="G140" s="301" t="s">
        <v>123</v>
      </c>
      <c r="H140" s="224">
        <v>3500</v>
      </c>
      <c r="I140" s="224">
        <v>164.56</v>
      </c>
      <c r="J140" s="224">
        <v>0</v>
      </c>
      <c r="K140" s="224">
        <v>0</v>
      </c>
      <c r="L140" s="526">
        <v>0</v>
      </c>
      <c r="M140" s="123">
        <v>0</v>
      </c>
      <c r="N140" s="21">
        <v>0</v>
      </c>
      <c r="O140" s="751">
        <v>0</v>
      </c>
      <c r="P140" s="635">
        <v>0</v>
      </c>
      <c r="Q140" s="964">
        <f t="shared" si="8"/>
        <v>0</v>
      </c>
      <c r="R140" s="22">
        <v>3335.44</v>
      </c>
      <c r="S140" s="23">
        <v>0</v>
      </c>
      <c r="T140" s="737">
        <v>0</v>
      </c>
      <c r="U140" s="738">
        <v>0</v>
      </c>
      <c r="V140" s="312">
        <v>0</v>
      </c>
      <c r="W140" s="157">
        <v>0</v>
      </c>
      <c r="X140" s="169">
        <v>0</v>
      </c>
      <c r="Y140" s="169">
        <v>0</v>
      </c>
      <c r="Z140" s="169">
        <v>0</v>
      </c>
      <c r="AA140" s="903" t="s">
        <v>894</v>
      </c>
      <c r="AB140" s="893" t="s">
        <v>17</v>
      </c>
      <c r="AC140" s="119" t="s">
        <v>835</v>
      </c>
      <c r="AD140" s="119" t="s">
        <v>338</v>
      </c>
      <c r="AE140" s="119" t="s">
        <v>338</v>
      </c>
      <c r="AF140" s="72" t="s">
        <v>365</v>
      </c>
    </row>
    <row r="141" spans="1:32" s="722" customFormat="1" ht="38.25" x14ac:dyDescent="0.25">
      <c r="A141" s="58" t="s">
        <v>450</v>
      </c>
      <c r="B141" s="889" t="s">
        <v>324</v>
      </c>
      <c r="C141" s="886">
        <v>2019</v>
      </c>
      <c r="D141" s="908" t="s">
        <v>328</v>
      </c>
      <c r="E141" s="886" t="s">
        <v>236</v>
      </c>
      <c r="F141" s="886" t="s">
        <v>236</v>
      </c>
      <c r="G141" s="84" t="s">
        <v>237</v>
      </c>
      <c r="H141" s="250">
        <v>3000</v>
      </c>
      <c r="I141" s="361">
        <v>0</v>
      </c>
      <c r="J141" s="361">
        <v>0</v>
      </c>
      <c r="K141" s="361">
        <v>0</v>
      </c>
      <c r="L141" s="1036">
        <v>0</v>
      </c>
      <c r="M141" s="787">
        <v>0</v>
      </c>
      <c r="N141" s="881">
        <v>0</v>
      </c>
      <c r="O141" s="923">
        <v>0</v>
      </c>
      <c r="P141" s="922">
        <v>0</v>
      </c>
      <c r="Q141" s="961">
        <f t="shared" si="8"/>
        <v>0</v>
      </c>
      <c r="R141" s="634">
        <v>450</v>
      </c>
      <c r="S141" s="254">
        <v>0</v>
      </c>
      <c r="T141" s="778">
        <v>0</v>
      </c>
      <c r="U141" s="897">
        <v>0</v>
      </c>
      <c r="V141" s="313">
        <v>2550</v>
      </c>
      <c r="W141" s="254">
        <v>0</v>
      </c>
      <c r="X141" s="255">
        <v>0</v>
      </c>
      <c r="Y141" s="255">
        <v>0</v>
      </c>
      <c r="Z141" s="255">
        <v>0</v>
      </c>
      <c r="AA141" s="917" t="s">
        <v>317</v>
      </c>
      <c r="AB141" s="886" t="s">
        <v>17</v>
      </c>
      <c r="AC141" s="918" t="s">
        <v>356</v>
      </c>
      <c r="AD141" s="784" t="s">
        <v>338</v>
      </c>
      <c r="AE141" s="784" t="s">
        <v>338</v>
      </c>
      <c r="AF141" s="779" t="s">
        <v>365</v>
      </c>
    </row>
    <row r="142" spans="1:32" s="722" customFormat="1" ht="38.25" x14ac:dyDescent="0.25">
      <c r="A142" s="771" t="s">
        <v>451</v>
      </c>
      <c r="B142" s="915" t="s">
        <v>324</v>
      </c>
      <c r="C142" s="908">
        <v>2019</v>
      </c>
      <c r="D142" s="908" t="s">
        <v>328</v>
      </c>
      <c r="E142" s="908" t="s">
        <v>92</v>
      </c>
      <c r="F142" s="908" t="s">
        <v>92</v>
      </c>
      <c r="G142" s="898" t="s">
        <v>238</v>
      </c>
      <c r="H142" s="172">
        <v>400</v>
      </c>
      <c r="I142" s="361">
        <v>0</v>
      </c>
      <c r="J142" s="361">
        <v>0</v>
      </c>
      <c r="K142" s="361">
        <v>0</v>
      </c>
      <c r="L142" s="1036">
        <v>0</v>
      </c>
      <c r="M142" s="920">
        <v>0</v>
      </c>
      <c r="N142" s="910">
        <v>0</v>
      </c>
      <c r="O142" s="923">
        <v>0</v>
      </c>
      <c r="P142" s="922">
        <v>0</v>
      </c>
      <c r="Q142" s="962">
        <f t="shared" si="8"/>
        <v>0</v>
      </c>
      <c r="R142" s="672">
        <v>400</v>
      </c>
      <c r="S142" s="160">
        <v>0</v>
      </c>
      <c r="T142" s="911">
        <v>0</v>
      </c>
      <c r="U142" s="920">
        <v>0</v>
      </c>
      <c r="V142" s="138">
        <v>0</v>
      </c>
      <c r="W142" s="160">
        <v>0</v>
      </c>
      <c r="X142" s="167">
        <v>0</v>
      </c>
      <c r="Y142" s="167">
        <v>0</v>
      </c>
      <c r="Z142" s="167">
        <v>0</v>
      </c>
      <c r="AA142" s="25" t="s">
        <v>317</v>
      </c>
      <c r="AB142" s="908" t="s">
        <v>17</v>
      </c>
      <c r="AC142" s="918" t="s">
        <v>356</v>
      </c>
      <c r="AD142" s="918" t="s">
        <v>338</v>
      </c>
      <c r="AE142" s="918" t="s">
        <v>338</v>
      </c>
      <c r="AF142" s="916" t="s">
        <v>365</v>
      </c>
    </row>
    <row r="143" spans="1:32" s="722" customFormat="1" ht="38.25" x14ac:dyDescent="0.25">
      <c r="A143" s="771" t="s">
        <v>452</v>
      </c>
      <c r="B143" s="915" t="s">
        <v>324</v>
      </c>
      <c r="C143" s="908">
        <v>2019</v>
      </c>
      <c r="D143" s="908" t="s">
        <v>328</v>
      </c>
      <c r="E143" s="908" t="s">
        <v>92</v>
      </c>
      <c r="F143" s="908" t="s">
        <v>92</v>
      </c>
      <c r="G143" s="898" t="s">
        <v>239</v>
      </c>
      <c r="H143" s="172">
        <v>6500</v>
      </c>
      <c r="I143" s="361">
        <v>0</v>
      </c>
      <c r="J143" s="361">
        <v>0</v>
      </c>
      <c r="K143" s="361">
        <v>0</v>
      </c>
      <c r="L143" s="1036">
        <v>0</v>
      </c>
      <c r="M143" s="920">
        <v>0</v>
      </c>
      <c r="N143" s="910">
        <v>0</v>
      </c>
      <c r="O143" s="923">
        <v>0</v>
      </c>
      <c r="P143" s="922">
        <v>0</v>
      </c>
      <c r="Q143" s="962">
        <f t="shared" si="8"/>
        <v>0</v>
      </c>
      <c r="R143" s="672">
        <v>6500</v>
      </c>
      <c r="S143" s="160">
        <v>0</v>
      </c>
      <c r="T143" s="911">
        <v>0</v>
      </c>
      <c r="U143" s="920">
        <v>0</v>
      </c>
      <c r="V143" s="138">
        <v>0</v>
      </c>
      <c r="W143" s="160">
        <v>0</v>
      </c>
      <c r="X143" s="167">
        <v>0</v>
      </c>
      <c r="Y143" s="167">
        <v>0</v>
      </c>
      <c r="Z143" s="167">
        <v>0</v>
      </c>
      <c r="AA143" s="25" t="s">
        <v>317</v>
      </c>
      <c r="AB143" s="908" t="s">
        <v>17</v>
      </c>
      <c r="AC143" s="918" t="s">
        <v>356</v>
      </c>
      <c r="AD143" s="918" t="s">
        <v>338</v>
      </c>
      <c r="AE143" s="918" t="s">
        <v>338</v>
      </c>
      <c r="AF143" s="916" t="s">
        <v>365</v>
      </c>
    </row>
    <row r="144" spans="1:32" s="722" customFormat="1" ht="38.25" x14ac:dyDescent="0.25">
      <c r="A144" s="771" t="s">
        <v>453</v>
      </c>
      <c r="B144" s="915" t="s">
        <v>324</v>
      </c>
      <c r="C144" s="908">
        <v>2019</v>
      </c>
      <c r="D144" s="908" t="s">
        <v>328</v>
      </c>
      <c r="E144" s="908" t="s">
        <v>230</v>
      </c>
      <c r="F144" s="908" t="s">
        <v>230</v>
      </c>
      <c r="G144" s="898" t="s">
        <v>240</v>
      </c>
      <c r="H144" s="252">
        <v>370</v>
      </c>
      <c r="I144" s="361">
        <v>0</v>
      </c>
      <c r="J144" s="361">
        <v>0</v>
      </c>
      <c r="K144" s="361">
        <v>0</v>
      </c>
      <c r="L144" s="1036">
        <v>0</v>
      </c>
      <c r="M144" s="920">
        <v>0</v>
      </c>
      <c r="N144" s="910">
        <v>0</v>
      </c>
      <c r="O144" s="923">
        <v>0</v>
      </c>
      <c r="P144" s="922">
        <v>0</v>
      </c>
      <c r="Q144" s="962">
        <f t="shared" si="8"/>
        <v>0</v>
      </c>
      <c r="R144" s="438">
        <v>220</v>
      </c>
      <c r="S144" s="160">
        <v>0</v>
      </c>
      <c r="T144" s="911">
        <v>0</v>
      </c>
      <c r="U144" s="920">
        <v>0</v>
      </c>
      <c r="V144" s="138">
        <v>150</v>
      </c>
      <c r="W144" s="160">
        <v>0</v>
      </c>
      <c r="X144" s="167">
        <v>0</v>
      </c>
      <c r="Y144" s="167">
        <v>0</v>
      </c>
      <c r="Z144" s="167">
        <v>0</v>
      </c>
      <c r="AA144" s="25" t="s">
        <v>317</v>
      </c>
      <c r="AB144" s="908" t="s">
        <v>17</v>
      </c>
      <c r="AC144" s="918" t="s">
        <v>356</v>
      </c>
      <c r="AD144" s="918" t="s">
        <v>338</v>
      </c>
      <c r="AE144" s="918" t="s">
        <v>338</v>
      </c>
      <c r="AF144" s="916" t="s">
        <v>365</v>
      </c>
    </row>
    <row r="145" spans="1:32" s="722" customFormat="1" ht="38.25" x14ac:dyDescent="0.25">
      <c r="A145" s="771" t="s">
        <v>454</v>
      </c>
      <c r="B145" s="915" t="s">
        <v>324</v>
      </c>
      <c r="C145" s="908">
        <v>2019</v>
      </c>
      <c r="D145" s="908" t="s">
        <v>328</v>
      </c>
      <c r="E145" s="908" t="s">
        <v>241</v>
      </c>
      <c r="F145" s="908" t="s">
        <v>241</v>
      </c>
      <c r="G145" s="898" t="s">
        <v>298</v>
      </c>
      <c r="H145" s="252">
        <v>600</v>
      </c>
      <c r="I145" s="361">
        <v>0</v>
      </c>
      <c r="J145" s="361">
        <v>0</v>
      </c>
      <c r="K145" s="361">
        <v>0</v>
      </c>
      <c r="L145" s="1036">
        <v>0</v>
      </c>
      <c r="M145" s="920">
        <v>0</v>
      </c>
      <c r="N145" s="910">
        <v>0</v>
      </c>
      <c r="O145" s="923">
        <v>0</v>
      </c>
      <c r="P145" s="922">
        <v>0</v>
      </c>
      <c r="Q145" s="962">
        <f t="shared" si="8"/>
        <v>0</v>
      </c>
      <c r="R145" s="438">
        <v>300</v>
      </c>
      <c r="S145" s="160">
        <v>0</v>
      </c>
      <c r="T145" s="911">
        <v>0</v>
      </c>
      <c r="U145" s="920">
        <v>0</v>
      </c>
      <c r="V145" s="138">
        <v>300</v>
      </c>
      <c r="W145" s="160">
        <v>0</v>
      </c>
      <c r="X145" s="167">
        <v>0</v>
      </c>
      <c r="Y145" s="167">
        <v>0</v>
      </c>
      <c r="Z145" s="167">
        <v>0</v>
      </c>
      <c r="AA145" s="25" t="s">
        <v>317</v>
      </c>
      <c r="AB145" s="908" t="s">
        <v>17</v>
      </c>
      <c r="AC145" s="918" t="s">
        <v>356</v>
      </c>
      <c r="AD145" s="918" t="s">
        <v>338</v>
      </c>
      <c r="AE145" s="918" t="s">
        <v>338</v>
      </c>
      <c r="AF145" s="916" t="s">
        <v>365</v>
      </c>
    </row>
    <row r="146" spans="1:32" s="722" customFormat="1" ht="38.25" x14ac:dyDescent="0.25">
      <c r="A146" s="771" t="s">
        <v>455</v>
      </c>
      <c r="B146" s="915" t="s">
        <v>324</v>
      </c>
      <c r="C146" s="908">
        <v>2019</v>
      </c>
      <c r="D146" s="908" t="s">
        <v>328</v>
      </c>
      <c r="E146" s="908" t="s">
        <v>242</v>
      </c>
      <c r="F146" s="908" t="s">
        <v>242</v>
      </c>
      <c r="G146" s="898" t="s">
        <v>243</v>
      </c>
      <c r="H146" s="252">
        <v>800</v>
      </c>
      <c r="I146" s="361">
        <v>0</v>
      </c>
      <c r="J146" s="361">
        <v>0</v>
      </c>
      <c r="K146" s="361">
        <v>0</v>
      </c>
      <c r="L146" s="1036">
        <v>0</v>
      </c>
      <c r="M146" s="920">
        <v>0</v>
      </c>
      <c r="N146" s="910">
        <v>0</v>
      </c>
      <c r="O146" s="923">
        <v>0</v>
      </c>
      <c r="P146" s="922">
        <v>0</v>
      </c>
      <c r="Q146" s="962">
        <f t="shared" si="8"/>
        <v>0</v>
      </c>
      <c r="R146" s="438">
        <v>800</v>
      </c>
      <c r="S146" s="160">
        <v>0</v>
      </c>
      <c r="T146" s="911">
        <v>0</v>
      </c>
      <c r="U146" s="920">
        <v>0</v>
      </c>
      <c r="V146" s="138">
        <v>0</v>
      </c>
      <c r="W146" s="160">
        <v>0</v>
      </c>
      <c r="X146" s="167">
        <v>0</v>
      </c>
      <c r="Y146" s="167">
        <v>0</v>
      </c>
      <c r="Z146" s="167">
        <v>0</v>
      </c>
      <c r="AA146" s="25" t="s">
        <v>317</v>
      </c>
      <c r="AB146" s="908" t="s">
        <v>17</v>
      </c>
      <c r="AC146" s="918" t="s">
        <v>356</v>
      </c>
      <c r="AD146" s="918" t="s">
        <v>338</v>
      </c>
      <c r="AE146" s="918" t="s">
        <v>338</v>
      </c>
      <c r="AF146" s="916" t="s">
        <v>365</v>
      </c>
    </row>
    <row r="147" spans="1:32" s="722" customFormat="1" ht="25.5" x14ac:dyDescent="0.25">
      <c r="A147" s="771" t="s">
        <v>456</v>
      </c>
      <c r="B147" s="915" t="s">
        <v>324</v>
      </c>
      <c r="C147" s="908">
        <v>2019</v>
      </c>
      <c r="D147" s="908" t="s">
        <v>328</v>
      </c>
      <c r="E147" s="908" t="s">
        <v>244</v>
      </c>
      <c r="F147" s="908" t="s">
        <v>244</v>
      </c>
      <c r="G147" s="898" t="s">
        <v>245</v>
      </c>
      <c r="H147" s="252">
        <v>1400</v>
      </c>
      <c r="I147" s="361">
        <v>0</v>
      </c>
      <c r="J147" s="361">
        <v>0</v>
      </c>
      <c r="K147" s="361">
        <v>0</v>
      </c>
      <c r="L147" s="1036">
        <v>0</v>
      </c>
      <c r="M147" s="920">
        <v>0</v>
      </c>
      <c r="N147" s="910">
        <v>0</v>
      </c>
      <c r="O147" s="923">
        <v>0</v>
      </c>
      <c r="P147" s="922">
        <v>0</v>
      </c>
      <c r="Q147" s="962">
        <f t="shared" si="8"/>
        <v>0</v>
      </c>
      <c r="R147" s="672">
        <v>1400</v>
      </c>
      <c r="S147" s="160">
        <v>0</v>
      </c>
      <c r="T147" s="911">
        <v>0</v>
      </c>
      <c r="U147" s="920">
        <v>0</v>
      </c>
      <c r="V147" s="138">
        <v>0</v>
      </c>
      <c r="W147" s="160">
        <v>0</v>
      </c>
      <c r="X147" s="167">
        <v>0</v>
      </c>
      <c r="Y147" s="167">
        <v>0</v>
      </c>
      <c r="Z147" s="167">
        <v>0</v>
      </c>
      <c r="AA147" s="25" t="s">
        <v>317</v>
      </c>
      <c r="AB147" s="908" t="s">
        <v>17</v>
      </c>
      <c r="AC147" s="918" t="s">
        <v>785</v>
      </c>
      <c r="AD147" s="918" t="s">
        <v>338</v>
      </c>
      <c r="AE147" s="918" t="s">
        <v>338</v>
      </c>
      <c r="AF147" s="916" t="s">
        <v>365</v>
      </c>
    </row>
    <row r="148" spans="1:32" s="722" customFormat="1" ht="38.25" x14ac:dyDescent="0.25">
      <c r="A148" s="71" t="s">
        <v>457</v>
      </c>
      <c r="B148" s="61" t="s">
        <v>324</v>
      </c>
      <c r="C148" s="34">
        <v>2019</v>
      </c>
      <c r="D148" s="34" t="s">
        <v>328</v>
      </c>
      <c r="E148" s="34" t="s">
        <v>246</v>
      </c>
      <c r="F148" s="34" t="s">
        <v>246</v>
      </c>
      <c r="G148" s="85" t="s">
        <v>247</v>
      </c>
      <c r="H148" s="305">
        <f>600-600</f>
        <v>0</v>
      </c>
      <c r="I148" s="362">
        <v>0</v>
      </c>
      <c r="J148" s="362">
        <v>0</v>
      </c>
      <c r="K148" s="362">
        <v>0</v>
      </c>
      <c r="L148" s="500">
        <v>0</v>
      </c>
      <c r="M148" s="124">
        <v>0</v>
      </c>
      <c r="N148" s="7">
        <v>0</v>
      </c>
      <c r="O148" s="801">
        <v>0</v>
      </c>
      <c r="P148" s="645">
        <v>0</v>
      </c>
      <c r="Q148" s="970">
        <f t="shared" si="8"/>
        <v>0</v>
      </c>
      <c r="R148" s="673">
        <f>350-350</f>
        <v>0</v>
      </c>
      <c r="S148" s="165">
        <v>0</v>
      </c>
      <c r="T148" s="16">
        <v>0</v>
      </c>
      <c r="U148" s="124">
        <v>0</v>
      </c>
      <c r="V148" s="150">
        <f>250-250</f>
        <v>0</v>
      </c>
      <c r="W148" s="165">
        <v>0</v>
      </c>
      <c r="X148" s="168">
        <v>0</v>
      </c>
      <c r="Y148" s="168">
        <v>0</v>
      </c>
      <c r="Z148" s="168">
        <v>0</v>
      </c>
      <c r="AA148" s="60" t="s">
        <v>1016</v>
      </c>
      <c r="AB148" s="34" t="s">
        <v>341</v>
      </c>
      <c r="AC148" s="127" t="s">
        <v>619</v>
      </c>
      <c r="AD148" s="127" t="s">
        <v>338</v>
      </c>
      <c r="AE148" s="127" t="s">
        <v>338</v>
      </c>
      <c r="AF148" s="33" t="s">
        <v>365</v>
      </c>
    </row>
    <row r="149" spans="1:32" s="722" customFormat="1" ht="25.5" x14ac:dyDescent="0.25">
      <c r="A149" s="771" t="s">
        <v>458</v>
      </c>
      <c r="B149" s="915" t="s">
        <v>324</v>
      </c>
      <c r="C149" s="908">
        <v>2019</v>
      </c>
      <c r="D149" s="908" t="s">
        <v>328</v>
      </c>
      <c r="E149" s="908" t="s">
        <v>10</v>
      </c>
      <c r="F149" s="908" t="s">
        <v>250</v>
      </c>
      <c r="G149" s="898" t="s">
        <v>251</v>
      </c>
      <c r="H149" s="252">
        <v>17000</v>
      </c>
      <c r="I149" s="361">
        <v>0</v>
      </c>
      <c r="J149" s="361">
        <v>0</v>
      </c>
      <c r="K149" s="361">
        <v>0</v>
      </c>
      <c r="L149" s="1036">
        <v>0</v>
      </c>
      <c r="M149" s="920">
        <v>0</v>
      </c>
      <c r="N149" s="910">
        <v>0</v>
      </c>
      <c r="O149" s="923">
        <v>0</v>
      </c>
      <c r="P149" s="922">
        <v>0</v>
      </c>
      <c r="Q149" s="962">
        <f t="shared" si="8"/>
        <v>0</v>
      </c>
      <c r="R149" s="672">
        <v>0</v>
      </c>
      <c r="S149" s="160">
        <v>17000</v>
      </c>
      <c r="T149" s="911">
        <v>0</v>
      </c>
      <c r="U149" s="920">
        <v>0</v>
      </c>
      <c r="V149" s="138">
        <v>0</v>
      </c>
      <c r="W149" s="160">
        <v>0</v>
      </c>
      <c r="X149" s="167">
        <v>0</v>
      </c>
      <c r="Y149" s="167">
        <v>0</v>
      </c>
      <c r="Z149" s="167">
        <v>0</v>
      </c>
      <c r="AA149" s="25" t="s">
        <v>317</v>
      </c>
      <c r="AB149" s="908" t="s">
        <v>17</v>
      </c>
      <c r="AC149" s="918" t="s">
        <v>840</v>
      </c>
      <c r="AD149" s="918" t="s">
        <v>338</v>
      </c>
      <c r="AE149" s="918" t="s">
        <v>338</v>
      </c>
      <c r="AF149" s="916" t="s">
        <v>365</v>
      </c>
    </row>
    <row r="150" spans="1:32" s="722" customFormat="1" ht="38.25" x14ac:dyDescent="0.25">
      <c r="A150" s="771" t="s">
        <v>459</v>
      </c>
      <c r="B150" s="915" t="s">
        <v>324</v>
      </c>
      <c r="C150" s="908">
        <v>2019</v>
      </c>
      <c r="D150" s="908" t="s">
        <v>328</v>
      </c>
      <c r="E150" s="908" t="s">
        <v>10</v>
      </c>
      <c r="F150" s="908" t="s">
        <v>229</v>
      </c>
      <c r="G150" s="898" t="s">
        <v>252</v>
      </c>
      <c r="H150" s="252">
        <v>12100</v>
      </c>
      <c r="I150" s="361">
        <v>0</v>
      </c>
      <c r="J150" s="361">
        <v>0</v>
      </c>
      <c r="K150" s="361">
        <v>0</v>
      </c>
      <c r="L150" s="1036">
        <v>0</v>
      </c>
      <c r="M150" s="920">
        <v>0</v>
      </c>
      <c r="N150" s="910">
        <v>0</v>
      </c>
      <c r="O150" s="923">
        <v>0</v>
      </c>
      <c r="P150" s="922">
        <v>0</v>
      </c>
      <c r="Q150" s="962">
        <f t="shared" si="8"/>
        <v>0</v>
      </c>
      <c r="R150" s="438">
        <v>12100</v>
      </c>
      <c r="S150" s="160">
        <v>0</v>
      </c>
      <c r="T150" s="911">
        <v>0</v>
      </c>
      <c r="U150" s="920">
        <v>0</v>
      </c>
      <c r="V150" s="138">
        <v>0</v>
      </c>
      <c r="W150" s="160">
        <v>0</v>
      </c>
      <c r="X150" s="167">
        <v>0</v>
      </c>
      <c r="Y150" s="167">
        <v>0</v>
      </c>
      <c r="Z150" s="167">
        <v>0</v>
      </c>
      <c r="AA150" s="25" t="s">
        <v>317</v>
      </c>
      <c r="AB150" s="908" t="s">
        <v>17</v>
      </c>
      <c r="AC150" s="918" t="s">
        <v>406</v>
      </c>
      <c r="AD150" s="918" t="s">
        <v>338</v>
      </c>
      <c r="AE150" s="918" t="s">
        <v>338</v>
      </c>
      <c r="AF150" s="916" t="s">
        <v>365</v>
      </c>
    </row>
    <row r="151" spans="1:32" s="698" customFormat="1" ht="25.5" x14ac:dyDescent="0.25">
      <c r="A151" s="71" t="s">
        <v>460</v>
      </c>
      <c r="B151" s="61" t="s">
        <v>643</v>
      </c>
      <c r="C151" s="34">
        <v>2019</v>
      </c>
      <c r="D151" s="34" t="s">
        <v>328</v>
      </c>
      <c r="E151" s="34" t="s">
        <v>253</v>
      </c>
      <c r="F151" s="34" t="s">
        <v>253</v>
      </c>
      <c r="G151" s="85" t="s">
        <v>254</v>
      </c>
      <c r="H151" s="305">
        <v>848.25897999999995</v>
      </c>
      <c r="I151" s="362">
        <v>0</v>
      </c>
      <c r="J151" s="362">
        <v>848.25897999999995</v>
      </c>
      <c r="K151" s="362">
        <v>0</v>
      </c>
      <c r="L151" s="500">
        <v>0</v>
      </c>
      <c r="M151" s="124">
        <v>0</v>
      </c>
      <c r="N151" s="7">
        <v>0</v>
      </c>
      <c r="O151" s="801">
        <v>848.25897999999995</v>
      </c>
      <c r="P151" s="645">
        <v>0</v>
      </c>
      <c r="Q151" s="970">
        <f t="shared" si="8"/>
        <v>848.25897999999995</v>
      </c>
      <c r="R151" s="673">
        <v>0</v>
      </c>
      <c r="S151" s="165">
        <v>0</v>
      </c>
      <c r="T151" s="16">
        <v>0</v>
      </c>
      <c r="U151" s="124">
        <v>0</v>
      </c>
      <c r="V151" s="150">
        <v>0</v>
      </c>
      <c r="W151" s="165">
        <v>0</v>
      </c>
      <c r="X151" s="168">
        <v>0</v>
      </c>
      <c r="Y151" s="168">
        <v>0</v>
      </c>
      <c r="Z151" s="168">
        <v>0</v>
      </c>
      <c r="AA151" s="142" t="s">
        <v>317</v>
      </c>
      <c r="AB151" s="34" t="s">
        <v>352</v>
      </c>
      <c r="AC151" s="127" t="s">
        <v>563</v>
      </c>
      <c r="AD151" s="127" t="s">
        <v>339</v>
      </c>
      <c r="AE151" s="127" t="s">
        <v>339</v>
      </c>
      <c r="AF151" s="33" t="s">
        <v>363</v>
      </c>
    </row>
    <row r="152" spans="1:32" s="722" customFormat="1" ht="25.5" x14ac:dyDescent="0.25">
      <c r="A152" s="771" t="s">
        <v>461</v>
      </c>
      <c r="B152" s="915" t="s">
        <v>324</v>
      </c>
      <c r="C152" s="908">
        <v>2019</v>
      </c>
      <c r="D152" s="908" t="s">
        <v>328</v>
      </c>
      <c r="E152" s="908" t="s">
        <v>231</v>
      </c>
      <c r="F152" s="908" t="s">
        <v>231</v>
      </c>
      <c r="G152" s="898" t="s">
        <v>255</v>
      </c>
      <c r="H152" s="252">
        <v>3950</v>
      </c>
      <c r="I152" s="361">
        <v>0</v>
      </c>
      <c r="J152" s="361">
        <v>0</v>
      </c>
      <c r="K152" s="361">
        <v>0</v>
      </c>
      <c r="L152" s="1036">
        <v>0</v>
      </c>
      <c r="M152" s="920">
        <v>0</v>
      </c>
      <c r="N152" s="910">
        <v>0</v>
      </c>
      <c r="O152" s="923">
        <v>0</v>
      </c>
      <c r="P152" s="922">
        <v>0</v>
      </c>
      <c r="Q152" s="962">
        <f t="shared" si="8"/>
        <v>0</v>
      </c>
      <c r="R152" s="672">
        <v>3950</v>
      </c>
      <c r="S152" s="160">
        <v>0</v>
      </c>
      <c r="T152" s="911">
        <v>0</v>
      </c>
      <c r="U152" s="920">
        <v>0</v>
      </c>
      <c r="V152" s="138">
        <v>0</v>
      </c>
      <c r="W152" s="160">
        <v>0</v>
      </c>
      <c r="X152" s="167">
        <v>0</v>
      </c>
      <c r="Y152" s="167">
        <v>0</v>
      </c>
      <c r="Z152" s="167">
        <v>0</v>
      </c>
      <c r="AA152" s="25" t="s">
        <v>317</v>
      </c>
      <c r="AB152" s="908" t="s">
        <v>17</v>
      </c>
      <c r="AC152" s="918" t="s">
        <v>406</v>
      </c>
      <c r="AD152" s="918" t="s">
        <v>338</v>
      </c>
      <c r="AE152" s="918" t="s">
        <v>338</v>
      </c>
      <c r="AF152" s="916" t="s">
        <v>365</v>
      </c>
    </row>
    <row r="153" spans="1:32" s="722" customFormat="1" ht="51" x14ac:dyDescent="0.25">
      <c r="A153" s="771" t="s">
        <v>462</v>
      </c>
      <c r="B153" s="915" t="s">
        <v>324</v>
      </c>
      <c r="C153" s="908">
        <v>2019</v>
      </c>
      <c r="D153" s="908" t="s">
        <v>328</v>
      </c>
      <c r="E153" s="908" t="s">
        <v>82</v>
      </c>
      <c r="F153" s="908" t="s">
        <v>82</v>
      </c>
      <c r="G153" s="898" t="s">
        <v>256</v>
      </c>
      <c r="H153" s="252">
        <v>950</v>
      </c>
      <c r="I153" s="361">
        <v>0</v>
      </c>
      <c r="J153" s="361">
        <v>0</v>
      </c>
      <c r="K153" s="361">
        <v>0</v>
      </c>
      <c r="L153" s="1036">
        <v>0</v>
      </c>
      <c r="M153" s="920">
        <v>0</v>
      </c>
      <c r="N153" s="910">
        <v>0</v>
      </c>
      <c r="O153" s="923">
        <v>0</v>
      </c>
      <c r="P153" s="922">
        <v>0</v>
      </c>
      <c r="Q153" s="962">
        <f t="shared" si="8"/>
        <v>0</v>
      </c>
      <c r="R153" s="438">
        <v>950</v>
      </c>
      <c r="S153" s="160">
        <v>0</v>
      </c>
      <c r="T153" s="911">
        <v>0</v>
      </c>
      <c r="U153" s="920">
        <v>0</v>
      </c>
      <c r="V153" s="138">
        <v>0</v>
      </c>
      <c r="W153" s="160">
        <v>0</v>
      </c>
      <c r="X153" s="167">
        <v>0</v>
      </c>
      <c r="Y153" s="167">
        <v>0</v>
      </c>
      <c r="Z153" s="167">
        <v>0</v>
      </c>
      <c r="AA153" s="25" t="s">
        <v>317</v>
      </c>
      <c r="AB153" s="908" t="s">
        <v>17</v>
      </c>
      <c r="AC153" s="918" t="s">
        <v>356</v>
      </c>
      <c r="AD153" s="918" t="s">
        <v>338</v>
      </c>
      <c r="AE153" s="918" t="s">
        <v>338</v>
      </c>
      <c r="AF153" s="916" t="s">
        <v>365</v>
      </c>
    </row>
    <row r="154" spans="1:32" s="722" customFormat="1" ht="38.25" x14ac:dyDescent="0.25">
      <c r="A154" s="771" t="s">
        <v>463</v>
      </c>
      <c r="B154" s="915" t="s">
        <v>644</v>
      </c>
      <c r="C154" s="908">
        <v>2019</v>
      </c>
      <c r="D154" s="908" t="s">
        <v>328</v>
      </c>
      <c r="E154" s="908" t="s">
        <v>10</v>
      </c>
      <c r="F154" s="908" t="s">
        <v>257</v>
      </c>
      <c r="G154" s="898" t="s">
        <v>258</v>
      </c>
      <c r="H154" s="252">
        <v>8900</v>
      </c>
      <c r="I154" s="361">
        <v>205.7</v>
      </c>
      <c r="J154" s="361">
        <v>0</v>
      </c>
      <c r="K154" s="361">
        <v>43.56</v>
      </c>
      <c r="L154" s="1036">
        <v>0</v>
      </c>
      <c r="M154" s="920">
        <f>162.14+12.1</f>
        <v>174.23999999999998</v>
      </c>
      <c r="N154" s="910">
        <v>0</v>
      </c>
      <c r="O154" s="923">
        <v>217.8</v>
      </c>
      <c r="P154" s="922">
        <v>0</v>
      </c>
      <c r="Q154" s="962">
        <f t="shared" si="8"/>
        <v>217.8</v>
      </c>
      <c r="R154" s="672">
        <v>8476.5</v>
      </c>
      <c r="S154" s="160">
        <v>0</v>
      </c>
      <c r="T154" s="911">
        <v>0</v>
      </c>
      <c r="U154" s="920">
        <v>0</v>
      </c>
      <c r="V154" s="138">
        <v>0</v>
      </c>
      <c r="W154" s="160">
        <v>0</v>
      </c>
      <c r="X154" s="167">
        <v>0</v>
      </c>
      <c r="Y154" s="167">
        <v>0</v>
      </c>
      <c r="Z154" s="167">
        <v>0</v>
      </c>
      <c r="AA154" s="25" t="s">
        <v>317</v>
      </c>
      <c r="AB154" s="908" t="s">
        <v>17</v>
      </c>
      <c r="AC154" s="918" t="s">
        <v>837</v>
      </c>
      <c r="AD154" s="918" t="s">
        <v>338</v>
      </c>
      <c r="AE154" s="918" t="s">
        <v>338</v>
      </c>
      <c r="AF154" s="916" t="s">
        <v>363</v>
      </c>
    </row>
    <row r="155" spans="1:32" s="722" customFormat="1" ht="25.5" x14ac:dyDescent="0.25">
      <c r="A155" s="771" t="s">
        <v>464</v>
      </c>
      <c r="B155" s="915" t="s">
        <v>324</v>
      </c>
      <c r="C155" s="908">
        <v>2019</v>
      </c>
      <c r="D155" s="908" t="s">
        <v>328</v>
      </c>
      <c r="E155" s="908" t="s">
        <v>259</v>
      </c>
      <c r="F155" s="908" t="s">
        <v>259</v>
      </c>
      <c r="G155" s="898" t="s">
        <v>260</v>
      </c>
      <c r="H155" s="252">
        <v>460</v>
      </c>
      <c r="I155" s="361">
        <v>0</v>
      </c>
      <c r="J155" s="361">
        <v>0</v>
      </c>
      <c r="K155" s="361">
        <v>0</v>
      </c>
      <c r="L155" s="1036">
        <v>0</v>
      </c>
      <c r="M155" s="920">
        <v>0</v>
      </c>
      <c r="N155" s="910">
        <v>0</v>
      </c>
      <c r="O155" s="923">
        <v>0</v>
      </c>
      <c r="P155" s="922">
        <v>0</v>
      </c>
      <c r="Q155" s="962">
        <f t="shared" si="8"/>
        <v>0</v>
      </c>
      <c r="R155" s="438">
        <v>460</v>
      </c>
      <c r="S155" s="160">
        <v>0</v>
      </c>
      <c r="T155" s="911">
        <v>0</v>
      </c>
      <c r="U155" s="920">
        <v>0</v>
      </c>
      <c r="V155" s="138">
        <v>0</v>
      </c>
      <c r="W155" s="160">
        <v>0</v>
      </c>
      <c r="X155" s="167">
        <v>0</v>
      </c>
      <c r="Y155" s="167">
        <v>0</v>
      </c>
      <c r="Z155" s="167">
        <v>0</v>
      </c>
      <c r="AA155" s="25" t="s">
        <v>317</v>
      </c>
      <c r="AB155" s="908" t="s">
        <v>17</v>
      </c>
      <c r="AC155" s="918" t="s">
        <v>406</v>
      </c>
      <c r="AD155" s="918" t="s">
        <v>338</v>
      </c>
      <c r="AE155" s="918" t="s">
        <v>338</v>
      </c>
      <c r="AF155" s="916" t="s">
        <v>365</v>
      </c>
    </row>
    <row r="156" spans="1:32" s="722" customFormat="1" ht="25.5" x14ac:dyDescent="0.25">
      <c r="A156" s="771" t="s">
        <v>465</v>
      </c>
      <c r="B156" s="771" t="s">
        <v>987</v>
      </c>
      <c r="C156" s="908">
        <v>2019</v>
      </c>
      <c r="D156" s="908" t="s">
        <v>328</v>
      </c>
      <c r="E156" s="908" t="s">
        <v>261</v>
      </c>
      <c r="F156" s="908" t="s">
        <v>261</v>
      </c>
      <c r="G156" s="898" t="s">
        <v>262</v>
      </c>
      <c r="H156" s="252">
        <v>2900</v>
      </c>
      <c r="I156" s="361">
        <v>0</v>
      </c>
      <c r="J156" s="361">
        <v>0</v>
      </c>
      <c r="K156" s="361">
        <v>0</v>
      </c>
      <c r="L156" s="1036">
        <v>233.61315999999999</v>
      </c>
      <c r="M156" s="920">
        <f>2666.387+233.613</f>
        <v>2900</v>
      </c>
      <c r="N156" s="910">
        <v>0</v>
      </c>
      <c r="O156" s="923">
        <v>2900</v>
      </c>
      <c r="P156" s="922">
        <v>0</v>
      </c>
      <c r="Q156" s="962">
        <f t="shared" si="8"/>
        <v>2900</v>
      </c>
      <c r="R156" s="672">
        <v>0</v>
      </c>
      <c r="S156" s="160">
        <v>0</v>
      </c>
      <c r="T156" s="911">
        <v>0</v>
      </c>
      <c r="U156" s="920">
        <v>0</v>
      </c>
      <c r="V156" s="138">
        <v>0</v>
      </c>
      <c r="W156" s="160">
        <v>0</v>
      </c>
      <c r="X156" s="167">
        <v>0</v>
      </c>
      <c r="Y156" s="167">
        <v>0</v>
      </c>
      <c r="Z156" s="167">
        <v>0</v>
      </c>
      <c r="AA156" s="25" t="s">
        <v>317</v>
      </c>
      <c r="AB156" s="908" t="s">
        <v>28</v>
      </c>
      <c r="AC156" s="918" t="s">
        <v>837</v>
      </c>
      <c r="AD156" s="918" t="s">
        <v>339</v>
      </c>
      <c r="AE156" s="918" t="s">
        <v>338</v>
      </c>
      <c r="AF156" s="916" t="s">
        <v>363</v>
      </c>
    </row>
    <row r="157" spans="1:32" s="722" customFormat="1" ht="25.5" x14ac:dyDescent="0.25">
      <c r="A157" s="771" t="s">
        <v>466</v>
      </c>
      <c r="B157" s="771" t="s">
        <v>324</v>
      </c>
      <c r="C157" s="908">
        <v>2019</v>
      </c>
      <c r="D157" s="908" t="s">
        <v>328</v>
      </c>
      <c r="E157" s="908" t="s">
        <v>263</v>
      </c>
      <c r="F157" s="908" t="s">
        <v>263</v>
      </c>
      <c r="G157" s="898" t="s">
        <v>264</v>
      </c>
      <c r="H157" s="252">
        <v>3450</v>
      </c>
      <c r="I157" s="361">
        <v>0</v>
      </c>
      <c r="J157" s="361">
        <v>0</v>
      </c>
      <c r="K157" s="361">
        <v>0</v>
      </c>
      <c r="L157" s="1036">
        <v>0</v>
      </c>
      <c r="M157" s="920">
        <v>0</v>
      </c>
      <c r="N157" s="910">
        <v>0</v>
      </c>
      <c r="O157" s="923">
        <v>0</v>
      </c>
      <c r="P157" s="922">
        <v>0</v>
      </c>
      <c r="Q157" s="962">
        <f t="shared" si="8"/>
        <v>0</v>
      </c>
      <c r="R157" s="672">
        <v>2650</v>
      </c>
      <c r="S157" s="160">
        <v>0</v>
      </c>
      <c r="T157" s="911">
        <v>0</v>
      </c>
      <c r="U157" s="920">
        <v>0</v>
      </c>
      <c r="V157" s="138">
        <v>800</v>
      </c>
      <c r="W157" s="160">
        <v>0</v>
      </c>
      <c r="X157" s="167">
        <v>0</v>
      </c>
      <c r="Y157" s="167">
        <v>0</v>
      </c>
      <c r="Z157" s="167">
        <v>0</v>
      </c>
      <c r="AA157" s="25" t="s">
        <v>317</v>
      </c>
      <c r="AB157" s="908" t="s">
        <v>17</v>
      </c>
      <c r="AC157" s="918" t="s">
        <v>408</v>
      </c>
      <c r="AD157" s="918" t="s">
        <v>338</v>
      </c>
      <c r="AE157" s="918" t="s">
        <v>338</v>
      </c>
      <c r="AF157" s="916" t="s">
        <v>365</v>
      </c>
    </row>
    <row r="158" spans="1:32" s="722" customFormat="1" ht="25.5" x14ac:dyDescent="0.25">
      <c r="A158" s="771" t="s">
        <v>467</v>
      </c>
      <c r="B158" s="771" t="s">
        <v>324</v>
      </c>
      <c r="C158" s="908">
        <v>2019</v>
      </c>
      <c r="D158" s="908" t="s">
        <v>328</v>
      </c>
      <c r="E158" s="908" t="s">
        <v>266</v>
      </c>
      <c r="F158" s="908" t="s">
        <v>266</v>
      </c>
      <c r="G158" s="898" t="s">
        <v>267</v>
      </c>
      <c r="H158" s="252">
        <v>3000</v>
      </c>
      <c r="I158" s="361">
        <v>0</v>
      </c>
      <c r="J158" s="361">
        <v>0</v>
      </c>
      <c r="K158" s="361">
        <v>0</v>
      </c>
      <c r="L158" s="1036">
        <v>0</v>
      </c>
      <c r="M158" s="920">
        <v>0</v>
      </c>
      <c r="N158" s="910">
        <v>0</v>
      </c>
      <c r="O158" s="923">
        <v>0</v>
      </c>
      <c r="P158" s="922">
        <v>0</v>
      </c>
      <c r="Q158" s="962">
        <f t="shared" si="8"/>
        <v>0</v>
      </c>
      <c r="R158" s="672">
        <v>3000</v>
      </c>
      <c r="S158" s="160">
        <v>0</v>
      </c>
      <c r="T158" s="911">
        <v>0</v>
      </c>
      <c r="U158" s="920">
        <v>0</v>
      </c>
      <c r="V158" s="138">
        <v>0</v>
      </c>
      <c r="W158" s="160">
        <v>0</v>
      </c>
      <c r="X158" s="167">
        <v>0</v>
      </c>
      <c r="Y158" s="167">
        <v>0</v>
      </c>
      <c r="Z158" s="167">
        <v>0</v>
      </c>
      <c r="AA158" s="25" t="s">
        <v>317</v>
      </c>
      <c r="AB158" s="908" t="s">
        <v>17</v>
      </c>
      <c r="AC158" s="918" t="s">
        <v>565</v>
      </c>
      <c r="AD158" s="918" t="s">
        <v>338</v>
      </c>
      <c r="AE158" s="918" t="s">
        <v>338</v>
      </c>
      <c r="AF158" s="916" t="s">
        <v>365</v>
      </c>
    </row>
    <row r="159" spans="1:32" s="722" customFormat="1" ht="38.25" x14ac:dyDescent="0.25">
      <c r="A159" s="771" t="s">
        <v>468</v>
      </c>
      <c r="B159" s="771" t="s">
        <v>324</v>
      </c>
      <c r="C159" s="908">
        <v>2019</v>
      </c>
      <c r="D159" s="908" t="s">
        <v>328</v>
      </c>
      <c r="E159" s="908" t="s">
        <v>90</v>
      </c>
      <c r="F159" s="908" t="s">
        <v>90</v>
      </c>
      <c r="G159" s="898" t="s">
        <v>268</v>
      </c>
      <c r="H159" s="252">
        <v>1600</v>
      </c>
      <c r="I159" s="361">
        <v>0</v>
      </c>
      <c r="J159" s="361">
        <v>0</v>
      </c>
      <c r="K159" s="361">
        <v>0</v>
      </c>
      <c r="L159" s="1036">
        <v>0</v>
      </c>
      <c r="M159" s="920">
        <v>0</v>
      </c>
      <c r="N159" s="910">
        <v>0</v>
      </c>
      <c r="O159" s="923">
        <v>0</v>
      </c>
      <c r="P159" s="922">
        <v>0</v>
      </c>
      <c r="Q159" s="962">
        <f t="shared" si="8"/>
        <v>0</v>
      </c>
      <c r="R159" s="672">
        <v>1600</v>
      </c>
      <c r="S159" s="160">
        <v>0</v>
      </c>
      <c r="T159" s="911">
        <v>0</v>
      </c>
      <c r="U159" s="920">
        <v>0</v>
      </c>
      <c r="V159" s="138">
        <v>0</v>
      </c>
      <c r="W159" s="160">
        <v>0</v>
      </c>
      <c r="X159" s="167">
        <v>0</v>
      </c>
      <c r="Y159" s="167">
        <v>0</v>
      </c>
      <c r="Z159" s="167">
        <v>0</v>
      </c>
      <c r="AA159" s="25" t="s">
        <v>317</v>
      </c>
      <c r="AB159" s="908" t="s">
        <v>17</v>
      </c>
      <c r="AC159" s="918" t="s">
        <v>406</v>
      </c>
      <c r="AD159" s="918" t="s">
        <v>338</v>
      </c>
      <c r="AE159" s="918" t="s">
        <v>338</v>
      </c>
      <c r="AF159" s="916" t="s">
        <v>365</v>
      </c>
    </row>
    <row r="160" spans="1:32" s="722" customFormat="1" ht="38.25" x14ac:dyDescent="0.25">
      <c r="A160" s="771" t="s">
        <v>469</v>
      </c>
      <c r="B160" s="771" t="s">
        <v>645</v>
      </c>
      <c r="C160" s="908">
        <v>2019</v>
      </c>
      <c r="D160" s="908" t="s">
        <v>328</v>
      </c>
      <c r="E160" s="908" t="s">
        <v>269</v>
      </c>
      <c r="F160" s="908" t="s">
        <v>269</v>
      </c>
      <c r="G160" s="898" t="s">
        <v>270</v>
      </c>
      <c r="H160" s="640">
        <f>11718-0.2</f>
        <v>11717.8</v>
      </c>
      <c r="I160" s="361">
        <v>266.2</v>
      </c>
      <c r="J160" s="361">
        <v>123.42</v>
      </c>
      <c r="K160" s="361">
        <v>0</v>
      </c>
      <c r="L160" s="1036">
        <v>0</v>
      </c>
      <c r="M160" s="920">
        <v>0</v>
      </c>
      <c r="N160" s="910">
        <v>0</v>
      </c>
      <c r="O160" s="923">
        <v>123.42</v>
      </c>
      <c r="P160" s="922">
        <v>0</v>
      </c>
      <c r="Q160" s="962">
        <f t="shared" si="8"/>
        <v>123.42</v>
      </c>
      <c r="R160" s="739">
        <f>11451.6-123.42</f>
        <v>11328.18</v>
      </c>
      <c r="S160" s="921">
        <v>0</v>
      </c>
      <c r="T160" s="911">
        <v>0</v>
      </c>
      <c r="U160" s="920">
        <v>0</v>
      </c>
      <c r="V160" s="911">
        <v>0</v>
      </c>
      <c r="W160" s="921">
        <v>0</v>
      </c>
      <c r="X160" s="912">
        <v>0</v>
      </c>
      <c r="Y160" s="912">
        <v>0</v>
      </c>
      <c r="Z160" s="912">
        <v>0</v>
      </c>
      <c r="AA160" s="25" t="s">
        <v>317</v>
      </c>
      <c r="AB160" s="908" t="s">
        <v>17</v>
      </c>
      <c r="AC160" s="918" t="s">
        <v>406</v>
      </c>
      <c r="AD160" s="918" t="s">
        <v>338</v>
      </c>
      <c r="AE160" s="918" t="s">
        <v>338</v>
      </c>
      <c r="AF160" s="916" t="s">
        <v>365</v>
      </c>
    </row>
    <row r="161" spans="1:32" s="722" customFormat="1" ht="25.5" x14ac:dyDescent="0.25">
      <c r="A161" s="771" t="s">
        <v>470</v>
      </c>
      <c r="B161" s="771" t="s">
        <v>324</v>
      </c>
      <c r="C161" s="908">
        <v>2019</v>
      </c>
      <c r="D161" s="908" t="s">
        <v>328</v>
      </c>
      <c r="E161" s="908" t="s">
        <v>107</v>
      </c>
      <c r="F161" s="908" t="s">
        <v>107</v>
      </c>
      <c r="G161" s="898" t="s">
        <v>299</v>
      </c>
      <c r="H161" s="252">
        <v>1100</v>
      </c>
      <c r="I161" s="361">
        <v>0</v>
      </c>
      <c r="J161" s="361">
        <v>0</v>
      </c>
      <c r="K161" s="361">
        <v>0</v>
      </c>
      <c r="L161" s="1036">
        <v>0</v>
      </c>
      <c r="M161" s="920">
        <v>0</v>
      </c>
      <c r="N161" s="910">
        <v>0</v>
      </c>
      <c r="O161" s="923">
        <v>0</v>
      </c>
      <c r="P161" s="922">
        <v>0</v>
      </c>
      <c r="Q161" s="962">
        <f t="shared" si="8"/>
        <v>0</v>
      </c>
      <c r="R161" s="438">
        <v>1100</v>
      </c>
      <c r="S161" s="160">
        <v>0</v>
      </c>
      <c r="T161" s="911">
        <v>0</v>
      </c>
      <c r="U161" s="920">
        <v>0</v>
      </c>
      <c r="V161" s="138">
        <v>0</v>
      </c>
      <c r="W161" s="160">
        <v>0</v>
      </c>
      <c r="X161" s="167">
        <v>0</v>
      </c>
      <c r="Y161" s="167">
        <v>0</v>
      </c>
      <c r="Z161" s="167">
        <v>0</v>
      </c>
      <c r="AA161" s="25" t="s">
        <v>317</v>
      </c>
      <c r="AB161" s="908" t="s">
        <v>17</v>
      </c>
      <c r="AC161" s="918" t="s">
        <v>406</v>
      </c>
      <c r="AD161" s="918" t="s">
        <v>338</v>
      </c>
      <c r="AE161" s="918" t="s">
        <v>338</v>
      </c>
      <c r="AF161" s="916" t="s">
        <v>365</v>
      </c>
    </row>
    <row r="162" spans="1:32" s="722" customFormat="1" ht="25.5" x14ac:dyDescent="0.25">
      <c r="A162" s="771" t="s">
        <v>471</v>
      </c>
      <c r="B162" s="771" t="s">
        <v>324</v>
      </c>
      <c r="C162" s="908">
        <v>2019</v>
      </c>
      <c r="D162" s="908" t="s">
        <v>328</v>
      </c>
      <c r="E162" s="908" t="s">
        <v>271</v>
      </c>
      <c r="F162" s="908" t="s">
        <v>271</v>
      </c>
      <c r="G162" s="898" t="s">
        <v>272</v>
      </c>
      <c r="H162" s="252">
        <v>1200</v>
      </c>
      <c r="I162" s="361">
        <v>0</v>
      </c>
      <c r="J162" s="361">
        <v>0</v>
      </c>
      <c r="K162" s="361">
        <v>0</v>
      </c>
      <c r="L162" s="1036">
        <v>0</v>
      </c>
      <c r="M162" s="920">
        <v>0</v>
      </c>
      <c r="N162" s="910">
        <v>0</v>
      </c>
      <c r="O162" s="923">
        <v>0</v>
      </c>
      <c r="P162" s="922">
        <v>0</v>
      </c>
      <c r="Q162" s="962">
        <f t="shared" si="8"/>
        <v>0</v>
      </c>
      <c r="R162" s="672">
        <v>1200</v>
      </c>
      <c r="S162" s="160">
        <v>0</v>
      </c>
      <c r="T162" s="911">
        <v>0</v>
      </c>
      <c r="U162" s="920">
        <v>0</v>
      </c>
      <c r="V162" s="138">
        <v>0</v>
      </c>
      <c r="W162" s="160">
        <v>0</v>
      </c>
      <c r="X162" s="167">
        <v>0</v>
      </c>
      <c r="Y162" s="167">
        <v>0</v>
      </c>
      <c r="Z162" s="167">
        <v>0</v>
      </c>
      <c r="AA162" s="25" t="s">
        <v>317</v>
      </c>
      <c r="AB162" s="908" t="s">
        <v>17</v>
      </c>
      <c r="AC162" s="918" t="s">
        <v>406</v>
      </c>
      <c r="AD162" s="918" t="s">
        <v>338</v>
      </c>
      <c r="AE162" s="916" t="s">
        <v>338</v>
      </c>
      <c r="AF162" s="916" t="s">
        <v>365</v>
      </c>
    </row>
    <row r="163" spans="1:32" s="722" customFormat="1" ht="38.25" x14ac:dyDescent="0.25">
      <c r="A163" s="771" t="s">
        <v>472</v>
      </c>
      <c r="B163" s="771" t="s">
        <v>324</v>
      </c>
      <c r="C163" s="908">
        <v>2019</v>
      </c>
      <c r="D163" s="908" t="s">
        <v>328</v>
      </c>
      <c r="E163" s="908" t="s">
        <v>273</v>
      </c>
      <c r="F163" s="908" t="s">
        <v>273</v>
      </c>
      <c r="G163" s="898" t="s">
        <v>274</v>
      </c>
      <c r="H163" s="252">
        <v>4847.75</v>
      </c>
      <c r="I163" s="361">
        <v>0</v>
      </c>
      <c r="J163" s="361">
        <v>0</v>
      </c>
      <c r="K163" s="361">
        <v>0</v>
      </c>
      <c r="L163" s="1036">
        <v>0</v>
      </c>
      <c r="M163" s="920">
        <v>0</v>
      </c>
      <c r="N163" s="910">
        <v>0</v>
      </c>
      <c r="O163" s="923">
        <v>0</v>
      </c>
      <c r="P163" s="922">
        <v>0</v>
      </c>
      <c r="Q163" s="962">
        <f t="shared" si="8"/>
        <v>0</v>
      </c>
      <c r="R163" s="672">
        <v>2773.96</v>
      </c>
      <c r="S163" s="160">
        <v>0</v>
      </c>
      <c r="T163" s="911">
        <v>0</v>
      </c>
      <c r="U163" s="920">
        <v>0</v>
      </c>
      <c r="V163" s="138">
        <v>2073.79</v>
      </c>
      <c r="W163" s="160">
        <v>0</v>
      </c>
      <c r="X163" s="167">
        <v>0</v>
      </c>
      <c r="Y163" s="167">
        <v>0</v>
      </c>
      <c r="Z163" s="167">
        <v>0</v>
      </c>
      <c r="AA163" s="25" t="s">
        <v>317</v>
      </c>
      <c r="AB163" s="908" t="s">
        <v>17</v>
      </c>
      <c r="AC163" s="918" t="s">
        <v>356</v>
      </c>
      <c r="AD163" s="918" t="s">
        <v>338</v>
      </c>
      <c r="AE163" s="918" t="s">
        <v>338</v>
      </c>
      <c r="AF163" s="916" t="s">
        <v>365</v>
      </c>
    </row>
    <row r="164" spans="1:32" s="722" customFormat="1" ht="25.5" x14ac:dyDescent="0.25">
      <c r="A164" s="771" t="s">
        <v>473</v>
      </c>
      <c r="B164" s="771" t="s">
        <v>324</v>
      </c>
      <c r="C164" s="908">
        <v>2019</v>
      </c>
      <c r="D164" s="908" t="s">
        <v>328</v>
      </c>
      <c r="E164" s="908" t="s">
        <v>10</v>
      </c>
      <c r="F164" s="908" t="s">
        <v>275</v>
      </c>
      <c r="G164" s="898" t="s">
        <v>276</v>
      </c>
      <c r="H164" s="252">
        <v>18000</v>
      </c>
      <c r="I164" s="361">
        <v>0</v>
      </c>
      <c r="J164" s="361">
        <v>0</v>
      </c>
      <c r="K164" s="361">
        <v>0</v>
      </c>
      <c r="L164" s="1036">
        <v>0</v>
      </c>
      <c r="M164" s="920">
        <v>0</v>
      </c>
      <c r="N164" s="910">
        <v>0</v>
      </c>
      <c r="O164" s="923">
        <v>0</v>
      </c>
      <c r="P164" s="922">
        <v>0</v>
      </c>
      <c r="Q164" s="962">
        <f t="shared" si="8"/>
        <v>0</v>
      </c>
      <c r="R164" s="672">
        <v>0</v>
      </c>
      <c r="S164" s="160">
        <v>18000</v>
      </c>
      <c r="T164" s="911">
        <v>0</v>
      </c>
      <c r="U164" s="920">
        <v>0</v>
      </c>
      <c r="V164" s="138">
        <v>0</v>
      </c>
      <c r="W164" s="160">
        <v>0</v>
      </c>
      <c r="X164" s="167">
        <v>0</v>
      </c>
      <c r="Y164" s="167">
        <v>0</v>
      </c>
      <c r="Z164" s="167">
        <v>0</v>
      </c>
      <c r="AA164" s="25" t="s">
        <v>317</v>
      </c>
      <c r="AB164" s="908" t="s">
        <v>17</v>
      </c>
      <c r="AC164" s="918" t="s">
        <v>840</v>
      </c>
      <c r="AD164" s="918" t="s">
        <v>338</v>
      </c>
      <c r="AE164" s="918" t="s">
        <v>338</v>
      </c>
      <c r="AF164" s="916" t="s">
        <v>365</v>
      </c>
    </row>
    <row r="165" spans="1:32" s="722" customFormat="1" ht="25.5" x14ac:dyDescent="0.25">
      <c r="A165" s="771" t="s">
        <v>474</v>
      </c>
      <c r="B165" s="771" t="s">
        <v>324</v>
      </c>
      <c r="C165" s="908">
        <v>2019</v>
      </c>
      <c r="D165" s="908" t="s">
        <v>328</v>
      </c>
      <c r="E165" s="908" t="s">
        <v>277</v>
      </c>
      <c r="F165" s="908" t="s">
        <v>277</v>
      </c>
      <c r="G165" s="898" t="s">
        <v>278</v>
      </c>
      <c r="H165" s="252">
        <v>3000</v>
      </c>
      <c r="I165" s="361">
        <v>0</v>
      </c>
      <c r="J165" s="361">
        <v>0</v>
      </c>
      <c r="K165" s="361">
        <v>0</v>
      </c>
      <c r="L165" s="1036">
        <v>0</v>
      </c>
      <c r="M165" s="920">
        <v>0</v>
      </c>
      <c r="N165" s="910">
        <v>0</v>
      </c>
      <c r="O165" s="923">
        <v>0</v>
      </c>
      <c r="P165" s="922">
        <v>0</v>
      </c>
      <c r="Q165" s="962">
        <f t="shared" si="8"/>
        <v>0</v>
      </c>
      <c r="R165" s="438">
        <v>0</v>
      </c>
      <c r="S165" s="160">
        <v>3000</v>
      </c>
      <c r="T165" s="911">
        <v>0</v>
      </c>
      <c r="U165" s="920">
        <v>0</v>
      </c>
      <c r="V165" s="138">
        <v>0</v>
      </c>
      <c r="W165" s="160">
        <v>0</v>
      </c>
      <c r="X165" s="167">
        <v>0</v>
      </c>
      <c r="Y165" s="167">
        <v>0</v>
      </c>
      <c r="Z165" s="167">
        <v>0</v>
      </c>
      <c r="AA165" s="25" t="s">
        <v>317</v>
      </c>
      <c r="AB165" s="908" t="s">
        <v>17</v>
      </c>
      <c r="AC165" s="918" t="s">
        <v>840</v>
      </c>
      <c r="AD165" s="918" t="s">
        <v>338</v>
      </c>
      <c r="AE165" s="918" t="s">
        <v>338</v>
      </c>
      <c r="AF165" s="916" t="s">
        <v>365</v>
      </c>
    </row>
    <row r="166" spans="1:32" s="722" customFormat="1" ht="38.25" x14ac:dyDescent="0.25">
      <c r="A166" s="771" t="s">
        <v>475</v>
      </c>
      <c r="B166" s="771" t="s">
        <v>324</v>
      </c>
      <c r="C166" s="908">
        <v>2019</v>
      </c>
      <c r="D166" s="908" t="s">
        <v>328</v>
      </c>
      <c r="E166" s="908" t="s">
        <v>10</v>
      </c>
      <c r="F166" s="908" t="s">
        <v>425</v>
      </c>
      <c r="G166" s="898" t="s">
        <v>279</v>
      </c>
      <c r="H166" s="252">
        <v>10000</v>
      </c>
      <c r="I166" s="361">
        <v>0</v>
      </c>
      <c r="J166" s="361">
        <v>0</v>
      </c>
      <c r="K166" s="361">
        <v>0</v>
      </c>
      <c r="L166" s="1036">
        <v>0</v>
      </c>
      <c r="M166" s="920">
        <v>0</v>
      </c>
      <c r="N166" s="910">
        <v>0</v>
      </c>
      <c r="O166" s="923">
        <v>0</v>
      </c>
      <c r="P166" s="922">
        <v>0</v>
      </c>
      <c r="Q166" s="962">
        <f t="shared" si="8"/>
        <v>0</v>
      </c>
      <c r="R166" s="672">
        <v>10000</v>
      </c>
      <c r="S166" s="160">
        <v>0</v>
      </c>
      <c r="T166" s="911">
        <v>0</v>
      </c>
      <c r="U166" s="920">
        <v>0</v>
      </c>
      <c r="V166" s="138">
        <v>0</v>
      </c>
      <c r="W166" s="160">
        <v>0</v>
      </c>
      <c r="X166" s="167">
        <v>0</v>
      </c>
      <c r="Y166" s="167">
        <v>0</v>
      </c>
      <c r="Z166" s="167">
        <v>0</v>
      </c>
      <c r="AA166" s="25" t="s">
        <v>317</v>
      </c>
      <c r="AB166" s="908" t="s">
        <v>17</v>
      </c>
      <c r="AC166" s="918" t="s">
        <v>565</v>
      </c>
      <c r="AD166" s="918" t="s">
        <v>338</v>
      </c>
      <c r="AE166" s="918" t="s">
        <v>338</v>
      </c>
      <c r="AF166" s="916" t="s">
        <v>365</v>
      </c>
    </row>
    <row r="167" spans="1:32" s="722" customFormat="1" ht="30" x14ac:dyDescent="0.25">
      <c r="A167" s="771" t="s">
        <v>476</v>
      </c>
      <c r="B167" s="771" t="s">
        <v>324</v>
      </c>
      <c r="C167" s="908">
        <v>2019</v>
      </c>
      <c r="D167" s="908" t="s">
        <v>328</v>
      </c>
      <c r="E167" s="908" t="s">
        <v>115</v>
      </c>
      <c r="F167" s="908" t="s">
        <v>115</v>
      </c>
      <c r="G167" s="898" t="s">
        <v>280</v>
      </c>
      <c r="H167" s="252">
        <v>1000</v>
      </c>
      <c r="I167" s="361">
        <v>0</v>
      </c>
      <c r="J167" s="361">
        <v>0</v>
      </c>
      <c r="K167" s="361">
        <v>0</v>
      </c>
      <c r="L167" s="1036">
        <v>0</v>
      </c>
      <c r="M167" s="920">
        <v>0</v>
      </c>
      <c r="N167" s="910">
        <v>0</v>
      </c>
      <c r="O167" s="923">
        <v>0</v>
      </c>
      <c r="P167" s="922">
        <v>0</v>
      </c>
      <c r="Q167" s="962">
        <f t="shared" si="8"/>
        <v>0</v>
      </c>
      <c r="R167" s="672">
        <v>1000</v>
      </c>
      <c r="S167" s="160">
        <v>0</v>
      </c>
      <c r="T167" s="911">
        <v>0</v>
      </c>
      <c r="U167" s="920">
        <v>0</v>
      </c>
      <c r="V167" s="138">
        <v>0</v>
      </c>
      <c r="W167" s="160">
        <v>0</v>
      </c>
      <c r="X167" s="167">
        <v>0</v>
      </c>
      <c r="Y167" s="167">
        <v>0</v>
      </c>
      <c r="Z167" s="167">
        <v>0</v>
      </c>
      <c r="AA167" s="25" t="s">
        <v>317</v>
      </c>
      <c r="AB167" s="908" t="s">
        <v>17</v>
      </c>
      <c r="AC167" s="918" t="s">
        <v>835</v>
      </c>
      <c r="AD167" s="918" t="s">
        <v>338</v>
      </c>
      <c r="AE167" s="918" t="s">
        <v>338</v>
      </c>
      <c r="AF167" s="916" t="s">
        <v>365</v>
      </c>
    </row>
    <row r="168" spans="1:32" s="722" customFormat="1" ht="25.5" x14ac:dyDescent="0.25">
      <c r="A168" s="771" t="s">
        <v>477</v>
      </c>
      <c r="B168" s="771" t="s">
        <v>324</v>
      </c>
      <c r="C168" s="908">
        <v>2019</v>
      </c>
      <c r="D168" s="908" t="s">
        <v>328</v>
      </c>
      <c r="E168" s="908" t="s">
        <v>10</v>
      </c>
      <c r="F168" s="908" t="s">
        <v>281</v>
      </c>
      <c r="G168" s="898" t="s">
        <v>232</v>
      </c>
      <c r="H168" s="252">
        <v>27969.15</v>
      </c>
      <c r="I168" s="361">
        <v>0</v>
      </c>
      <c r="J168" s="361">
        <v>0</v>
      </c>
      <c r="K168" s="361">
        <v>0</v>
      </c>
      <c r="L168" s="1036">
        <v>0</v>
      </c>
      <c r="M168" s="920">
        <v>0</v>
      </c>
      <c r="N168" s="910">
        <v>0</v>
      </c>
      <c r="O168" s="923">
        <v>0</v>
      </c>
      <c r="P168" s="922">
        <v>0</v>
      </c>
      <c r="Q168" s="962">
        <f t="shared" si="8"/>
        <v>0</v>
      </c>
      <c r="R168" s="672">
        <v>27969.15</v>
      </c>
      <c r="S168" s="160">
        <v>0</v>
      </c>
      <c r="T168" s="911">
        <v>0</v>
      </c>
      <c r="U168" s="920">
        <v>0</v>
      </c>
      <c r="V168" s="138">
        <v>0</v>
      </c>
      <c r="W168" s="160">
        <v>0</v>
      </c>
      <c r="X168" s="167">
        <v>0</v>
      </c>
      <c r="Y168" s="167">
        <v>0</v>
      </c>
      <c r="Z168" s="167">
        <v>0</v>
      </c>
      <c r="AA168" s="25" t="s">
        <v>317</v>
      </c>
      <c r="AB168" s="908" t="s">
        <v>17</v>
      </c>
      <c r="AC168" s="918" t="s">
        <v>835</v>
      </c>
      <c r="AD168" s="918" t="s">
        <v>338</v>
      </c>
      <c r="AE168" s="918" t="s">
        <v>338</v>
      </c>
      <c r="AF168" s="916" t="s">
        <v>365</v>
      </c>
    </row>
    <row r="169" spans="1:32" s="722" customFormat="1" ht="26.25" thickBot="1" x14ac:dyDescent="0.3">
      <c r="A169" s="69" t="s">
        <v>478</v>
      </c>
      <c r="B169" s="69" t="s">
        <v>324</v>
      </c>
      <c r="C169" s="893">
        <v>2019</v>
      </c>
      <c r="D169" s="893" t="s">
        <v>328</v>
      </c>
      <c r="E169" s="893" t="s">
        <v>93</v>
      </c>
      <c r="F169" s="893" t="s">
        <v>93</v>
      </c>
      <c r="G169" s="299" t="s">
        <v>282</v>
      </c>
      <c r="H169" s="306">
        <v>4500</v>
      </c>
      <c r="I169" s="289">
        <v>0</v>
      </c>
      <c r="J169" s="289">
        <v>0</v>
      </c>
      <c r="K169" s="289">
        <v>0</v>
      </c>
      <c r="L169" s="671">
        <v>0</v>
      </c>
      <c r="M169" s="123">
        <v>0</v>
      </c>
      <c r="N169" s="21">
        <v>0</v>
      </c>
      <c r="O169" s="751">
        <v>0</v>
      </c>
      <c r="P169" s="635">
        <v>0</v>
      </c>
      <c r="Q169" s="964">
        <f t="shared" si="8"/>
        <v>0</v>
      </c>
      <c r="R169" s="674">
        <v>4500</v>
      </c>
      <c r="S169" s="157">
        <v>0</v>
      </c>
      <c r="T169" s="53">
        <v>0</v>
      </c>
      <c r="U169" s="123">
        <v>0</v>
      </c>
      <c r="V169" s="312">
        <v>0</v>
      </c>
      <c r="W169" s="157">
        <v>0</v>
      </c>
      <c r="X169" s="169">
        <v>0</v>
      </c>
      <c r="Y169" s="169">
        <v>0</v>
      </c>
      <c r="Z169" s="169">
        <v>0</v>
      </c>
      <c r="AA169" s="893" t="s">
        <v>317</v>
      </c>
      <c r="AB169" s="893" t="s">
        <v>17</v>
      </c>
      <c r="AC169" s="119" t="s">
        <v>835</v>
      </c>
      <c r="AD169" s="119" t="s">
        <v>338</v>
      </c>
      <c r="AE169" s="119" t="s">
        <v>338</v>
      </c>
      <c r="AF169" s="72" t="s">
        <v>365</v>
      </c>
    </row>
    <row r="170" spans="1:32" s="722" customFormat="1" ht="26.25" thickBot="1" x14ac:dyDescent="0.3">
      <c r="A170" s="69" t="s">
        <v>429</v>
      </c>
      <c r="B170" s="69" t="s">
        <v>647</v>
      </c>
      <c r="C170" s="893">
        <v>2019</v>
      </c>
      <c r="D170" s="893" t="s">
        <v>378</v>
      </c>
      <c r="E170" s="893" t="s">
        <v>10</v>
      </c>
      <c r="F170" s="908" t="s">
        <v>263</v>
      </c>
      <c r="G170" s="873" t="s">
        <v>359</v>
      </c>
      <c r="H170" s="306">
        <v>50000</v>
      </c>
      <c r="I170" s="23">
        <v>0</v>
      </c>
      <c r="J170" s="23">
        <v>0</v>
      </c>
      <c r="K170" s="23">
        <v>0</v>
      </c>
      <c r="L170" s="22">
        <v>0</v>
      </c>
      <c r="M170" s="123">
        <v>0</v>
      </c>
      <c r="N170" s="21">
        <v>0</v>
      </c>
      <c r="O170" s="751">
        <v>0</v>
      </c>
      <c r="P170" s="635">
        <v>0</v>
      </c>
      <c r="Q170" s="964">
        <f t="shared" si="8"/>
        <v>0</v>
      </c>
      <c r="R170" s="675">
        <v>50000</v>
      </c>
      <c r="S170" s="157">
        <v>0</v>
      </c>
      <c r="T170" s="53">
        <v>0</v>
      </c>
      <c r="U170" s="123">
        <v>0</v>
      </c>
      <c r="V170" s="312">
        <v>0</v>
      </c>
      <c r="W170" s="157">
        <v>0</v>
      </c>
      <c r="X170" s="169">
        <v>0</v>
      </c>
      <c r="Y170" s="169">
        <v>0</v>
      </c>
      <c r="Z170" s="169">
        <v>0</v>
      </c>
      <c r="AA170" s="25" t="s">
        <v>317</v>
      </c>
      <c r="AB170" s="893" t="s">
        <v>17</v>
      </c>
      <c r="AC170" s="119" t="s">
        <v>783</v>
      </c>
      <c r="AD170" s="119" t="s">
        <v>338</v>
      </c>
      <c r="AE170" s="119" t="s">
        <v>338</v>
      </c>
      <c r="AF170" s="519" t="s">
        <v>365</v>
      </c>
    </row>
    <row r="171" spans="1:32" s="722" customFormat="1" ht="26.25" thickBot="1" x14ac:dyDescent="0.3">
      <c r="A171" s="375" t="s">
        <v>479</v>
      </c>
      <c r="B171" s="1175" t="s">
        <v>648</v>
      </c>
      <c r="C171" s="26">
        <v>2019</v>
      </c>
      <c r="D171" s="913" t="s">
        <v>609</v>
      </c>
      <c r="E171" s="26" t="s">
        <v>480</v>
      </c>
      <c r="F171" s="199" t="s">
        <v>480</v>
      </c>
      <c r="G171" s="1004" t="s">
        <v>481</v>
      </c>
      <c r="H171" s="1005">
        <v>6837.1527900000001</v>
      </c>
      <c r="I171" s="2">
        <v>0</v>
      </c>
      <c r="J171" s="2">
        <v>0</v>
      </c>
      <c r="K171" s="2">
        <v>0</v>
      </c>
      <c r="L171" s="93">
        <v>810.19071999999994</v>
      </c>
      <c r="M171" s="206">
        <f>2965+2000</f>
        <v>4965</v>
      </c>
      <c r="N171" s="3">
        <v>1872.1527900000001</v>
      </c>
      <c r="O171" s="754">
        <v>6837.1527900000001</v>
      </c>
      <c r="P171" s="643">
        <v>0</v>
      </c>
      <c r="Q171" s="966">
        <f t="shared" si="8"/>
        <v>6837.1527900000001</v>
      </c>
      <c r="R171" s="171">
        <v>0</v>
      </c>
      <c r="S171" s="985">
        <v>0</v>
      </c>
      <c r="T171" s="198">
        <v>0</v>
      </c>
      <c r="U171" s="176">
        <v>0</v>
      </c>
      <c r="V171" s="192">
        <v>0</v>
      </c>
      <c r="W171" s="985">
        <v>0</v>
      </c>
      <c r="X171" s="1006">
        <v>0</v>
      </c>
      <c r="Y171" s="1006">
        <v>0</v>
      </c>
      <c r="Z171" s="1006">
        <v>0</v>
      </c>
      <c r="AA171" s="199" t="s">
        <v>317</v>
      </c>
      <c r="AB171" s="26" t="s">
        <v>28</v>
      </c>
      <c r="AC171" s="398" t="s">
        <v>837</v>
      </c>
      <c r="AD171" s="398" t="s">
        <v>339</v>
      </c>
      <c r="AE171" s="398" t="s">
        <v>339</v>
      </c>
      <c r="AF171" s="115" t="s">
        <v>363</v>
      </c>
    </row>
    <row r="172" spans="1:32" s="722" customFormat="1" ht="30" x14ac:dyDescent="0.25">
      <c r="A172" s="30" t="s">
        <v>649</v>
      </c>
      <c r="B172" s="30" t="s">
        <v>324</v>
      </c>
      <c r="C172" s="882">
        <v>2020</v>
      </c>
      <c r="D172" s="882" t="s">
        <v>733</v>
      </c>
      <c r="E172" s="882" t="s">
        <v>116</v>
      </c>
      <c r="F172" s="77" t="s">
        <v>116</v>
      </c>
      <c r="G172" s="894" t="s">
        <v>650</v>
      </c>
      <c r="H172" s="432">
        <v>950</v>
      </c>
      <c r="I172" s="361">
        <v>0</v>
      </c>
      <c r="J172" s="361">
        <v>0</v>
      </c>
      <c r="K172" s="361">
        <v>0</v>
      </c>
      <c r="L172" s="1036">
        <v>0</v>
      </c>
      <c r="M172" s="787">
        <v>0</v>
      </c>
      <c r="N172" s="881">
        <v>0</v>
      </c>
      <c r="O172" s="923">
        <v>0</v>
      </c>
      <c r="P172" s="922">
        <v>0</v>
      </c>
      <c r="Q172" s="961">
        <f t="shared" si="8"/>
        <v>0</v>
      </c>
      <c r="R172" s="634">
        <v>950</v>
      </c>
      <c r="S172" s="254">
        <v>0</v>
      </c>
      <c r="T172" s="884">
        <v>0</v>
      </c>
      <c r="U172" s="787">
        <v>0</v>
      </c>
      <c r="V172" s="132">
        <v>0</v>
      </c>
      <c r="W172" s="254">
        <v>0</v>
      </c>
      <c r="X172" s="255">
        <v>0</v>
      </c>
      <c r="Y172" s="255">
        <v>0</v>
      </c>
      <c r="Z172" s="255">
        <v>0</v>
      </c>
      <c r="AA172" s="917" t="s">
        <v>317</v>
      </c>
      <c r="AB172" s="882" t="s">
        <v>17</v>
      </c>
      <c r="AC172" s="784" t="s">
        <v>839</v>
      </c>
      <c r="AD172" s="784" t="s">
        <v>338</v>
      </c>
      <c r="AE172" s="784" t="s">
        <v>338</v>
      </c>
      <c r="AF172" s="779" t="s">
        <v>365</v>
      </c>
    </row>
    <row r="173" spans="1:32" s="722" customFormat="1" ht="25.5" x14ac:dyDescent="0.25">
      <c r="A173" s="30" t="s">
        <v>651</v>
      </c>
      <c r="B173" s="30" t="s">
        <v>694</v>
      </c>
      <c r="C173" s="882">
        <v>2020</v>
      </c>
      <c r="D173" s="882" t="s">
        <v>733</v>
      </c>
      <c r="E173" s="908" t="s">
        <v>116</v>
      </c>
      <c r="F173" s="75" t="s">
        <v>116</v>
      </c>
      <c r="G173" s="898" t="s">
        <v>652</v>
      </c>
      <c r="H173" s="432">
        <f>25000+595.95909+511.9191818</f>
        <v>26107.8782718</v>
      </c>
      <c r="I173" s="361">
        <v>80</v>
      </c>
      <c r="J173" s="361">
        <v>0</v>
      </c>
      <c r="K173" s="361">
        <v>3167.0932900000003</v>
      </c>
      <c r="L173" s="1036">
        <v>847.96937000000003</v>
      </c>
      <c r="M173" s="920">
        <f>6230+8000+1292.90671</f>
        <v>15522.906709999999</v>
      </c>
      <c r="N173" s="910">
        <v>6230</v>
      </c>
      <c r="O173" s="923">
        <v>24920</v>
      </c>
      <c r="P173" s="922">
        <v>0</v>
      </c>
      <c r="Q173" s="962">
        <f t="shared" si="8"/>
        <v>24920</v>
      </c>
      <c r="R173" s="672">
        <v>0</v>
      </c>
      <c r="S173" s="254">
        <v>0</v>
      </c>
      <c r="T173" s="884">
        <f>595.95909+511.9191818</f>
        <v>1107.8782718</v>
      </c>
      <c r="U173" s="787">
        <v>0</v>
      </c>
      <c r="V173" s="138">
        <v>0</v>
      </c>
      <c r="W173" s="254">
        <v>0</v>
      </c>
      <c r="X173" s="255">
        <v>0</v>
      </c>
      <c r="Y173" s="255">
        <v>0</v>
      </c>
      <c r="Z173" s="255">
        <v>0</v>
      </c>
      <c r="AA173" s="917" t="s">
        <v>317</v>
      </c>
      <c r="AB173" s="882" t="s">
        <v>28</v>
      </c>
      <c r="AC173" s="784" t="s">
        <v>536</v>
      </c>
      <c r="AD173" s="784" t="s">
        <v>339</v>
      </c>
      <c r="AE173" s="784" t="s">
        <v>339</v>
      </c>
      <c r="AF173" s="916" t="s">
        <v>363</v>
      </c>
    </row>
    <row r="174" spans="1:32" s="722" customFormat="1" ht="25.5" x14ac:dyDescent="0.25">
      <c r="A174" s="30" t="s">
        <v>653</v>
      </c>
      <c r="B174" s="30" t="s">
        <v>324</v>
      </c>
      <c r="C174" s="882">
        <v>2020</v>
      </c>
      <c r="D174" s="882" t="s">
        <v>733</v>
      </c>
      <c r="E174" s="908" t="s">
        <v>654</v>
      </c>
      <c r="F174" s="75" t="s">
        <v>654</v>
      </c>
      <c r="G174" s="898" t="s">
        <v>655</v>
      </c>
      <c r="H174" s="432">
        <v>550</v>
      </c>
      <c r="I174" s="361">
        <v>0</v>
      </c>
      <c r="J174" s="361">
        <v>0</v>
      </c>
      <c r="K174" s="361">
        <v>0</v>
      </c>
      <c r="L174" s="1036">
        <v>0</v>
      </c>
      <c r="M174" s="920">
        <v>0</v>
      </c>
      <c r="N174" s="910">
        <v>0</v>
      </c>
      <c r="O174" s="923">
        <v>0</v>
      </c>
      <c r="P174" s="922">
        <v>0</v>
      </c>
      <c r="Q174" s="962">
        <f t="shared" si="8"/>
        <v>0</v>
      </c>
      <c r="R174" s="672">
        <v>550</v>
      </c>
      <c r="S174" s="254">
        <v>0</v>
      </c>
      <c r="T174" s="884">
        <v>0</v>
      </c>
      <c r="U174" s="787">
        <v>0</v>
      </c>
      <c r="V174" s="138">
        <v>0</v>
      </c>
      <c r="W174" s="254">
        <v>0</v>
      </c>
      <c r="X174" s="255">
        <v>0</v>
      </c>
      <c r="Y174" s="255">
        <v>0</v>
      </c>
      <c r="Z174" s="255">
        <v>0</v>
      </c>
      <c r="AA174" s="25" t="s">
        <v>317</v>
      </c>
      <c r="AB174" s="882" t="s">
        <v>17</v>
      </c>
      <c r="AC174" s="784" t="s">
        <v>839</v>
      </c>
      <c r="AD174" s="784" t="s">
        <v>338</v>
      </c>
      <c r="AE174" s="784" t="s">
        <v>338</v>
      </c>
      <c r="AF174" s="916" t="s">
        <v>365</v>
      </c>
    </row>
    <row r="175" spans="1:32" s="722" customFormat="1" ht="25.5" x14ac:dyDescent="0.25">
      <c r="A175" s="30" t="s">
        <v>656</v>
      </c>
      <c r="B175" s="30" t="s">
        <v>324</v>
      </c>
      <c r="C175" s="882">
        <v>2020</v>
      </c>
      <c r="D175" s="882" t="s">
        <v>733</v>
      </c>
      <c r="E175" s="908" t="s">
        <v>10</v>
      </c>
      <c r="F175" s="75" t="s">
        <v>248</v>
      </c>
      <c r="G175" s="898" t="s">
        <v>249</v>
      </c>
      <c r="H175" s="432">
        <v>5100</v>
      </c>
      <c r="I175" s="361">
        <v>0</v>
      </c>
      <c r="J175" s="361">
        <v>0</v>
      </c>
      <c r="K175" s="361">
        <v>0</v>
      </c>
      <c r="L175" s="1036">
        <v>0</v>
      </c>
      <c r="M175" s="920">
        <v>0</v>
      </c>
      <c r="N175" s="910">
        <v>0</v>
      </c>
      <c r="O175" s="923">
        <v>0</v>
      </c>
      <c r="P175" s="922">
        <v>0</v>
      </c>
      <c r="Q175" s="962">
        <f t="shared" si="8"/>
        <v>0</v>
      </c>
      <c r="R175" s="672">
        <v>5100</v>
      </c>
      <c r="S175" s="254">
        <v>0</v>
      </c>
      <c r="T175" s="884">
        <v>0</v>
      </c>
      <c r="U175" s="787">
        <v>0</v>
      </c>
      <c r="V175" s="138">
        <v>0</v>
      </c>
      <c r="W175" s="254">
        <v>0</v>
      </c>
      <c r="X175" s="255">
        <v>0</v>
      </c>
      <c r="Y175" s="255">
        <v>0</v>
      </c>
      <c r="Z175" s="255">
        <v>0</v>
      </c>
      <c r="AA175" s="25" t="s">
        <v>317</v>
      </c>
      <c r="AB175" s="882" t="s">
        <v>17</v>
      </c>
      <c r="AC175" s="784" t="s">
        <v>406</v>
      </c>
      <c r="AD175" s="784" t="s">
        <v>338</v>
      </c>
      <c r="AE175" s="784" t="s">
        <v>338</v>
      </c>
      <c r="AF175" s="916" t="s">
        <v>365</v>
      </c>
    </row>
    <row r="176" spans="1:32" s="722" customFormat="1" ht="25.5" x14ac:dyDescent="0.25">
      <c r="A176" s="95" t="s">
        <v>657</v>
      </c>
      <c r="B176" s="95" t="s">
        <v>695</v>
      </c>
      <c r="C176" s="39">
        <v>2020</v>
      </c>
      <c r="D176" s="39" t="s">
        <v>733</v>
      </c>
      <c r="E176" s="34" t="s">
        <v>658</v>
      </c>
      <c r="F176" s="76" t="s">
        <v>658</v>
      </c>
      <c r="G176" s="85" t="s">
        <v>659</v>
      </c>
      <c r="H176" s="596">
        <v>900</v>
      </c>
      <c r="I176" s="362">
        <v>0</v>
      </c>
      <c r="J176" s="362">
        <v>600</v>
      </c>
      <c r="K176" s="362">
        <v>0</v>
      </c>
      <c r="L176" s="500">
        <v>0</v>
      </c>
      <c r="M176" s="124">
        <v>0</v>
      </c>
      <c r="N176" s="7">
        <v>0</v>
      </c>
      <c r="O176" s="801">
        <v>600</v>
      </c>
      <c r="P176" s="645">
        <v>0</v>
      </c>
      <c r="Q176" s="970">
        <f t="shared" si="8"/>
        <v>600</v>
      </c>
      <c r="R176" s="673">
        <v>0</v>
      </c>
      <c r="S176" s="595">
        <v>0</v>
      </c>
      <c r="T176" s="42">
        <v>0</v>
      </c>
      <c r="U176" s="331">
        <v>0</v>
      </c>
      <c r="V176" s="150">
        <v>300</v>
      </c>
      <c r="W176" s="595">
        <v>0</v>
      </c>
      <c r="X176" s="486">
        <v>0</v>
      </c>
      <c r="Y176" s="486">
        <v>0</v>
      </c>
      <c r="Z176" s="486">
        <v>0</v>
      </c>
      <c r="AA176" s="225" t="s">
        <v>317</v>
      </c>
      <c r="AB176" s="39" t="s">
        <v>352</v>
      </c>
      <c r="AC176" s="366" t="s">
        <v>563</v>
      </c>
      <c r="AD176" s="366" t="s">
        <v>339</v>
      </c>
      <c r="AE176" s="366" t="s">
        <v>339</v>
      </c>
      <c r="AF176" s="33" t="s">
        <v>363</v>
      </c>
    </row>
    <row r="177" spans="1:32" s="722" customFormat="1" ht="25.5" x14ac:dyDescent="0.25">
      <c r="A177" s="479" t="s">
        <v>660</v>
      </c>
      <c r="B177" s="479" t="s">
        <v>324</v>
      </c>
      <c r="C177" s="285">
        <v>2020</v>
      </c>
      <c r="D177" s="285" t="s">
        <v>733</v>
      </c>
      <c r="E177" s="286" t="s">
        <v>265</v>
      </c>
      <c r="F177" s="348" t="s">
        <v>265</v>
      </c>
      <c r="G177" s="483" t="s">
        <v>661</v>
      </c>
      <c r="H177" s="1143">
        <v>1300</v>
      </c>
      <c r="I177" s="369">
        <v>0</v>
      </c>
      <c r="J177" s="369">
        <v>0</v>
      </c>
      <c r="K177" s="369">
        <v>0</v>
      </c>
      <c r="L177" s="1166">
        <v>0</v>
      </c>
      <c r="M177" s="461">
        <v>0</v>
      </c>
      <c r="N177" s="462">
        <v>0</v>
      </c>
      <c r="O177" s="510">
        <v>0</v>
      </c>
      <c r="P177" s="586">
        <v>0</v>
      </c>
      <c r="Q177" s="1097">
        <f t="shared" si="8"/>
        <v>0</v>
      </c>
      <c r="R177" s="1167">
        <v>0</v>
      </c>
      <c r="S177" s="1045">
        <v>0</v>
      </c>
      <c r="T177" s="347">
        <v>0</v>
      </c>
      <c r="U177" s="458">
        <v>0</v>
      </c>
      <c r="V177" s="352">
        <v>1300</v>
      </c>
      <c r="W177" s="1045">
        <v>0</v>
      </c>
      <c r="X177" s="1168">
        <v>0</v>
      </c>
      <c r="Y177" s="1168">
        <v>0</v>
      </c>
      <c r="Z177" s="1168">
        <v>0</v>
      </c>
      <c r="AA177" s="340" t="s">
        <v>990</v>
      </c>
      <c r="AB177" s="285" t="s">
        <v>17</v>
      </c>
      <c r="AC177" s="489" t="s">
        <v>406</v>
      </c>
      <c r="AD177" s="489" t="s">
        <v>338</v>
      </c>
      <c r="AE177" s="489" t="s">
        <v>338</v>
      </c>
      <c r="AF177" s="337" t="s">
        <v>365</v>
      </c>
    </row>
    <row r="178" spans="1:32" s="722" customFormat="1" ht="25.5" x14ac:dyDescent="0.25">
      <c r="A178" s="30" t="s">
        <v>662</v>
      </c>
      <c r="B178" s="30" t="s">
        <v>324</v>
      </c>
      <c r="C178" s="882">
        <v>2020</v>
      </c>
      <c r="D178" s="882" t="s">
        <v>733</v>
      </c>
      <c r="E178" s="908" t="s">
        <v>663</v>
      </c>
      <c r="F178" s="75" t="s">
        <v>663</v>
      </c>
      <c r="G178" s="898" t="s">
        <v>664</v>
      </c>
      <c r="H178" s="432">
        <v>8743.5</v>
      </c>
      <c r="I178" s="361">
        <v>0</v>
      </c>
      <c r="J178" s="361">
        <v>0</v>
      </c>
      <c r="K178" s="361">
        <v>0</v>
      </c>
      <c r="L178" s="1036">
        <v>0</v>
      </c>
      <c r="M178" s="920">
        <v>0</v>
      </c>
      <c r="N178" s="910">
        <v>0</v>
      </c>
      <c r="O178" s="923">
        <v>0</v>
      </c>
      <c r="P178" s="922">
        <v>0</v>
      </c>
      <c r="Q178" s="962">
        <f t="shared" si="8"/>
        <v>0</v>
      </c>
      <c r="R178" s="672">
        <v>8743.5</v>
      </c>
      <c r="S178" s="254">
        <v>0</v>
      </c>
      <c r="T178" s="884">
        <v>0</v>
      </c>
      <c r="U178" s="787">
        <v>0</v>
      </c>
      <c r="V178" s="138">
        <v>0</v>
      </c>
      <c r="W178" s="254">
        <v>0</v>
      </c>
      <c r="X178" s="255">
        <v>0</v>
      </c>
      <c r="Y178" s="255">
        <v>0</v>
      </c>
      <c r="Z178" s="255">
        <v>0</v>
      </c>
      <c r="AA178" s="25" t="s">
        <v>317</v>
      </c>
      <c r="AB178" s="882" t="s">
        <v>17</v>
      </c>
      <c r="AC178" s="918" t="s">
        <v>406</v>
      </c>
      <c r="AD178" s="784" t="s">
        <v>338</v>
      </c>
      <c r="AE178" s="784" t="s">
        <v>338</v>
      </c>
      <c r="AF178" s="916" t="s">
        <v>365</v>
      </c>
    </row>
    <row r="179" spans="1:32" s="722" customFormat="1" ht="38.25" x14ac:dyDescent="0.25">
      <c r="A179" s="30" t="s">
        <v>665</v>
      </c>
      <c r="B179" s="30" t="s">
        <v>697</v>
      </c>
      <c r="C179" s="882">
        <v>2020</v>
      </c>
      <c r="D179" s="882" t="s">
        <v>733</v>
      </c>
      <c r="E179" s="908" t="s">
        <v>425</v>
      </c>
      <c r="F179" s="75" t="s">
        <v>425</v>
      </c>
      <c r="G179" s="898" t="s">
        <v>296</v>
      </c>
      <c r="H179" s="432">
        <v>600</v>
      </c>
      <c r="I179" s="361">
        <v>0</v>
      </c>
      <c r="J179" s="361">
        <v>0</v>
      </c>
      <c r="K179" s="361">
        <v>0</v>
      </c>
      <c r="L179" s="1036">
        <v>0</v>
      </c>
      <c r="M179" s="920">
        <v>0</v>
      </c>
      <c r="N179" s="910">
        <v>0</v>
      </c>
      <c r="O179" s="923">
        <v>0</v>
      </c>
      <c r="P179" s="922">
        <v>0</v>
      </c>
      <c r="Q179" s="962">
        <f t="shared" si="8"/>
        <v>0</v>
      </c>
      <c r="R179" s="672">
        <v>300</v>
      </c>
      <c r="S179" s="254">
        <v>0</v>
      </c>
      <c r="T179" s="884">
        <v>0</v>
      </c>
      <c r="U179" s="787">
        <v>0</v>
      </c>
      <c r="V179" s="138">
        <v>300</v>
      </c>
      <c r="W179" s="254">
        <v>0</v>
      </c>
      <c r="X179" s="255">
        <v>0</v>
      </c>
      <c r="Y179" s="255">
        <v>0</v>
      </c>
      <c r="Z179" s="255">
        <v>0</v>
      </c>
      <c r="AA179" s="25" t="s">
        <v>317</v>
      </c>
      <c r="AB179" s="882" t="s">
        <v>17</v>
      </c>
      <c r="AC179" s="784" t="s">
        <v>406</v>
      </c>
      <c r="AD179" s="784" t="s">
        <v>338</v>
      </c>
      <c r="AE179" s="784" t="s">
        <v>338</v>
      </c>
      <c r="AF179" s="916" t="s">
        <v>364</v>
      </c>
    </row>
    <row r="180" spans="1:32" s="722" customFormat="1" ht="25.5" x14ac:dyDescent="0.25">
      <c r="A180" s="30" t="s">
        <v>666</v>
      </c>
      <c r="B180" s="30" t="s">
        <v>324</v>
      </c>
      <c r="C180" s="882">
        <v>2020</v>
      </c>
      <c r="D180" s="882" t="s">
        <v>733</v>
      </c>
      <c r="E180" s="908" t="s">
        <v>667</v>
      </c>
      <c r="F180" s="75" t="s">
        <v>667</v>
      </c>
      <c r="G180" s="898" t="s">
        <v>668</v>
      </c>
      <c r="H180" s="432">
        <v>1200</v>
      </c>
      <c r="I180" s="361">
        <v>0</v>
      </c>
      <c r="J180" s="361">
        <v>0</v>
      </c>
      <c r="K180" s="361">
        <v>0</v>
      </c>
      <c r="L180" s="1036">
        <v>0</v>
      </c>
      <c r="M180" s="920">
        <v>0</v>
      </c>
      <c r="N180" s="910">
        <v>0</v>
      </c>
      <c r="O180" s="923">
        <v>0</v>
      </c>
      <c r="P180" s="922">
        <v>0</v>
      </c>
      <c r="Q180" s="962">
        <f t="shared" si="8"/>
        <v>0</v>
      </c>
      <c r="R180" s="438">
        <v>0</v>
      </c>
      <c r="S180" s="254">
        <v>600</v>
      </c>
      <c r="T180" s="884">
        <v>0</v>
      </c>
      <c r="U180" s="787">
        <v>0</v>
      </c>
      <c r="V180" s="138">
        <v>600</v>
      </c>
      <c r="W180" s="254">
        <v>0</v>
      </c>
      <c r="X180" s="255">
        <v>0</v>
      </c>
      <c r="Y180" s="255">
        <v>0</v>
      </c>
      <c r="Z180" s="255">
        <v>0</v>
      </c>
      <c r="AA180" s="917" t="s">
        <v>317</v>
      </c>
      <c r="AB180" s="882" t="s">
        <v>17</v>
      </c>
      <c r="AC180" s="784" t="s">
        <v>840</v>
      </c>
      <c r="AD180" s="784" t="s">
        <v>338</v>
      </c>
      <c r="AE180" s="784" t="s">
        <v>338</v>
      </c>
      <c r="AF180" s="916" t="s">
        <v>365</v>
      </c>
    </row>
    <row r="181" spans="1:32" s="722" customFormat="1" ht="26.25" thickBot="1" x14ac:dyDescent="0.3">
      <c r="A181" s="69" t="s">
        <v>669</v>
      </c>
      <c r="B181" s="69" t="s">
        <v>324</v>
      </c>
      <c r="C181" s="893">
        <v>2020</v>
      </c>
      <c r="D181" s="893" t="s">
        <v>733</v>
      </c>
      <c r="E181" s="913" t="s">
        <v>605</v>
      </c>
      <c r="F181" s="90" t="s">
        <v>605</v>
      </c>
      <c r="G181" s="299" t="s">
        <v>670</v>
      </c>
      <c r="H181" s="526">
        <v>2000</v>
      </c>
      <c r="I181" s="97">
        <v>0</v>
      </c>
      <c r="J181" s="97">
        <v>0</v>
      </c>
      <c r="K181" s="97">
        <v>0</v>
      </c>
      <c r="L181" s="851">
        <v>0</v>
      </c>
      <c r="M181" s="123">
        <v>0</v>
      </c>
      <c r="N181" s="21">
        <v>0</v>
      </c>
      <c r="O181" s="754">
        <v>0</v>
      </c>
      <c r="P181" s="643">
        <v>0</v>
      </c>
      <c r="Q181" s="964">
        <f t="shared" si="8"/>
        <v>0</v>
      </c>
      <c r="R181" s="674">
        <v>2000</v>
      </c>
      <c r="S181" s="157">
        <v>0</v>
      </c>
      <c r="T181" s="53">
        <v>0</v>
      </c>
      <c r="U181" s="123">
        <v>0</v>
      </c>
      <c r="V181" s="312">
        <v>0</v>
      </c>
      <c r="W181" s="157">
        <v>0</v>
      </c>
      <c r="X181" s="169">
        <v>0</v>
      </c>
      <c r="Y181" s="169">
        <v>0</v>
      </c>
      <c r="Z181" s="169">
        <v>0</v>
      </c>
      <c r="AA181" s="67" t="s">
        <v>317</v>
      </c>
      <c r="AB181" s="913" t="s">
        <v>17</v>
      </c>
      <c r="AC181" s="119" t="s">
        <v>408</v>
      </c>
      <c r="AD181" s="119" t="s">
        <v>338</v>
      </c>
      <c r="AE181" s="119" t="s">
        <v>338</v>
      </c>
      <c r="AF181" s="72" t="s">
        <v>365</v>
      </c>
    </row>
    <row r="182" spans="1:32" s="722" customFormat="1" ht="63.75" x14ac:dyDescent="0.25">
      <c r="A182" s="30" t="s">
        <v>791</v>
      </c>
      <c r="B182" s="62" t="s">
        <v>324</v>
      </c>
      <c r="C182" s="882">
        <v>2020</v>
      </c>
      <c r="D182" s="685" t="s">
        <v>821</v>
      </c>
      <c r="E182" s="31" t="s">
        <v>10</v>
      </c>
      <c r="F182" s="31" t="s">
        <v>792</v>
      </c>
      <c r="G182" s="280" t="s">
        <v>793</v>
      </c>
      <c r="H182" s="895">
        <v>9000</v>
      </c>
      <c r="I182" s="907">
        <v>0</v>
      </c>
      <c r="J182" s="907">
        <v>0</v>
      </c>
      <c r="K182" s="907">
        <v>0</v>
      </c>
      <c r="L182" s="895">
        <v>0</v>
      </c>
      <c r="M182" s="787">
        <v>0</v>
      </c>
      <c r="N182" s="881">
        <v>0</v>
      </c>
      <c r="O182" s="923">
        <v>0</v>
      </c>
      <c r="P182" s="922">
        <v>0</v>
      </c>
      <c r="Q182" s="961">
        <f t="shared" si="8"/>
        <v>0</v>
      </c>
      <c r="R182" s="768">
        <v>9000</v>
      </c>
      <c r="S182" s="1">
        <v>0</v>
      </c>
      <c r="T182" s="884">
        <v>0</v>
      </c>
      <c r="U182" s="787">
        <v>0</v>
      </c>
      <c r="V182" s="884">
        <v>0</v>
      </c>
      <c r="W182" s="905">
        <v>0</v>
      </c>
      <c r="X182" s="885">
        <v>0</v>
      </c>
      <c r="Y182" s="885">
        <v>0</v>
      </c>
      <c r="Z182" s="885">
        <v>0</v>
      </c>
      <c r="AA182" s="917" t="s">
        <v>855</v>
      </c>
      <c r="AB182" s="882" t="s">
        <v>17</v>
      </c>
      <c r="AC182" s="784" t="s">
        <v>646</v>
      </c>
      <c r="AD182" s="784" t="s">
        <v>338</v>
      </c>
      <c r="AE182" s="784" t="s">
        <v>338</v>
      </c>
      <c r="AF182" s="916" t="s">
        <v>365</v>
      </c>
    </row>
    <row r="183" spans="1:32" s="722" customFormat="1" ht="30.75" thickBot="1" x14ac:dyDescent="0.3">
      <c r="A183" s="182" t="s">
        <v>794</v>
      </c>
      <c r="B183" s="183" t="s">
        <v>905</v>
      </c>
      <c r="C183" s="96">
        <v>2020</v>
      </c>
      <c r="D183" s="939" t="s">
        <v>821</v>
      </c>
      <c r="E183" s="232" t="s">
        <v>266</v>
      </c>
      <c r="F183" s="232" t="s">
        <v>266</v>
      </c>
      <c r="G183" s="102" t="s">
        <v>856</v>
      </c>
      <c r="H183" s="201">
        <v>6555.45219</v>
      </c>
      <c r="I183" s="187">
        <v>0</v>
      </c>
      <c r="J183" s="187">
        <v>0</v>
      </c>
      <c r="K183" s="187">
        <v>6555.45219</v>
      </c>
      <c r="L183" s="201">
        <v>0</v>
      </c>
      <c r="M183" s="267">
        <v>0</v>
      </c>
      <c r="N183" s="190">
        <v>0</v>
      </c>
      <c r="O183" s="793">
        <v>6555.45219</v>
      </c>
      <c r="P183" s="666">
        <v>0</v>
      </c>
      <c r="Q183" s="965">
        <f t="shared" si="8"/>
        <v>6555.45219</v>
      </c>
      <c r="R183" s="189">
        <v>0</v>
      </c>
      <c r="S183" s="188">
        <v>0</v>
      </c>
      <c r="T183" s="203">
        <v>0</v>
      </c>
      <c r="U183" s="267">
        <v>0</v>
      </c>
      <c r="V183" s="203">
        <v>0</v>
      </c>
      <c r="W183" s="663">
        <v>0</v>
      </c>
      <c r="X183" s="668">
        <v>0</v>
      </c>
      <c r="Y183" s="668">
        <v>0</v>
      </c>
      <c r="Z183" s="668">
        <v>0</v>
      </c>
      <c r="AA183" s="1217" t="s">
        <v>317</v>
      </c>
      <c r="AB183" s="96" t="s">
        <v>352</v>
      </c>
      <c r="AC183" s="424" t="s">
        <v>696</v>
      </c>
      <c r="AD183" s="424" t="s">
        <v>339</v>
      </c>
      <c r="AE183" s="424" t="s">
        <v>339</v>
      </c>
      <c r="AF183" s="106" t="s">
        <v>363</v>
      </c>
    </row>
    <row r="184" spans="1:32" s="722" customFormat="1" ht="45" x14ac:dyDescent="0.25">
      <c r="A184" s="108" t="s">
        <v>805</v>
      </c>
      <c r="B184" s="667" t="s">
        <v>875</v>
      </c>
      <c r="C184" s="109">
        <v>2021</v>
      </c>
      <c r="D184" s="1215" t="s">
        <v>842</v>
      </c>
      <c r="E184" s="329" t="s">
        <v>10</v>
      </c>
      <c r="F184" s="329" t="s">
        <v>806</v>
      </c>
      <c r="G184" s="349" t="s">
        <v>807</v>
      </c>
      <c r="H184" s="610">
        <v>2549.80944</v>
      </c>
      <c r="I184" s="41">
        <v>0</v>
      </c>
      <c r="J184" s="41">
        <v>0</v>
      </c>
      <c r="K184" s="41">
        <v>2549.80944</v>
      </c>
      <c r="L184" s="330">
        <v>0</v>
      </c>
      <c r="M184" s="414">
        <v>0</v>
      </c>
      <c r="N184" s="415">
        <v>0</v>
      </c>
      <c r="O184" s="801">
        <v>2549.80944</v>
      </c>
      <c r="P184" s="645">
        <v>0</v>
      </c>
      <c r="Q184" s="973">
        <f t="shared" si="8"/>
        <v>2549.80944</v>
      </c>
      <c r="R184" s="1216">
        <v>0</v>
      </c>
      <c r="S184" s="221">
        <v>0</v>
      </c>
      <c r="T184" s="413">
        <v>0</v>
      </c>
      <c r="U184" s="414">
        <v>0</v>
      </c>
      <c r="V184" s="413">
        <v>0</v>
      </c>
      <c r="W184" s="416">
        <v>0</v>
      </c>
      <c r="X184" s="669">
        <v>0</v>
      </c>
      <c r="Y184" s="669">
        <v>0</v>
      </c>
      <c r="Z184" s="669">
        <v>0</v>
      </c>
      <c r="AA184" s="662" t="s">
        <v>317</v>
      </c>
      <c r="AB184" s="109" t="s">
        <v>352</v>
      </c>
      <c r="AC184" s="417" t="s">
        <v>568</v>
      </c>
      <c r="AD184" s="417" t="s">
        <v>339</v>
      </c>
      <c r="AE184" s="366" t="s">
        <v>339</v>
      </c>
      <c r="AF184" s="304" t="s">
        <v>363</v>
      </c>
    </row>
    <row r="185" spans="1:32" s="721" customFormat="1" ht="15.75" thickBot="1" x14ac:dyDescent="0.3">
      <c r="A185" s="115" t="s">
        <v>357</v>
      </c>
      <c r="B185" s="115" t="s">
        <v>357</v>
      </c>
      <c r="C185" s="913" t="s">
        <v>357</v>
      </c>
      <c r="D185" s="913" t="s">
        <v>357</v>
      </c>
      <c r="E185" s="913" t="s">
        <v>357</v>
      </c>
      <c r="F185" s="913" t="s">
        <v>357</v>
      </c>
      <c r="G185" s="550" t="s">
        <v>357</v>
      </c>
      <c r="H185" s="677" t="s">
        <v>357</v>
      </c>
      <c r="I185" s="276" t="s">
        <v>357</v>
      </c>
      <c r="J185" s="453" t="s">
        <v>357</v>
      </c>
      <c r="K185" s="453" t="s">
        <v>357</v>
      </c>
      <c r="L185" s="454" t="s">
        <v>357</v>
      </c>
      <c r="M185" s="443" t="s">
        <v>357</v>
      </c>
      <c r="N185" s="406" t="s">
        <v>357</v>
      </c>
      <c r="O185" s="757" t="s">
        <v>357</v>
      </c>
      <c r="P185" s="818" t="s">
        <v>357</v>
      </c>
      <c r="Q185" s="968" t="s">
        <v>357</v>
      </c>
      <c r="R185" s="677" t="s">
        <v>357</v>
      </c>
      <c r="S185" s="451" t="s">
        <v>357</v>
      </c>
      <c r="T185" s="121" t="s">
        <v>357</v>
      </c>
      <c r="U185" s="449" t="s">
        <v>357</v>
      </c>
      <c r="V185" s="121" t="s">
        <v>357</v>
      </c>
      <c r="W185" s="451" t="s">
        <v>357</v>
      </c>
      <c r="X185" s="450" t="s">
        <v>357</v>
      </c>
      <c r="Y185" s="450" t="s">
        <v>357</v>
      </c>
      <c r="Z185" s="450" t="s">
        <v>357</v>
      </c>
      <c r="AA185" s="450" t="s">
        <v>357</v>
      </c>
      <c r="AB185" s="913" t="s">
        <v>357</v>
      </c>
      <c r="AC185" s="120" t="s">
        <v>357</v>
      </c>
      <c r="AD185" s="120" t="s">
        <v>357</v>
      </c>
      <c r="AE185" s="120" t="s">
        <v>357</v>
      </c>
      <c r="AF185" s="72" t="s">
        <v>357</v>
      </c>
    </row>
    <row r="186" spans="1:32" ht="35.25" customHeight="1" thickBot="1" x14ac:dyDescent="0.3">
      <c r="A186" s="370" t="s">
        <v>317</v>
      </c>
      <c r="B186" s="371" t="s">
        <v>317</v>
      </c>
      <c r="C186" s="79" t="s">
        <v>317</v>
      </c>
      <c r="D186" s="59" t="s">
        <v>317</v>
      </c>
      <c r="E186" s="79" t="s">
        <v>317</v>
      </c>
      <c r="F186" s="79" t="s">
        <v>317</v>
      </c>
      <c r="G186" s="404" t="s">
        <v>371</v>
      </c>
      <c r="H186" s="892">
        <f t="shared" ref="H186:Z186" si="9">SUM(H121:H185)</f>
        <v>805832.6002318</v>
      </c>
      <c r="I186" s="892">
        <f t="shared" si="9"/>
        <v>49541.452109999991</v>
      </c>
      <c r="J186" s="892">
        <f t="shared" si="9"/>
        <v>12783.126479999999</v>
      </c>
      <c r="K186" s="892">
        <f t="shared" si="9"/>
        <v>40280.709340000001</v>
      </c>
      <c r="L186" s="892">
        <f t="shared" si="9"/>
        <v>4578.1943300000003</v>
      </c>
      <c r="M186" s="892">
        <f t="shared" si="9"/>
        <v>68512.060259999998</v>
      </c>
      <c r="N186" s="892">
        <f t="shared" si="9"/>
        <v>62949.327639999996</v>
      </c>
      <c r="O186" s="892">
        <f t="shared" si="9"/>
        <v>204525.22372000004</v>
      </c>
      <c r="P186" s="892">
        <f t="shared" si="9"/>
        <v>-20000</v>
      </c>
      <c r="Q186" s="892">
        <f t="shared" si="9"/>
        <v>184525.22372000004</v>
      </c>
      <c r="R186" s="892">
        <f t="shared" si="9"/>
        <v>508455.28613000002</v>
      </c>
      <c r="S186" s="892">
        <f t="shared" si="9"/>
        <v>53060.270000000004</v>
      </c>
      <c r="T186" s="892">
        <f t="shared" si="9"/>
        <v>1360.8782718</v>
      </c>
      <c r="U186" s="892">
        <f t="shared" si="9"/>
        <v>0</v>
      </c>
      <c r="V186" s="892">
        <f t="shared" si="9"/>
        <v>8889.49</v>
      </c>
      <c r="W186" s="892">
        <f t="shared" si="9"/>
        <v>160109.19365</v>
      </c>
      <c r="X186" s="892">
        <f t="shared" si="9"/>
        <v>29879.317360000001</v>
      </c>
      <c r="Y186" s="892">
        <f t="shared" si="9"/>
        <v>109175.12192000001</v>
      </c>
      <c r="Z186" s="892">
        <f t="shared" si="9"/>
        <v>50934.071730000003</v>
      </c>
      <c r="AA186" s="66" t="s">
        <v>943</v>
      </c>
      <c r="AB186" s="59" t="s">
        <v>317</v>
      </c>
      <c r="AC186" s="932" t="s">
        <v>317</v>
      </c>
      <c r="AD186" s="326" t="s">
        <v>317</v>
      </c>
      <c r="AE186" s="932" t="s">
        <v>317</v>
      </c>
      <c r="AF186" s="179" t="s">
        <v>317</v>
      </c>
    </row>
    <row r="187" spans="1:32" ht="30" x14ac:dyDescent="0.25">
      <c r="A187" s="502" t="s">
        <v>124</v>
      </c>
      <c r="B187" s="464" t="s">
        <v>125</v>
      </c>
      <c r="C187" s="286">
        <v>2011</v>
      </c>
      <c r="D187" s="285" t="s">
        <v>600</v>
      </c>
      <c r="E187" s="342" t="s">
        <v>10</v>
      </c>
      <c r="F187" s="494" t="s">
        <v>126</v>
      </c>
      <c r="G187" s="1169" t="s">
        <v>127</v>
      </c>
      <c r="H187" s="541">
        <v>43778.67959</v>
      </c>
      <c r="I187" s="541">
        <v>23888.007640000003</v>
      </c>
      <c r="J187" s="541">
        <v>0</v>
      </c>
      <c r="K187" s="541">
        <v>0</v>
      </c>
      <c r="L187" s="495">
        <v>90.75</v>
      </c>
      <c r="M187" s="1170">
        <v>90.75</v>
      </c>
      <c r="N187" s="1171">
        <v>0</v>
      </c>
      <c r="O187" s="510">
        <v>267.67194999999992</v>
      </c>
      <c r="P187" s="586">
        <v>-176.92195000000001</v>
      </c>
      <c r="Q187" s="1046">
        <f>O187+P187</f>
        <v>90.749999999999915</v>
      </c>
      <c r="R187" s="1156">
        <v>11000</v>
      </c>
      <c r="S187" s="1172">
        <f>8623+176.92195</f>
        <v>8799.9219499999999</v>
      </c>
      <c r="T187" s="1173">
        <v>0</v>
      </c>
      <c r="U187" s="1174">
        <v>0</v>
      </c>
      <c r="V187" s="503">
        <v>0</v>
      </c>
      <c r="W187" s="1172">
        <v>0</v>
      </c>
      <c r="X187" s="504">
        <v>0</v>
      </c>
      <c r="Y187" s="504">
        <v>0</v>
      </c>
      <c r="Z187" s="504">
        <v>0</v>
      </c>
      <c r="AA187" s="239" t="s">
        <v>991</v>
      </c>
      <c r="AB187" s="286" t="s">
        <v>28</v>
      </c>
      <c r="AC187" s="478" t="s">
        <v>601</v>
      </c>
      <c r="AD187" s="478" t="s">
        <v>339</v>
      </c>
      <c r="AE187" s="489" t="s">
        <v>339</v>
      </c>
      <c r="AF187" s="490" t="s">
        <v>363</v>
      </c>
    </row>
    <row r="188" spans="1:32" s="698" customFormat="1" ht="38.25" x14ac:dyDescent="0.25">
      <c r="A188" s="36" t="s">
        <v>134</v>
      </c>
      <c r="B188" s="915" t="s">
        <v>135</v>
      </c>
      <c r="C188" s="882">
        <v>2017</v>
      </c>
      <c r="D188" s="908" t="s">
        <v>416</v>
      </c>
      <c r="E188" s="914" t="s">
        <v>136</v>
      </c>
      <c r="F188" s="46" t="s">
        <v>344</v>
      </c>
      <c r="G188" s="277" t="s">
        <v>137</v>
      </c>
      <c r="H188" s="907">
        <f>31863.701+5998.148</f>
        <v>37861.849000000002</v>
      </c>
      <c r="I188" s="907">
        <v>21079.254870000001</v>
      </c>
      <c r="J188" s="907">
        <v>7706.62417</v>
      </c>
      <c r="K188" s="907">
        <v>8670.8633000000009</v>
      </c>
      <c r="L188" s="895">
        <v>0</v>
      </c>
      <c r="M188" s="787">
        <f>H188-I188-J188-K188</f>
        <v>405.10666000000128</v>
      </c>
      <c r="N188" s="881">
        <v>0</v>
      </c>
      <c r="O188" s="923">
        <v>16782.594130000001</v>
      </c>
      <c r="P188" s="922">
        <v>0</v>
      </c>
      <c r="Q188" s="962">
        <f>O188+P188</f>
        <v>16782.594130000001</v>
      </c>
      <c r="R188" s="902">
        <v>0</v>
      </c>
      <c r="S188" s="921">
        <v>0</v>
      </c>
      <c r="T188" s="679">
        <v>0</v>
      </c>
      <c r="U188" s="790">
        <v>0</v>
      </c>
      <c r="V188" s="911">
        <v>0</v>
      </c>
      <c r="W188" s="625">
        <v>0</v>
      </c>
      <c r="X188" s="393">
        <v>0</v>
      </c>
      <c r="Y188" s="393">
        <v>0</v>
      </c>
      <c r="Z188" s="393">
        <v>0</v>
      </c>
      <c r="AA188" s="64" t="s">
        <v>317</v>
      </c>
      <c r="AB188" s="908" t="s">
        <v>28</v>
      </c>
      <c r="AC188" s="918" t="s">
        <v>617</v>
      </c>
      <c r="AD188" s="918" t="s">
        <v>339</v>
      </c>
      <c r="AE188" s="918" t="s">
        <v>339</v>
      </c>
      <c r="AF188" s="916" t="s">
        <v>363</v>
      </c>
    </row>
    <row r="189" spans="1:32" ht="38.25" x14ac:dyDescent="0.25">
      <c r="A189" s="38" t="s">
        <v>138</v>
      </c>
      <c r="B189" s="63" t="s">
        <v>139</v>
      </c>
      <c r="C189" s="39">
        <v>2017</v>
      </c>
      <c r="D189" s="34" t="s">
        <v>415</v>
      </c>
      <c r="E189" s="35" t="s">
        <v>140</v>
      </c>
      <c r="F189" s="40" t="s">
        <v>140</v>
      </c>
      <c r="G189" s="86" t="s">
        <v>141</v>
      </c>
      <c r="H189" s="6">
        <f>1560.66-1469.16</f>
        <v>91.5</v>
      </c>
      <c r="I189" s="41">
        <v>91.5</v>
      </c>
      <c r="J189" s="41">
        <v>0</v>
      </c>
      <c r="K189" s="41">
        <v>0</v>
      </c>
      <c r="L189" s="330">
        <v>0</v>
      </c>
      <c r="M189" s="124">
        <v>0</v>
      </c>
      <c r="N189" s="7">
        <v>0</v>
      </c>
      <c r="O189" s="801">
        <v>0</v>
      </c>
      <c r="P189" s="645">
        <v>0</v>
      </c>
      <c r="Q189" s="970">
        <f>O189+P189</f>
        <v>0</v>
      </c>
      <c r="R189" s="902">
        <v>0</v>
      </c>
      <c r="S189" s="631">
        <v>0</v>
      </c>
      <c r="T189" s="680">
        <v>0</v>
      </c>
      <c r="U189" s="491">
        <v>0</v>
      </c>
      <c r="V189" s="16">
        <v>0</v>
      </c>
      <c r="W189" s="125">
        <v>0</v>
      </c>
      <c r="X189" s="126">
        <v>0</v>
      </c>
      <c r="Y189" s="126">
        <v>0</v>
      </c>
      <c r="Z189" s="126">
        <v>0</v>
      </c>
      <c r="AA189" s="60" t="s">
        <v>1007</v>
      </c>
      <c r="AB189" s="34" t="s">
        <v>352</v>
      </c>
      <c r="AC189" s="127" t="s">
        <v>618</v>
      </c>
      <c r="AD189" s="127" t="s">
        <v>338</v>
      </c>
      <c r="AE189" s="127" t="s">
        <v>338</v>
      </c>
      <c r="AF189" s="33" t="s">
        <v>363</v>
      </c>
    </row>
    <row r="190" spans="1:32" ht="30" x14ac:dyDescent="0.25">
      <c r="A190" s="36" t="s">
        <v>145</v>
      </c>
      <c r="B190" s="48" t="s">
        <v>146</v>
      </c>
      <c r="C190" s="908">
        <v>2018</v>
      </c>
      <c r="D190" s="908" t="s">
        <v>332</v>
      </c>
      <c r="E190" s="914" t="s">
        <v>10</v>
      </c>
      <c r="F190" s="772" t="s">
        <v>10</v>
      </c>
      <c r="G190" s="780" t="s">
        <v>345</v>
      </c>
      <c r="H190" s="909">
        <v>17500</v>
      </c>
      <c r="I190" s="907">
        <v>0</v>
      </c>
      <c r="J190" s="907">
        <v>0</v>
      </c>
      <c r="K190" s="907">
        <v>0</v>
      </c>
      <c r="L190" s="895">
        <v>0</v>
      </c>
      <c r="M190" s="920">
        <v>0</v>
      </c>
      <c r="N190" s="910">
        <v>0</v>
      </c>
      <c r="O190" s="923">
        <v>0</v>
      </c>
      <c r="P190" s="922">
        <v>0</v>
      </c>
      <c r="Q190" s="962">
        <f>O190+P190</f>
        <v>0</v>
      </c>
      <c r="R190" s="902">
        <v>12500</v>
      </c>
      <c r="S190" s="921">
        <v>5000</v>
      </c>
      <c r="T190" s="679">
        <v>0</v>
      </c>
      <c r="U190" s="790">
        <v>0</v>
      </c>
      <c r="V190" s="911">
        <v>0</v>
      </c>
      <c r="W190" s="921">
        <v>0</v>
      </c>
      <c r="X190" s="912">
        <v>0</v>
      </c>
      <c r="Y190" s="912">
        <v>0</v>
      </c>
      <c r="Z190" s="912">
        <v>0</v>
      </c>
      <c r="AA190" s="25" t="s">
        <v>317</v>
      </c>
      <c r="AB190" s="908" t="s">
        <v>117</v>
      </c>
      <c r="AC190" s="918" t="s">
        <v>601</v>
      </c>
      <c r="AD190" s="918" t="s">
        <v>338</v>
      </c>
      <c r="AE190" s="918" t="s">
        <v>338</v>
      </c>
      <c r="AF190" s="916" t="s">
        <v>362</v>
      </c>
    </row>
    <row r="191" spans="1:32" ht="30" x14ac:dyDescent="0.25">
      <c r="A191" s="36" t="s">
        <v>150</v>
      </c>
      <c r="B191" s="915" t="s">
        <v>151</v>
      </c>
      <c r="C191" s="908">
        <v>2018</v>
      </c>
      <c r="D191" s="908" t="s">
        <v>332</v>
      </c>
      <c r="E191" s="914" t="s">
        <v>152</v>
      </c>
      <c r="F191" s="772" t="s">
        <v>152</v>
      </c>
      <c r="G191" s="780" t="s">
        <v>153</v>
      </c>
      <c r="H191" s="909">
        <v>44571.911999999997</v>
      </c>
      <c r="I191" s="907">
        <v>0</v>
      </c>
      <c r="J191" s="907">
        <v>0</v>
      </c>
      <c r="K191" s="907">
        <v>907.5</v>
      </c>
      <c r="L191" s="895">
        <v>0</v>
      </c>
      <c r="M191" s="787">
        <v>0</v>
      </c>
      <c r="N191" s="881">
        <v>0</v>
      </c>
      <c r="O191" s="923">
        <v>907.5</v>
      </c>
      <c r="P191" s="922">
        <v>0</v>
      </c>
      <c r="Q191" s="962">
        <f t="shared" ref="Q191:Q217" si="10">O191+P191</f>
        <v>907.5</v>
      </c>
      <c r="R191" s="901">
        <v>15000</v>
      </c>
      <c r="S191" s="626">
        <v>27436.261999999999</v>
      </c>
      <c r="T191" s="11">
        <v>1228.1500000000001</v>
      </c>
      <c r="U191" s="920">
        <v>0</v>
      </c>
      <c r="V191" s="911">
        <v>0</v>
      </c>
      <c r="W191" s="921">
        <v>0</v>
      </c>
      <c r="X191" s="912">
        <v>0</v>
      </c>
      <c r="Y191" s="912">
        <v>0</v>
      </c>
      <c r="Z191" s="912">
        <v>0</v>
      </c>
      <c r="AA191" s="25" t="s">
        <v>992</v>
      </c>
      <c r="AB191" s="908" t="s">
        <v>17</v>
      </c>
      <c r="AC191" s="918" t="s">
        <v>835</v>
      </c>
      <c r="AD191" s="918" t="s">
        <v>338</v>
      </c>
      <c r="AE191" s="918" t="s">
        <v>338</v>
      </c>
      <c r="AF191" s="916" t="s">
        <v>363</v>
      </c>
    </row>
    <row r="192" spans="1:32" ht="25.5" x14ac:dyDescent="0.25">
      <c r="A192" s="36" t="s">
        <v>154</v>
      </c>
      <c r="B192" s="915" t="s">
        <v>155</v>
      </c>
      <c r="C192" s="908">
        <v>2018</v>
      </c>
      <c r="D192" s="908" t="s">
        <v>332</v>
      </c>
      <c r="E192" s="914" t="s">
        <v>152</v>
      </c>
      <c r="F192" s="772" t="s">
        <v>152</v>
      </c>
      <c r="G192" s="780" t="s">
        <v>630</v>
      </c>
      <c r="H192" s="909">
        <v>96.8</v>
      </c>
      <c r="I192" s="907">
        <v>0</v>
      </c>
      <c r="J192" s="907">
        <v>0</v>
      </c>
      <c r="K192" s="907">
        <v>0</v>
      </c>
      <c r="L192" s="895">
        <v>0</v>
      </c>
      <c r="M192" s="920">
        <v>0</v>
      </c>
      <c r="N192" s="910">
        <v>0</v>
      </c>
      <c r="O192" s="923">
        <v>0</v>
      </c>
      <c r="P192" s="922">
        <v>0</v>
      </c>
      <c r="Q192" s="962">
        <f t="shared" si="10"/>
        <v>0</v>
      </c>
      <c r="R192" s="902">
        <v>96.8</v>
      </c>
      <c r="S192" s="625">
        <v>0</v>
      </c>
      <c r="T192" s="679">
        <v>0</v>
      </c>
      <c r="U192" s="790">
        <v>0</v>
      </c>
      <c r="V192" s="911">
        <v>0</v>
      </c>
      <c r="W192" s="625">
        <v>0</v>
      </c>
      <c r="X192" s="393">
        <v>0</v>
      </c>
      <c r="Y192" s="393">
        <v>0</v>
      </c>
      <c r="Z192" s="393">
        <v>0</v>
      </c>
      <c r="AA192" s="25" t="s">
        <v>317</v>
      </c>
      <c r="AB192" s="908" t="s">
        <v>117</v>
      </c>
      <c r="AC192" s="918" t="s">
        <v>536</v>
      </c>
      <c r="AD192" s="918" t="s">
        <v>338</v>
      </c>
      <c r="AE192" s="918" t="s">
        <v>338</v>
      </c>
      <c r="AF192" s="916" t="s">
        <v>364</v>
      </c>
    </row>
    <row r="193" spans="1:32" ht="30" x14ac:dyDescent="0.25">
      <c r="A193" s="771" t="s">
        <v>156</v>
      </c>
      <c r="B193" s="915" t="s">
        <v>157</v>
      </c>
      <c r="C193" s="908">
        <v>2018</v>
      </c>
      <c r="D193" s="908" t="s">
        <v>332</v>
      </c>
      <c r="E193" s="914" t="s">
        <v>158</v>
      </c>
      <c r="F193" s="772" t="s">
        <v>159</v>
      </c>
      <c r="G193" s="780" t="s">
        <v>160</v>
      </c>
      <c r="H193" s="909">
        <v>248655</v>
      </c>
      <c r="I193" s="907">
        <v>1790.7999999999997</v>
      </c>
      <c r="J193" s="907">
        <v>0</v>
      </c>
      <c r="K193" s="907">
        <v>0</v>
      </c>
      <c r="L193" s="895">
        <v>0</v>
      </c>
      <c r="M193" s="920">
        <v>0</v>
      </c>
      <c r="N193" s="910">
        <v>0</v>
      </c>
      <c r="O193" s="923">
        <v>0</v>
      </c>
      <c r="P193" s="922">
        <v>0</v>
      </c>
      <c r="Q193" s="962">
        <f t="shared" si="10"/>
        <v>0</v>
      </c>
      <c r="R193" s="902">
        <f>46864.2-6134.7</f>
        <v>40729.5</v>
      </c>
      <c r="S193" s="625">
        <v>200000</v>
      </c>
      <c r="T193" s="11">
        <v>6134.7</v>
      </c>
      <c r="U193" s="790">
        <v>0</v>
      </c>
      <c r="V193" s="911">
        <v>0</v>
      </c>
      <c r="W193" s="921">
        <v>0</v>
      </c>
      <c r="X193" s="912">
        <v>0</v>
      </c>
      <c r="Y193" s="912">
        <v>0</v>
      </c>
      <c r="Z193" s="912">
        <v>0</v>
      </c>
      <c r="AA193" s="25" t="s">
        <v>993</v>
      </c>
      <c r="AB193" s="908" t="s">
        <v>17</v>
      </c>
      <c r="AC193" s="918" t="s">
        <v>536</v>
      </c>
      <c r="AD193" s="918" t="s">
        <v>338</v>
      </c>
      <c r="AE193" s="918" t="s">
        <v>338</v>
      </c>
      <c r="AF193" s="916" t="s">
        <v>364</v>
      </c>
    </row>
    <row r="194" spans="1:32" ht="30.75" thickBot="1" x14ac:dyDescent="0.3">
      <c r="A194" s="69" t="s">
        <v>161</v>
      </c>
      <c r="B194" s="70" t="s">
        <v>162</v>
      </c>
      <c r="C194" s="893">
        <v>2018</v>
      </c>
      <c r="D194" s="893" t="s">
        <v>332</v>
      </c>
      <c r="E194" s="887" t="s">
        <v>132</v>
      </c>
      <c r="F194" s="278" t="s">
        <v>132</v>
      </c>
      <c r="G194" s="394" t="s">
        <v>346</v>
      </c>
      <c r="H194" s="20">
        <v>248655</v>
      </c>
      <c r="I194" s="91">
        <v>1724.069</v>
      </c>
      <c r="J194" s="91">
        <v>0</v>
      </c>
      <c r="K194" s="91">
        <v>0</v>
      </c>
      <c r="L194" s="291">
        <v>0</v>
      </c>
      <c r="M194" s="123">
        <v>400</v>
      </c>
      <c r="N194" s="21">
        <v>0</v>
      </c>
      <c r="O194" s="751">
        <v>400</v>
      </c>
      <c r="P194" s="635">
        <v>0</v>
      </c>
      <c r="Q194" s="964">
        <f t="shared" si="10"/>
        <v>400</v>
      </c>
      <c r="R194" s="527">
        <v>23330.931</v>
      </c>
      <c r="S194" s="540">
        <v>223200</v>
      </c>
      <c r="T194" s="53">
        <v>0</v>
      </c>
      <c r="U194" s="123">
        <v>0</v>
      </c>
      <c r="V194" s="53">
        <v>0</v>
      </c>
      <c r="W194" s="540">
        <v>0</v>
      </c>
      <c r="X194" s="279">
        <v>0</v>
      </c>
      <c r="Y194" s="279">
        <v>0</v>
      </c>
      <c r="Z194" s="279">
        <v>0</v>
      </c>
      <c r="AA194" s="893" t="s">
        <v>317</v>
      </c>
      <c r="AB194" s="893" t="s">
        <v>17</v>
      </c>
      <c r="AC194" s="119" t="s">
        <v>536</v>
      </c>
      <c r="AD194" s="119" t="s">
        <v>338</v>
      </c>
      <c r="AE194" s="119" t="s">
        <v>338</v>
      </c>
      <c r="AF194" s="72" t="s">
        <v>363</v>
      </c>
    </row>
    <row r="195" spans="1:32" ht="30" x14ac:dyDescent="0.25">
      <c r="A195" s="58" t="s">
        <v>164</v>
      </c>
      <c r="B195" s="889" t="s">
        <v>347</v>
      </c>
      <c r="C195" s="886">
        <v>2019</v>
      </c>
      <c r="D195" s="886" t="s">
        <v>328</v>
      </c>
      <c r="E195" s="888" t="s">
        <v>132</v>
      </c>
      <c r="F195" s="81" t="s">
        <v>132</v>
      </c>
      <c r="G195" s="1351" t="s">
        <v>165</v>
      </c>
      <c r="H195" s="769">
        <v>11500</v>
      </c>
      <c r="I195" s="769">
        <v>1353.02333</v>
      </c>
      <c r="J195" s="769">
        <v>30.25</v>
      </c>
      <c r="K195" s="769">
        <v>163.35</v>
      </c>
      <c r="L195" s="24">
        <v>0</v>
      </c>
      <c r="M195" s="897">
        <v>6.4</v>
      </c>
      <c r="N195" s="1352">
        <v>0</v>
      </c>
      <c r="O195" s="756">
        <v>200</v>
      </c>
      <c r="P195" s="748">
        <v>0</v>
      </c>
      <c r="Q195" s="969">
        <f t="shared" si="10"/>
        <v>200</v>
      </c>
      <c r="R195" s="814">
        <v>9946.97667</v>
      </c>
      <c r="S195" s="632">
        <v>0</v>
      </c>
      <c r="T195" s="778">
        <v>0</v>
      </c>
      <c r="U195" s="897">
        <v>0</v>
      </c>
      <c r="V195" s="778">
        <v>0</v>
      </c>
      <c r="W195" s="632">
        <v>0</v>
      </c>
      <c r="X195" s="728">
        <v>0</v>
      </c>
      <c r="Y195" s="728">
        <v>0</v>
      </c>
      <c r="Z195" s="728">
        <v>0</v>
      </c>
      <c r="AA195" s="68" t="s">
        <v>317</v>
      </c>
      <c r="AB195" s="68" t="s">
        <v>17</v>
      </c>
      <c r="AC195" s="919" t="s">
        <v>617</v>
      </c>
      <c r="AD195" s="1353" t="s">
        <v>338</v>
      </c>
      <c r="AE195" s="1353" t="s">
        <v>338</v>
      </c>
      <c r="AF195" s="1354">
        <v>1</v>
      </c>
    </row>
    <row r="196" spans="1:32" s="698" customFormat="1" ht="30" x14ac:dyDescent="0.25">
      <c r="A196" s="71" t="s">
        <v>166</v>
      </c>
      <c r="B196" s="61" t="s">
        <v>348</v>
      </c>
      <c r="C196" s="34">
        <v>2019</v>
      </c>
      <c r="D196" s="34" t="s">
        <v>328</v>
      </c>
      <c r="E196" s="35" t="s">
        <v>142</v>
      </c>
      <c r="F196" s="40" t="s">
        <v>147</v>
      </c>
      <c r="G196" s="86" t="s">
        <v>167</v>
      </c>
      <c r="H196" s="6">
        <f>4607.45453-995.78334+440.8514+554.931</f>
        <v>4607.4535900000001</v>
      </c>
      <c r="I196" s="6">
        <v>2407.45453</v>
      </c>
      <c r="J196" s="6">
        <v>1645.0680600000001</v>
      </c>
      <c r="K196" s="6">
        <v>554.93100000000004</v>
      </c>
      <c r="L196" s="196">
        <v>0</v>
      </c>
      <c r="M196" s="124">
        <v>0</v>
      </c>
      <c r="N196" s="7">
        <v>0</v>
      </c>
      <c r="O196" s="1355">
        <v>2199.9990600000001</v>
      </c>
      <c r="P196" s="1356">
        <v>0</v>
      </c>
      <c r="Q196" s="970">
        <f t="shared" si="10"/>
        <v>2199.9990600000001</v>
      </c>
      <c r="R196" s="240">
        <v>0</v>
      </c>
      <c r="S196" s="125">
        <v>0</v>
      </c>
      <c r="T196" s="16">
        <v>0</v>
      </c>
      <c r="U196" s="124">
        <v>0</v>
      </c>
      <c r="V196" s="16">
        <v>0</v>
      </c>
      <c r="W196" s="125">
        <v>0</v>
      </c>
      <c r="X196" s="126">
        <v>0</v>
      </c>
      <c r="Y196" s="126">
        <v>0</v>
      </c>
      <c r="Z196" s="126">
        <v>0</v>
      </c>
      <c r="AA196" s="60" t="s">
        <v>994</v>
      </c>
      <c r="AB196" s="60" t="s">
        <v>352</v>
      </c>
      <c r="AC196" s="127" t="s">
        <v>568</v>
      </c>
      <c r="AD196" s="159" t="s">
        <v>339</v>
      </c>
      <c r="AE196" s="159" t="s">
        <v>339</v>
      </c>
      <c r="AF196" s="213">
        <v>1</v>
      </c>
    </row>
    <row r="197" spans="1:32" s="698" customFormat="1" ht="30" x14ac:dyDescent="0.25">
      <c r="A197" s="36" t="s">
        <v>168</v>
      </c>
      <c r="B197" s="915" t="s">
        <v>349</v>
      </c>
      <c r="C197" s="908">
        <v>2019</v>
      </c>
      <c r="D197" s="908" t="s">
        <v>328</v>
      </c>
      <c r="E197" s="914" t="s">
        <v>130</v>
      </c>
      <c r="F197" s="772" t="s">
        <v>130</v>
      </c>
      <c r="G197" s="780" t="s">
        <v>323</v>
      </c>
      <c r="H197" s="909">
        <v>50410.85</v>
      </c>
      <c r="I197" s="907">
        <v>0</v>
      </c>
      <c r="J197" s="907">
        <v>0</v>
      </c>
      <c r="K197" s="907">
        <v>0</v>
      </c>
      <c r="L197" s="895">
        <v>0</v>
      </c>
      <c r="M197" s="920">
        <v>2830</v>
      </c>
      <c r="N197" s="910">
        <v>0</v>
      </c>
      <c r="O197" s="923">
        <v>2830</v>
      </c>
      <c r="P197" s="922">
        <v>0</v>
      </c>
      <c r="Q197" s="962">
        <f t="shared" si="10"/>
        <v>2830</v>
      </c>
      <c r="R197" s="902">
        <v>17170</v>
      </c>
      <c r="S197" s="921">
        <v>30410.85</v>
      </c>
      <c r="T197" s="911">
        <v>0</v>
      </c>
      <c r="U197" s="920">
        <v>0</v>
      </c>
      <c r="V197" s="911">
        <v>0</v>
      </c>
      <c r="W197" s="921">
        <v>0</v>
      </c>
      <c r="X197" s="912">
        <v>0</v>
      </c>
      <c r="Y197" s="912">
        <v>0</v>
      </c>
      <c r="Z197" s="912">
        <v>0</v>
      </c>
      <c r="AA197" s="25" t="s">
        <v>317</v>
      </c>
      <c r="AB197" s="25" t="s">
        <v>12</v>
      </c>
      <c r="AC197" s="918" t="s">
        <v>536</v>
      </c>
      <c r="AD197" s="544" t="s">
        <v>338</v>
      </c>
      <c r="AE197" s="544" t="s">
        <v>338</v>
      </c>
      <c r="AF197" s="212">
        <v>1</v>
      </c>
    </row>
    <row r="198" spans="1:32" ht="25.5" x14ac:dyDescent="0.25">
      <c r="A198" s="36" t="s">
        <v>169</v>
      </c>
      <c r="B198" s="915" t="s">
        <v>350</v>
      </c>
      <c r="C198" s="908">
        <v>2019</v>
      </c>
      <c r="D198" s="908" t="s">
        <v>328</v>
      </c>
      <c r="E198" s="914" t="s">
        <v>143</v>
      </c>
      <c r="F198" s="772" t="s">
        <v>143</v>
      </c>
      <c r="G198" s="780" t="s">
        <v>170</v>
      </c>
      <c r="H198" s="909">
        <v>8500</v>
      </c>
      <c r="I198" s="907">
        <v>347.834</v>
      </c>
      <c r="J198" s="907">
        <v>0</v>
      </c>
      <c r="K198" s="907">
        <v>0</v>
      </c>
      <c r="L198" s="895">
        <v>0</v>
      </c>
      <c r="M198" s="920">
        <v>0</v>
      </c>
      <c r="N198" s="910">
        <v>0</v>
      </c>
      <c r="O198" s="923">
        <v>0</v>
      </c>
      <c r="P198" s="922">
        <v>0</v>
      </c>
      <c r="Q198" s="962">
        <f t="shared" si="10"/>
        <v>0</v>
      </c>
      <c r="R198" s="902">
        <v>8152.1660000000002</v>
      </c>
      <c r="S198" s="921">
        <v>0</v>
      </c>
      <c r="T198" s="911">
        <v>0</v>
      </c>
      <c r="U198" s="920">
        <v>0</v>
      </c>
      <c r="V198" s="911">
        <v>0</v>
      </c>
      <c r="W198" s="921">
        <v>0</v>
      </c>
      <c r="X198" s="912">
        <v>0</v>
      </c>
      <c r="Y198" s="912">
        <v>0</v>
      </c>
      <c r="Z198" s="912">
        <v>0</v>
      </c>
      <c r="AA198" s="25" t="s">
        <v>995</v>
      </c>
      <c r="AB198" s="25" t="s">
        <v>12</v>
      </c>
      <c r="AC198" s="918" t="s">
        <v>536</v>
      </c>
      <c r="AD198" s="544" t="s">
        <v>338</v>
      </c>
      <c r="AE198" s="544" t="s">
        <v>338</v>
      </c>
      <c r="AF198" s="212">
        <v>2</v>
      </c>
    </row>
    <row r="199" spans="1:32" ht="30.75" thickBot="1" x14ac:dyDescent="0.3">
      <c r="A199" s="69" t="s">
        <v>171</v>
      </c>
      <c r="B199" s="70" t="s">
        <v>351</v>
      </c>
      <c r="C199" s="893">
        <v>2019</v>
      </c>
      <c r="D199" s="893" t="s">
        <v>328</v>
      </c>
      <c r="E199" s="887" t="s">
        <v>133</v>
      </c>
      <c r="F199" s="278" t="s">
        <v>133</v>
      </c>
      <c r="G199" s="394" t="s">
        <v>172</v>
      </c>
      <c r="H199" s="20">
        <v>11482.15372</v>
      </c>
      <c r="I199" s="20">
        <v>0</v>
      </c>
      <c r="J199" s="20">
        <v>0</v>
      </c>
      <c r="K199" s="20">
        <v>1655.6647599999999</v>
      </c>
      <c r="L199" s="216">
        <v>984.91668000000004</v>
      </c>
      <c r="M199" s="123">
        <v>4500</v>
      </c>
      <c r="N199" s="21">
        <v>5326.4889600000006</v>
      </c>
      <c r="O199" s="751">
        <v>11482.15372</v>
      </c>
      <c r="P199" s="635">
        <v>0</v>
      </c>
      <c r="Q199" s="964">
        <f t="shared" si="10"/>
        <v>11482.15372</v>
      </c>
      <c r="R199" s="527">
        <v>0</v>
      </c>
      <c r="S199" s="540">
        <v>0</v>
      </c>
      <c r="T199" s="53">
        <v>0</v>
      </c>
      <c r="U199" s="123">
        <v>0</v>
      </c>
      <c r="V199" s="53">
        <v>0</v>
      </c>
      <c r="W199" s="540">
        <v>0</v>
      </c>
      <c r="X199" s="279">
        <v>0</v>
      </c>
      <c r="Y199" s="279">
        <v>0</v>
      </c>
      <c r="Z199" s="279">
        <v>0</v>
      </c>
      <c r="AA199" s="67" t="s">
        <v>742</v>
      </c>
      <c r="AB199" s="67" t="s">
        <v>28</v>
      </c>
      <c r="AC199" s="119" t="s">
        <v>536</v>
      </c>
      <c r="AD199" s="760" t="s">
        <v>339</v>
      </c>
      <c r="AE199" s="760" t="s">
        <v>339</v>
      </c>
      <c r="AF199" s="761">
        <v>1</v>
      </c>
    </row>
    <row r="200" spans="1:32" ht="30.75" thickBot="1" x14ac:dyDescent="0.3">
      <c r="A200" s="182" t="s">
        <v>404</v>
      </c>
      <c r="B200" s="183" t="s">
        <v>537</v>
      </c>
      <c r="C200" s="184">
        <v>2019</v>
      </c>
      <c r="D200" s="184" t="s">
        <v>482</v>
      </c>
      <c r="E200" s="232" t="s">
        <v>132</v>
      </c>
      <c r="F200" s="185" t="s">
        <v>132</v>
      </c>
      <c r="G200" s="186" t="s">
        <v>405</v>
      </c>
      <c r="H200" s="187">
        <v>1736.33475</v>
      </c>
      <c r="I200" s="187">
        <v>1547.826</v>
      </c>
      <c r="J200" s="187">
        <v>188.50874999999999</v>
      </c>
      <c r="K200" s="187">
        <v>0</v>
      </c>
      <c r="L200" s="201">
        <v>0</v>
      </c>
      <c r="M200" s="267">
        <v>0</v>
      </c>
      <c r="N200" s="190">
        <v>0</v>
      </c>
      <c r="O200" s="806">
        <v>188.50874999999996</v>
      </c>
      <c r="P200" s="665">
        <v>0</v>
      </c>
      <c r="Q200" s="974">
        <f t="shared" si="10"/>
        <v>188.50874999999996</v>
      </c>
      <c r="R200" s="866">
        <v>0</v>
      </c>
      <c r="S200" s="663">
        <v>0</v>
      </c>
      <c r="T200" s="203">
        <v>0</v>
      </c>
      <c r="U200" s="267">
        <v>0</v>
      </c>
      <c r="V200" s="203">
        <v>0</v>
      </c>
      <c r="W200" s="663">
        <v>0</v>
      </c>
      <c r="X200" s="668">
        <v>0</v>
      </c>
      <c r="Y200" s="668">
        <v>0</v>
      </c>
      <c r="Z200" s="668">
        <v>0</v>
      </c>
      <c r="AA200" s="65" t="s">
        <v>317</v>
      </c>
      <c r="AB200" s="210" t="s">
        <v>352</v>
      </c>
      <c r="AC200" s="233" t="s">
        <v>409</v>
      </c>
      <c r="AD200" s="867" t="s">
        <v>339</v>
      </c>
      <c r="AE200" s="867" t="s">
        <v>339</v>
      </c>
      <c r="AF200" s="214" t="s">
        <v>363</v>
      </c>
    </row>
    <row r="201" spans="1:32" ht="25.5" x14ac:dyDescent="0.25">
      <c r="A201" s="30" t="s">
        <v>484</v>
      </c>
      <c r="B201" s="62" t="s">
        <v>538</v>
      </c>
      <c r="C201" s="882">
        <v>2019</v>
      </c>
      <c r="D201" s="882" t="s">
        <v>609</v>
      </c>
      <c r="E201" s="31" t="s">
        <v>10</v>
      </c>
      <c r="F201" s="46" t="s">
        <v>10</v>
      </c>
      <c r="G201" s="277" t="s">
        <v>485</v>
      </c>
      <c r="H201" s="907">
        <v>700</v>
      </c>
      <c r="I201" s="907">
        <v>0</v>
      </c>
      <c r="J201" s="907">
        <v>0</v>
      </c>
      <c r="K201" s="907">
        <v>0</v>
      </c>
      <c r="L201" s="895">
        <v>0</v>
      </c>
      <c r="M201" s="787">
        <v>0</v>
      </c>
      <c r="N201" s="881">
        <v>0</v>
      </c>
      <c r="O201" s="923">
        <v>0</v>
      </c>
      <c r="P201" s="922">
        <v>0</v>
      </c>
      <c r="Q201" s="961">
        <f t="shared" si="10"/>
        <v>0</v>
      </c>
      <c r="R201" s="901">
        <v>700</v>
      </c>
      <c r="S201" s="905">
        <v>0</v>
      </c>
      <c r="T201" s="884">
        <v>0</v>
      </c>
      <c r="U201" s="787">
        <v>0</v>
      </c>
      <c r="V201" s="884">
        <v>0</v>
      </c>
      <c r="W201" s="905">
        <v>0</v>
      </c>
      <c r="X201" s="885">
        <v>0</v>
      </c>
      <c r="Y201" s="885">
        <v>0</v>
      </c>
      <c r="Z201" s="885">
        <v>0</v>
      </c>
      <c r="AA201" s="68" t="s">
        <v>317</v>
      </c>
      <c r="AB201" s="917" t="s">
        <v>17</v>
      </c>
      <c r="AC201" s="784" t="s">
        <v>617</v>
      </c>
      <c r="AD201" s="423" t="s">
        <v>338</v>
      </c>
      <c r="AE201" s="423" t="s">
        <v>338</v>
      </c>
      <c r="AF201" s="256">
        <v>3</v>
      </c>
    </row>
    <row r="202" spans="1:32" ht="30" x14ac:dyDescent="0.25">
      <c r="A202" s="30" t="s">
        <v>486</v>
      </c>
      <c r="B202" s="62" t="s">
        <v>539</v>
      </c>
      <c r="C202" s="882">
        <v>2019</v>
      </c>
      <c r="D202" s="882" t="s">
        <v>609</v>
      </c>
      <c r="E202" s="31" t="s">
        <v>487</v>
      </c>
      <c r="F202" s="46" t="s">
        <v>487</v>
      </c>
      <c r="G202" s="277" t="s">
        <v>488</v>
      </c>
      <c r="H202" s="907">
        <v>266</v>
      </c>
      <c r="I202" s="907">
        <v>98.977999999999994</v>
      </c>
      <c r="J202" s="907">
        <v>0</v>
      </c>
      <c r="K202" s="907">
        <v>0</v>
      </c>
      <c r="L202" s="895">
        <v>0</v>
      </c>
      <c r="M202" s="787">
        <v>0</v>
      </c>
      <c r="N202" s="881">
        <v>167.02199999999999</v>
      </c>
      <c r="O202" s="923">
        <v>167.02199999999999</v>
      </c>
      <c r="P202" s="922">
        <v>0</v>
      </c>
      <c r="Q202" s="962">
        <f t="shared" si="10"/>
        <v>167.02199999999999</v>
      </c>
      <c r="R202" s="901">
        <v>0</v>
      </c>
      <c r="S202" s="905">
        <v>0</v>
      </c>
      <c r="T202" s="884">
        <v>0</v>
      </c>
      <c r="U202" s="920">
        <v>0</v>
      </c>
      <c r="V202" s="884">
        <v>0</v>
      </c>
      <c r="W202" s="905">
        <v>0</v>
      </c>
      <c r="X202" s="885">
        <v>0</v>
      </c>
      <c r="Y202" s="885">
        <v>0</v>
      </c>
      <c r="Z202" s="885">
        <v>0</v>
      </c>
      <c r="AA202" s="917" t="s">
        <v>317</v>
      </c>
      <c r="AB202" s="917" t="s">
        <v>28</v>
      </c>
      <c r="AC202" s="784" t="s">
        <v>837</v>
      </c>
      <c r="AD202" s="423" t="s">
        <v>339</v>
      </c>
      <c r="AE202" s="423" t="s">
        <v>339</v>
      </c>
      <c r="AF202" s="212">
        <v>1</v>
      </c>
    </row>
    <row r="203" spans="1:32" ht="26.25" thickBot="1" x14ac:dyDescent="0.3">
      <c r="A203" s="69" t="s">
        <v>489</v>
      </c>
      <c r="B203" s="70" t="s">
        <v>540</v>
      </c>
      <c r="C203" s="893">
        <v>2019</v>
      </c>
      <c r="D203" s="913" t="s">
        <v>609</v>
      </c>
      <c r="E203" s="887" t="s">
        <v>148</v>
      </c>
      <c r="F203" s="278" t="s">
        <v>148</v>
      </c>
      <c r="G203" s="394" t="s">
        <v>490</v>
      </c>
      <c r="H203" s="20">
        <v>4800</v>
      </c>
      <c r="I203" s="91">
        <v>0</v>
      </c>
      <c r="J203" s="91">
        <v>351.505</v>
      </c>
      <c r="K203" s="91">
        <v>0</v>
      </c>
      <c r="L203" s="291">
        <v>0</v>
      </c>
      <c r="M203" s="123">
        <v>48.494999999999997</v>
      </c>
      <c r="N203" s="21">
        <v>0</v>
      </c>
      <c r="O203" s="754">
        <v>400</v>
      </c>
      <c r="P203" s="643">
        <v>0</v>
      </c>
      <c r="Q203" s="964">
        <f t="shared" si="10"/>
        <v>400</v>
      </c>
      <c r="R203" s="527">
        <v>4400</v>
      </c>
      <c r="S203" s="540">
        <v>0</v>
      </c>
      <c r="T203" s="53">
        <v>0</v>
      </c>
      <c r="U203" s="123">
        <v>0</v>
      </c>
      <c r="V203" s="53">
        <v>0</v>
      </c>
      <c r="W203" s="540">
        <v>0</v>
      </c>
      <c r="X203" s="279">
        <v>0</v>
      </c>
      <c r="Y203" s="279">
        <v>0</v>
      </c>
      <c r="Z203" s="279">
        <v>0</v>
      </c>
      <c r="AA203" s="67" t="s">
        <v>317</v>
      </c>
      <c r="AB203" s="67" t="s">
        <v>17</v>
      </c>
      <c r="AC203" s="119" t="s">
        <v>536</v>
      </c>
      <c r="AD203" s="374" t="s">
        <v>338</v>
      </c>
      <c r="AE203" s="374" t="s">
        <v>338</v>
      </c>
      <c r="AF203" s="72" t="s">
        <v>363</v>
      </c>
    </row>
    <row r="204" spans="1:32" ht="25.5" x14ac:dyDescent="0.25">
      <c r="A204" s="95" t="s">
        <v>541</v>
      </c>
      <c r="B204" s="63" t="s">
        <v>602</v>
      </c>
      <c r="C204" s="39">
        <v>2019</v>
      </c>
      <c r="D204" s="39" t="s">
        <v>606</v>
      </c>
      <c r="E204" s="43" t="s">
        <v>148</v>
      </c>
      <c r="F204" s="358" t="s">
        <v>148</v>
      </c>
      <c r="G204" s="245" t="s">
        <v>163</v>
      </c>
      <c r="H204" s="41">
        <f>2500-71.03892</f>
        <v>2428.96108</v>
      </c>
      <c r="I204" s="41">
        <v>1814.5692399999998</v>
      </c>
      <c r="J204" s="41">
        <v>614.39184</v>
      </c>
      <c r="K204" s="41">
        <v>0</v>
      </c>
      <c r="L204" s="330">
        <v>0</v>
      </c>
      <c r="M204" s="331">
        <v>0</v>
      </c>
      <c r="N204" s="17">
        <f>H204-I204-J204</f>
        <v>0</v>
      </c>
      <c r="O204" s="801">
        <v>614.39184</v>
      </c>
      <c r="P204" s="645">
        <v>0</v>
      </c>
      <c r="Q204" s="972">
        <f t="shared" si="10"/>
        <v>614.39184</v>
      </c>
      <c r="R204" s="572">
        <v>0</v>
      </c>
      <c r="S204" s="627">
        <v>0</v>
      </c>
      <c r="T204" s="42">
        <v>0</v>
      </c>
      <c r="U204" s="331">
        <v>0</v>
      </c>
      <c r="V204" s="42">
        <v>0</v>
      </c>
      <c r="W204" s="627">
        <v>0</v>
      </c>
      <c r="X204" s="359">
        <v>0</v>
      </c>
      <c r="Y204" s="359">
        <v>0</v>
      </c>
      <c r="Z204" s="359">
        <v>0</v>
      </c>
      <c r="AA204" s="65" t="s">
        <v>317</v>
      </c>
      <c r="AB204" s="65" t="s">
        <v>352</v>
      </c>
      <c r="AC204" s="366" t="s">
        <v>409</v>
      </c>
      <c r="AD204" s="868" t="s">
        <v>339</v>
      </c>
      <c r="AE204" s="868" t="s">
        <v>339</v>
      </c>
      <c r="AF204" s="360">
        <v>1</v>
      </c>
    </row>
    <row r="205" spans="1:32" ht="26.25" thickBot="1" x14ac:dyDescent="0.3">
      <c r="A205" s="69" t="s">
        <v>542</v>
      </c>
      <c r="B205" s="70" t="s">
        <v>603</v>
      </c>
      <c r="C205" s="893">
        <v>2019</v>
      </c>
      <c r="D205" s="913" t="s">
        <v>606</v>
      </c>
      <c r="E205" s="887" t="s">
        <v>152</v>
      </c>
      <c r="F205" s="278" t="s">
        <v>152</v>
      </c>
      <c r="G205" s="394" t="s">
        <v>543</v>
      </c>
      <c r="H205" s="20">
        <v>3000</v>
      </c>
      <c r="I205" s="20">
        <v>2163.4886299999998</v>
      </c>
      <c r="J205" s="20">
        <v>0</v>
      </c>
      <c r="K205" s="20">
        <v>0</v>
      </c>
      <c r="L205" s="216">
        <v>0</v>
      </c>
      <c r="M205" s="123">
        <v>0</v>
      </c>
      <c r="N205" s="21">
        <v>836.51137000000017</v>
      </c>
      <c r="O205" s="751">
        <v>836.51137000000017</v>
      </c>
      <c r="P205" s="635">
        <v>0</v>
      </c>
      <c r="Q205" s="964">
        <f t="shared" si="10"/>
        <v>836.51137000000017</v>
      </c>
      <c r="R205" s="527">
        <v>0</v>
      </c>
      <c r="S205" s="540">
        <v>0</v>
      </c>
      <c r="T205" s="53">
        <v>0</v>
      </c>
      <c r="U205" s="123">
        <v>0</v>
      </c>
      <c r="V205" s="53">
        <v>0</v>
      </c>
      <c r="W205" s="628">
        <v>0</v>
      </c>
      <c r="X205" s="783">
        <v>0</v>
      </c>
      <c r="Y205" s="783">
        <v>0</v>
      </c>
      <c r="Z205" s="783">
        <v>0</v>
      </c>
      <c r="AA205" s="782" t="s">
        <v>317</v>
      </c>
      <c r="AB205" s="67" t="s">
        <v>17</v>
      </c>
      <c r="AC205" s="120" t="s">
        <v>646</v>
      </c>
      <c r="AD205" s="374" t="s">
        <v>338</v>
      </c>
      <c r="AE205" s="374" t="s">
        <v>338</v>
      </c>
      <c r="AF205" s="72" t="s">
        <v>364</v>
      </c>
    </row>
    <row r="206" spans="1:32" ht="30" x14ac:dyDescent="0.25">
      <c r="A206" s="30" t="s">
        <v>631</v>
      </c>
      <c r="B206" s="62" t="s">
        <v>701</v>
      </c>
      <c r="C206" s="882">
        <v>2020</v>
      </c>
      <c r="D206" s="882" t="s">
        <v>733</v>
      </c>
      <c r="E206" s="31" t="s">
        <v>133</v>
      </c>
      <c r="F206" s="46" t="s">
        <v>133</v>
      </c>
      <c r="G206" s="277" t="s">
        <v>632</v>
      </c>
      <c r="H206" s="907">
        <v>2025.652</v>
      </c>
      <c r="I206" s="907">
        <v>25.652000000000001</v>
      </c>
      <c r="J206" s="907">
        <v>0</v>
      </c>
      <c r="K206" s="907">
        <v>0</v>
      </c>
      <c r="L206" s="895">
        <v>0</v>
      </c>
      <c r="M206" s="787">
        <v>500</v>
      </c>
      <c r="N206" s="881">
        <v>1000</v>
      </c>
      <c r="O206" s="923">
        <v>1500</v>
      </c>
      <c r="P206" s="922">
        <v>0</v>
      </c>
      <c r="Q206" s="961">
        <f t="shared" si="10"/>
        <v>1500</v>
      </c>
      <c r="R206" s="901">
        <v>500</v>
      </c>
      <c r="S206" s="905">
        <v>0</v>
      </c>
      <c r="T206" s="884">
        <v>0</v>
      </c>
      <c r="U206" s="787">
        <v>0</v>
      </c>
      <c r="V206" s="884">
        <v>0</v>
      </c>
      <c r="W206" s="905">
        <v>0</v>
      </c>
      <c r="X206" s="885">
        <v>0</v>
      </c>
      <c r="Y206" s="885">
        <v>0</v>
      </c>
      <c r="Z206" s="885">
        <v>0</v>
      </c>
      <c r="AA206" s="917" t="s">
        <v>996</v>
      </c>
      <c r="AB206" s="917" t="s">
        <v>17</v>
      </c>
      <c r="AC206" s="784" t="s">
        <v>837</v>
      </c>
      <c r="AD206" s="423" t="s">
        <v>338</v>
      </c>
      <c r="AE206" s="423" t="s">
        <v>338</v>
      </c>
      <c r="AF206" s="256">
        <v>1</v>
      </c>
    </row>
    <row r="207" spans="1:32" ht="30" x14ac:dyDescent="0.25">
      <c r="A207" s="771" t="s">
        <v>633</v>
      </c>
      <c r="B207" s="915" t="s">
        <v>701</v>
      </c>
      <c r="C207" s="908">
        <v>2020</v>
      </c>
      <c r="D207" s="882" t="s">
        <v>733</v>
      </c>
      <c r="E207" s="914" t="s">
        <v>128</v>
      </c>
      <c r="F207" s="772" t="s">
        <v>128</v>
      </c>
      <c r="G207" s="780" t="s">
        <v>634</v>
      </c>
      <c r="H207" s="909">
        <v>1000</v>
      </c>
      <c r="I207" s="907">
        <v>0</v>
      </c>
      <c r="J207" s="907">
        <v>0</v>
      </c>
      <c r="K207" s="907">
        <v>0</v>
      </c>
      <c r="L207" s="895">
        <v>0</v>
      </c>
      <c r="M207" s="920">
        <v>0</v>
      </c>
      <c r="N207" s="910">
        <v>0</v>
      </c>
      <c r="O207" s="923">
        <v>0</v>
      </c>
      <c r="P207" s="922">
        <v>0</v>
      </c>
      <c r="Q207" s="962">
        <f t="shared" si="10"/>
        <v>0</v>
      </c>
      <c r="R207" s="902">
        <v>1000</v>
      </c>
      <c r="S207" s="921">
        <v>0</v>
      </c>
      <c r="T207" s="911">
        <v>0</v>
      </c>
      <c r="U207" s="920">
        <v>0</v>
      </c>
      <c r="V207" s="911">
        <v>0</v>
      </c>
      <c r="W207" s="905">
        <v>0</v>
      </c>
      <c r="X207" s="885">
        <v>0</v>
      </c>
      <c r="Y207" s="885">
        <v>0</v>
      </c>
      <c r="Z207" s="885">
        <v>0</v>
      </c>
      <c r="AA207" s="25" t="s">
        <v>317</v>
      </c>
      <c r="AB207" s="25" t="s">
        <v>17</v>
      </c>
      <c r="AC207" s="784" t="s">
        <v>835</v>
      </c>
      <c r="AD207" s="423" t="s">
        <v>338</v>
      </c>
      <c r="AE207" s="423" t="s">
        <v>338</v>
      </c>
      <c r="AF207" s="212">
        <v>1</v>
      </c>
    </row>
    <row r="208" spans="1:32" ht="25.5" x14ac:dyDescent="0.25">
      <c r="A208" s="771" t="s">
        <v>635</v>
      </c>
      <c r="B208" s="915" t="s">
        <v>997</v>
      </c>
      <c r="C208" s="908">
        <v>2020</v>
      </c>
      <c r="D208" s="882" t="s">
        <v>733</v>
      </c>
      <c r="E208" s="914" t="s">
        <v>132</v>
      </c>
      <c r="F208" s="772" t="s">
        <v>132</v>
      </c>
      <c r="G208" s="780" t="s">
        <v>637</v>
      </c>
      <c r="H208" s="909">
        <v>600</v>
      </c>
      <c r="I208" s="907">
        <v>0</v>
      </c>
      <c r="J208" s="907">
        <v>0</v>
      </c>
      <c r="K208" s="907">
        <v>0</v>
      </c>
      <c r="L208" s="895">
        <v>0</v>
      </c>
      <c r="M208" s="920">
        <v>0</v>
      </c>
      <c r="N208" s="910">
        <v>0</v>
      </c>
      <c r="O208" s="923">
        <v>0</v>
      </c>
      <c r="P208" s="922">
        <v>0</v>
      </c>
      <c r="Q208" s="962">
        <f t="shared" si="10"/>
        <v>0</v>
      </c>
      <c r="R208" s="902">
        <v>600</v>
      </c>
      <c r="S208" s="921">
        <v>0</v>
      </c>
      <c r="T208" s="911">
        <v>0</v>
      </c>
      <c r="U208" s="920">
        <v>0</v>
      </c>
      <c r="V208" s="911">
        <v>0</v>
      </c>
      <c r="W208" s="905">
        <v>0</v>
      </c>
      <c r="X208" s="885">
        <v>0</v>
      </c>
      <c r="Y208" s="885">
        <v>0</v>
      </c>
      <c r="Z208" s="885">
        <v>0</v>
      </c>
      <c r="AA208" s="917" t="s">
        <v>317</v>
      </c>
      <c r="AB208" s="25" t="s">
        <v>17</v>
      </c>
      <c r="AC208" s="784" t="s">
        <v>835</v>
      </c>
      <c r="AD208" s="423" t="s">
        <v>338</v>
      </c>
      <c r="AE208" s="423" t="s">
        <v>338</v>
      </c>
      <c r="AF208" s="212">
        <v>1</v>
      </c>
    </row>
    <row r="209" spans="1:32" ht="25.5" x14ac:dyDescent="0.25">
      <c r="A209" s="771" t="s">
        <v>636</v>
      </c>
      <c r="B209" s="915" t="s">
        <v>998</v>
      </c>
      <c r="C209" s="908">
        <v>2020</v>
      </c>
      <c r="D209" s="882" t="s">
        <v>733</v>
      </c>
      <c r="E209" s="914" t="s">
        <v>129</v>
      </c>
      <c r="F209" s="772" t="s">
        <v>344</v>
      </c>
      <c r="G209" s="780" t="s">
        <v>639</v>
      </c>
      <c r="H209" s="909">
        <v>300</v>
      </c>
      <c r="I209" s="907">
        <v>0</v>
      </c>
      <c r="J209" s="907">
        <v>0</v>
      </c>
      <c r="K209" s="907">
        <v>0</v>
      </c>
      <c r="L209" s="895">
        <v>0</v>
      </c>
      <c r="M209" s="920">
        <v>0</v>
      </c>
      <c r="N209" s="910">
        <v>300</v>
      </c>
      <c r="O209" s="923">
        <v>300</v>
      </c>
      <c r="P209" s="922">
        <v>0</v>
      </c>
      <c r="Q209" s="962">
        <f t="shared" si="10"/>
        <v>300</v>
      </c>
      <c r="R209" s="902">
        <v>0</v>
      </c>
      <c r="S209" s="921">
        <v>0</v>
      </c>
      <c r="T209" s="911">
        <v>0</v>
      </c>
      <c r="U209" s="920">
        <v>0</v>
      </c>
      <c r="V209" s="911">
        <v>0</v>
      </c>
      <c r="W209" s="905">
        <v>0</v>
      </c>
      <c r="X209" s="885">
        <v>0</v>
      </c>
      <c r="Y209" s="885">
        <v>0</v>
      </c>
      <c r="Z209" s="885">
        <v>0</v>
      </c>
      <c r="AA209" s="917" t="s">
        <v>317</v>
      </c>
      <c r="AB209" s="25" t="s">
        <v>28</v>
      </c>
      <c r="AC209" s="784" t="s">
        <v>536</v>
      </c>
      <c r="AD209" s="423" t="s">
        <v>339</v>
      </c>
      <c r="AE209" s="423" t="s">
        <v>339</v>
      </c>
      <c r="AF209" s="212">
        <v>1</v>
      </c>
    </row>
    <row r="210" spans="1:32" ht="26.25" thickBot="1" x14ac:dyDescent="0.3">
      <c r="A210" s="69" t="s">
        <v>638</v>
      </c>
      <c r="B210" s="70" t="s">
        <v>999</v>
      </c>
      <c r="C210" s="893">
        <v>2020</v>
      </c>
      <c r="D210" s="913" t="s">
        <v>733</v>
      </c>
      <c r="E210" s="887" t="s">
        <v>132</v>
      </c>
      <c r="F210" s="278" t="s">
        <v>132</v>
      </c>
      <c r="G210" s="394" t="s">
        <v>640</v>
      </c>
      <c r="H210" s="20">
        <v>600</v>
      </c>
      <c r="I210" s="91">
        <v>0</v>
      </c>
      <c r="J210" s="91">
        <v>0</v>
      </c>
      <c r="K210" s="91">
        <v>0</v>
      </c>
      <c r="L210" s="291">
        <v>0</v>
      </c>
      <c r="M210" s="123">
        <v>0</v>
      </c>
      <c r="N210" s="21">
        <v>600</v>
      </c>
      <c r="O210" s="754">
        <v>600</v>
      </c>
      <c r="P210" s="643">
        <v>0</v>
      </c>
      <c r="Q210" s="964">
        <f t="shared" si="10"/>
        <v>600</v>
      </c>
      <c r="R210" s="527">
        <v>0</v>
      </c>
      <c r="S210" s="540">
        <v>0</v>
      </c>
      <c r="T210" s="53">
        <v>0</v>
      </c>
      <c r="U210" s="123">
        <v>0</v>
      </c>
      <c r="V210" s="53">
        <v>0</v>
      </c>
      <c r="W210" s="628">
        <v>0</v>
      </c>
      <c r="X210" s="783">
        <v>0</v>
      </c>
      <c r="Y210" s="783">
        <v>0</v>
      </c>
      <c r="Z210" s="783">
        <v>0</v>
      </c>
      <c r="AA210" s="782" t="s">
        <v>317</v>
      </c>
      <c r="AB210" s="67" t="s">
        <v>17</v>
      </c>
      <c r="AC210" s="120" t="s">
        <v>536</v>
      </c>
      <c r="AD210" s="374" t="s">
        <v>338</v>
      </c>
      <c r="AE210" s="374" t="s">
        <v>338</v>
      </c>
      <c r="AF210" s="72" t="s">
        <v>363</v>
      </c>
    </row>
    <row r="211" spans="1:32" ht="30" x14ac:dyDescent="0.25">
      <c r="A211" s="30" t="s">
        <v>702</v>
      </c>
      <c r="B211" s="62" t="s">
        <v>1000</v>
      </c>
      <c r="C211" s="882">
        <v>2020</v>
      </c>
      <c r="D211" s="685" t="s">
        <v>738</v>
      </c>
      <c r="E211" s="31" t="s">
        <v>10</v>
      </c>
      <c r="F211" s="46" t="s">
        <v>10</v>
      </c>
      <c r="G211" s="277" t="s">
        <v>863</v>
      </c>
      <c r="H211" s="907">
        <v>100</v>
      </c>
      <c r="I211" s="907">
        <v>0</v>
      </c>
      <c r="J211" s="907">
        <v>0</v>
      </c>
      <c r="K211" s="907">
        <v>0</v>
      </c>
      <c r="L211" s="895">
        <v>0</v>
      </c>
      <c r="M211" s="787">
        <v>100</v>
      </c>
      <c r="N211" s="881">
        <v>0</v>
      </c>
      <c r="O211" s="923">
        <v>100</v>
      </c>
      <c r="P211" s="922">
        <v>0</v>
      </c>
      <c r="Q211" s="961">
        <f t="shared" si="10"/>
        <v>100</v>
      </c>
      <c r="R211" s="901">
        <v>0</v>
      </c>
      <c r="S211" s="905">
        <v>0</v>
      </c>
      <c r="T211" s="884">
        <v>0</v>
      </c>
      <c r="U211" s="787">
        <v>0</v>
      </c>
      <c r="V211" s="884">
        <v>0</v>
      </c>
      <c r="W211" s="905">
        <v>0</v>
      </c>
      <c r="X211" s="885">
        <v>0</v>
      </c>
      <c r="Y211" s="885">
        <v>0</v>
      </c>
      <c r="Z211" s="885">
        <v>0</v>
      </c>
      <c r="AA211" s="917" t="s">
        <v>317</v>
      </c>
      <c r="AB211" s="917" t="s">
        <v>17</v>
      </c>
      <c r="AC211" s="784" t="s">
        <v>617</v>
      </c>
      <c r="AD211" s="423" t="s">
        <v>338</v>
      </c>
      <c r="AE211" s="423" t="s">
        <v>338</v>
      </c>
      <c r="AF211" s="779" t="s">
        <v>364</v>
      </c>
    </row>
    <row r="212" spans="1:32" ht="30.75" thickBot="1" x14ac:dyDescent="0.3">
      <c r="A212" s="69" t="s">
        <v>703</v>
      </c>
      <c r="B212" s="70" t="s">
        <v>1001</v>
      </c>
      <c r="C212" s="893">
        <v>2020</v>
      </c>
      <c r="D212" s="847" t="s">
        <v>738</v>
      </c>
      <c r="E212" s="887" t="s">
        <v>131</v>
      </c>
      <c r="F212" s="278" t="s">
        <v>131</v>
      </c>
      <c r="G212" s="394" t="s">
        <v>796</v>
      </c>
      <c r="H212" s="20">
        <v>25000</v>
      </c>
      <c r="I212" s="91">
        <v>0</v>
      </c>
      <c r="J212" s="91">
        <v>0</v>
      </c>
      <c r="K212" s="91">
        <v>0</v>
      </c>
      <c r="L212" s="291">
        <v>0</v>
      </c>
      <c r="M212" s="123">
        <v>500</v>
      </c>
      <c r="N212" s="21">
        <v>0</v>
      </c>
      <c r="O212" s="754">
        <v>500</v>
      </c>
      <c r="P212" s="643">
        <v>0</v>
      </c>
      <c r="Q212" s="964">
        <f t="shared" si="10"/>
        <v>500</v>
      </c>
      <c r="R212" s="527">
        <v>9500</v>
      </c>
      <c r="S212" s="540">
        <v>15000</v>
      </c>
      <c r="T212" s="53">
        <v>0</v>
      </c>
      <c r="U212" s="123">
        <v>0</v>
      </c>
      <c r="V212" s="53">
        <v>0</v>
      </c>
      <c r="W212" s="628">
        <v>0</v>
      </c>
      <c r="X212" s="783">
        <v>0</v>
      </c>
      <c r="Y212" s="783">
        <v>0</v>
      </c>
      <c r="Z212" s="783">
        <v>0</v>
      </c>
      <c r="AA212" s="782" t="s">
        <v>317</v>
      </c>
      <c r="AB212" s="67" t="s">
        <v>17</v>
      </c>
      <c r="AC212" s="120" t="s">
        <v>601</v>
      </c>
      <c r="AD212" s="374" t="s">
        <v>338</v>
      </c>
      <c r="AE212" s="374" t="s">
        <v>338</v>
      </c>
      <c r="AF212" s="72" t="s">
        <v>364</v>
      </c>
    </row>
    <row r="213" spans="1:32" s="723" customFormat="1" ht="30" x14ac:dyDescent="0.25">
      <c r="A213" s="128" t="s">
        <v>829</v>
      </c>
      <c r="B213" s="745" t="s">
        <v>1002</v>
      </c>
      <c r="C213" s="107">
        <v>2021</v>
      </c>
      <c r="D213" s="685" t="s">
        <v>842</v>
      </c>
      <c r="E213" s="31" t="s">
        <v>487</v>
      </c>
      <c r="F213" s="31" t="s">
        <v>487</v>
      </c>
      <c r="G213" s="657" t="s">
        <v>830</v>
      </c>
      <c r="H213" s="130">
        <v>65000</v>
      </c>
      <c r="I213" s="130">
        <v>0</v>
      </c>
      <c r="J213" s="130">
        <v>0</v>
      </c>
      <c r="K213" s="130">
        <v>0</v>
      </c>
      <c r="L213" s="427">
        <v>0</v>
      </c>
      <c r="M213" s="317">
        <v>0</v>
      </c>
      <c r="N213" s="131">
        <v>5000</v>
      </c>
      <c r="O213" s="758">
        <v>5000</v>
      </c>
      <c r="P213" s="749">
        <v>0</v>
      </c>
      <c r="Q213" s="975">
        <f t="shared" si="10"/>
        <v>5000</v>
      </c>
      <c r="R213" s="132">
        <v>0</v>
      </c>
      <c r="S213" s="15">
        <v>60000</v>
      </c>
      <c r="T213" s="132">
        <v>0</v>
      </c>
      <c r="U213" s="317">
        <v>0</v>
      </c>
      <c r="V213" s="132">
        <v>0</v>
      </c>
      <c r="W213" s="254">
        <v>0</v>
      </c>
      <c r="X213" s="255">
        <v>0</v>
      </c>
      <c r="Y213" s="255">
        <v>0</v>
      </c>
      <c r="Z213" s="255">
        <v>0</v>
      </c>
      <c r="AA213" s="139" t="s">
        <v>317</v>
      </c>
      <c r="AB213" s="107" t="s">
        <v>17</v>
      </c>
      <c r="AC213" s="740" t="s">
        <v>536</v>
      </c>
      <c r="AD213" s="309" t="s">
        <v>338</v>
      </c>
      <c r="AE213" s="309" t="s">
        <v>338</v>
      </c>
      <c r="AF213" s="779" t="s">
        <v>364</v>
      </c>
    </row>
    <row r="214" spans="1:32" s="723" customFormat="1" ht="30" x14ac:dyDescent="0.25">
      <c r="A214" s="133" t="s">
        <v>831</v>
      </c>
      <c r="B214" s="746" t="s">
        <v>1003</v>
      </c>
      <c r="C214" s="136">
        <v>2021</v>
      </c>
      <c r="D214" s="686" t="s">
        <v>842</v>
      </c>
      <c r="E214" s="914" t="s">
        <v>132</v>
      </c>
      <c r="F214" s="914" t="s">
        <v>132</v>
      </c>
      <c r="G214" s="658" t="s">
        <v>832</v>
      </c>
      <c r="H214" s="134">
        <v>10000</v>
      </c>
      <c r="I214" s="134">
        <v>0</v>
      </c>
      <c r="J214" s="134">
        <v>0</v>
      </c>
      <c r="K214" s="134">
        <v>0</v>
      </c>
      <c r="L214" s="217">
        <v>0</v>
      </c>
      <c r="M214" s="122">
        <v>0</v>
      </c>
      <c r="N214" s="14">
        <v>200</v>
      </c>
      <c r="O214" s="759">
        <v>200</v>
      </c>
      <c r="P214" s="750">
        <v>0</v>
      </c>
      <c r="Q214" s="976">
        <f t="shared" si="10"/>
        <v>200</v>
      </c>
      <c r="R214" s="138">
        <v>0</v>
      </c>
      <c r="S214" s="13">
        <v>9800</v>
      </c>
      <c r="T214" s="138">
        <v>0</v>
      </c>
      <c r="U214" s="122">
        <v>0</v>
      </c>
      <c r="V214" s="138">
        <v>0</v>
      </c>
      <c r="W214" s="160">
        <v>0</v>
      </c>
      <c r="X214" s="167">
        <v>0</v>
      </c>
      <c r="Y214" s="167">
        <v>0</v>
      </c>
      <c r="Z214" s="167">
        <v>0</v>
      </c>
      <c r="AA214" s="135" t="s">
        <v>317</v>
      </c>
      <c r="AB214" s="136" t="s">
        <v>17</v>
      </c>
      <c r="AC214" s="1219" t="s">
        <v>536</v>
      </c>
      <c r="AD214" s="137" t="s">
        <v>338</v>
      </c>
      <c r="AE214" s="137" t="s">
        <v>338</v>
      </c>
      <c r="AF214" s="916" t="s">
        <v>364</v>
      </c>
    </row>
    <row r="215" spans="1:32" s="723" customFormat="1" ht="30.75" thickBot="1" x14ac:dyDescent="0.3">
      <c r="A215" s="844" t="s">
        <v>833</v>
      </c>
      <c r="B215" s="845" t="s">
        <v>1004</v>
      </c>
      <c r="C215" s="846">
        <v>2021</v>
      </c>
      <c r="D215" s="847" t="s">
        <v>842</v>
      </c>
      <c r="E215" s="776" t="s">
        <v>149</v>
      </c>
      <c r="F215" s="776" t="s">
        <v>149</v>
      </c>
      <c r="G215" s="264" t="s">
        <v>834</v>
      </c>
      <c r="H215" s="400">
        <v>2000</v>
      </c>
      <c r="I215" s="400">
        <v>0</v>
      </c>
      <c r="J215" s="400">
        <v>0</v>
      </c>
      <c r="K215" s="400">
        <v>0</v>
      </c>
      <c r="L215" s="1037">
        <v>0</v>
      </c>
      <c r="M215" s="318">
        <v>0</v>
      </c>
      <c r="N215" s="92">
        <v>0</v>
      </c>
      <c r="O215" s="848">
        <v>0</v>
      </c>
      <c r="P215" s="849">
        <v>0</v>
      </c>
      <c r="Q215" s="977">
        <f t="shared" si="10"/>
        <v>0</v>
      </c>
      <c r="R215" s="191">
        <v>2000</v>
      </c>
      <c r="S215" s="843">
        <v>0</v>
      </c>
      <c r="T215" s="191">
        <v>0</v>
      </c>
      <c r="U215" s="318">
        <v>0</v>
      </c>
      <c r="V215" s="191">
        <v>0</v>
      </c>
      <c r="W215" s="842">
        <v>0</v>
      </c>
      <c r="X215" s="407">
        <v>0</v>
      </c>
      <c r="Y215" s="407">
        <v>0</v>
      </c>
      <c r="Z215" s="407">
        <v>0</v>
      </c>
      <c r="AA215" s="236" t="s">
        <v>317</v>
      </c>
      <c r="AB215" s="846" t="s">
        <v>117</v>
      </c>
      <c r="AC215" s="601" t="s">
        <v>601</v>
      </c>
      <c r="AD215" s="373" t="s">
        <v>338</v>
      </c>
      <c r="AE215" s="373" t="s">
        <v>338</v>
      </c>
      <c r="AF215" s="106" t="s">
        <v>364</v>
      </c>
    </row>
    <row r="216" spans="1:32" s="723" customFormat="1" ht="30" x14ac:dyDescent="0.25">
      <c r="A216" s="869" t="s">
        <v>857</v>
      </c>
      <c r="B216" s="995" t="s">
        <v>924</v>
      </c>
      <c r="C216" s="683">
        <v>2017</v>
      </c>
      <c r="D216" s="719" t="s">
        <v>941</v>
      </c>
      <c r="E216" s="888" t="s">
        <v>194</v>
      </c>
      <c r="F216" s="888" t="s">
        <v>194</v>
      </c>
      <c r="G216" s="996" t="s">
        <v>900</v>
      </c>
      <c r="H216" s="223">
        <f>948.49932+552.88516</f>
        <v>1501.3844800000002</v>
      </c>
      <c r="I216" s="223">
        <v>0</v>
      </c>
      <c r="J216" s="223">
        <v>0</v>
      </c>
      <c r="K216" s="223">
        <v>552.88516000000004</v>
      </c>
      <c r="L216" s="1038">
        <v>0</v>
      </c>
      <c r="M216" s="303">
        <f>H216-K216</f>
        <v>948.49932000000013</v>
      </c>
      <c r="N216" s="222">
        <v>0</v>
      </c>
      <c r="O216" s="758">
        <v>1501.3844799999999</v>
      </c>
      <c r="P216" s="749">
        <v>0</v>
      </c>
      <c r="Q216" s="975">
        <f t="shared" si="10"/>
        <v>1501.3844799999999</v>
      </c>
      <c r="R216" s="313">
        <v>0</v>
      </c>
      <c r="S216" s="302">
        <v>0</v>
      </c>
      <c r="T216" s="313">
        <v>0</v>
      </c>
      <c r="U216" s="303">
        <v>0</v>
      </c>
      <c r="V216" s="313">
        <v>0</v>
      </c>
      <c r="W216" s="629">
        <v>0</v>
      </c>
      <c r="X216" s="435">
        <v>0</v>
      </c>
      <c r="Y216" s="435">
        <v>0</v>
      </c>
      <c r="Z216" s="435">
        <v>0</v>
      </c>
      <c r="AA216" s="683" t="s">
        <v>317</v>
      </c>
      <c r="AB216" s="683" t="s">
        <v>28</v>
      </c>
      <c r="AC216" s="878" t="s">
        <v>536</v>
      </c>
      <c r="AD216" s="729" t="s">
        <v>339</v>
      </c>
      <c r="AE216" s="598" t="s">
        <v>339</v>
      </c>
      <c r="AF216" s="55" t="s">
        <v>363</v>
      </c>
    </row>
    <row r="217" spans="1:32" s="723" customFormat="1" ht="30" x14ac:dyDescent="0.25">
      <c r="A217" s="128" t="s">
        <v>858</v>
      </c>
      <c r="B217" s="745" t="s">
        <v>1005</v>
      </c>
      <c r="C217" s="107">
        <v>2021</v>
      </c>
      <c r="D217" s="742" t="s">
        <v>881</v>
      </c>
      <c r="E217" s="31" t="s">
        <v>10</v>
      </c>
      <c r="F217" s="31" t="s">
        <v>10</v>
      </c>
      <c r="G217" s="657" t="s">
        <v>144</v>
      </c>
      <c r="H217" s="130">
        <v>1000</v>
      </c>
      <c r="I217" s="130">
        <v>0</v>
      </c>
      <c r="J217" s="130">
        <v>0</v>
      </c>
      <c r="K217" s="130">
        <v>0</v>
      </c>
      <c r="L217" s="427">
        <v>0</v>
      </c>
      <c r="M217" s="317">
        <v>0</v>
      </c>
      <c r="N217" s="131">
        <v>1000</v>
      </c>
      <c r="O217" s="758">
        <v>1000</v>
      </c>
      <c r="P217" s="749">
        <v>0</v>
      </c>
      <c r="Q217" s="975">
        <f t="shared" si="10"/>
        <v>1000</v>
      </c>
      <c r="R217" s="132">
        <v>0</v>
      </c>
      <c r="S217" s="15">
        <v>0</v>
      </c>
      <c r="T217" s="132">
        <v>0</v>
      </c>
      <c r="U217" s="317">
        <v>0</v>
      </c>
      <c r="V217" s="132">
        <v>0</v>
      </c>
      <c r="W217" s="254">
        <v>0</v>
      </c>
      <c r="X217" s="255">
        <v>0</v>
      </c>
      <c r="Y217" s="255">
        <v>0</v>
      </c>
      <c r="Z217" s="255">
        <v>0</v>
      </c>
      <c r="AA217" s="882" t="s">
        <v>1006</v>
      </c>
      <c r="AB217" s="107" t="s">
        <v>117</v>
      </c>
      <c r="AC217" s="740" t="s">
        <v>536</v>
      </c>
      <c r="AD217" s="309" t="s">
        <v>338</v>
      </c>
      <c r="AE217" s="309" t="s">
        <v>338</v>
      </c>
      <c r="AF217" s="779" t="s">
        <v>363</v>
      </c>
    </row>
    <row r="218" spans="1:32" s="721" customFormat="1" ht="15.75" thickBot="1" x14ac:dyDescent="0.3">
      <c r="A218" s="72" t="s">
        <v>357</v>
      </c>
      <c r="B218" s="900" t="s">
        <v>357</v>
      </c>
      <c r="C218" s="893" t="s">
        <v>357</v>
      </c>
      <c r="D218" s="67" t="s">
        <v>357</v>
      </c>
      <c r="E218" s="887" t="s">
        <v>357</v>
      </c>
      <c r="F218" s="887" t="s">
        <v>357</v>
      </c>
      <c r="G218" s="297" t="s">
        <v>357</v>
      </c>
      <c r="H218" s="821" t="s">
        <v>357</v>
      </c>
      <c r="I218" s="821" t="s">
        <v>357</v>
      </c>
      <c r="J218" s="446" t="s">
        <v>357</v>
      </c>
      <c r="K218" s="446" t="s">
        <v>357</v>
      </c>
      <c r="L218" s="447" t="s">
        <v>357</v>
      </c>
      <c r="M218" s="442" t="s">
        <v>357</v>
      </c>
      <c r="N218" s="903" t="s">
        <v>357</v>
      </c>
      <c r="O218" s="752" t="s">
        <v>357</v>
      </c>
      <c r="P218" s="818" t="s">
        <v>357</v>
      </c>
      <c r="Q218" s="963" t="s">
        <v>357</v>
      </c>
      <c r="R218" s="575" t="s">
        <v>357</v>
      </c>
      <c r="S218" s="444" t="s">
        <v>357</v>
      </c>
      <c r="T218" s="448" t="s">
        <v>357</v>
      </c>
      <c r="U218" s="442" t="s">
        <v>357</v>
      </c>
      <c r="V218" s="448" t="s">
        <v>357</v>
      </c>
      <c r="W218" s="444" t="s">
        <v>357</v>
      </c>
      <c r="X218" s="903" t="s">
        <v>357</v>
      </c>
      <c r="Y218" s="903" t="s">
        <v>357</v>
      </c>
      <c r="Z218" s="903" t="s">
        <v>357</v>
      </c>
      <c r="AA218" s="444" t="s">
        <v>357</v>
      </c>
      <c r="AB218" s="292" t="s">
        <v>357</v>
      </c>
      <c r="AC218" s="275" t="s">
        <v>357</v>
      </c>
      <c r="AD218" s="119" t="s">
        <v>357</v>
      </c>
      <c r="AE218" s="119" t="s">
        <v>357</v>
      </c>
      <c r="AF218" s="72" t="s">
        <v>357</v>
      </c>
    </row>
    <row r="219" spans="1:32" ht="35.25" customHeight="1" thickBot="1" x14ac:dyDescent="0.3">
      <c r="A219" s="370" t="s">
        <v>317</v>
      </c>
      <c r="B219" s="371" t="s">
        <v>317</v>
      </c>
      <c r="C219" s="79" t="s">
        <v>317</v>
      </c>
      <c r="D219" s="59" t="s">
        <v>317</v>
      </c>
      <c r="E219" s="79" t="s">
        <v>317</v>
      </c>
      <c r="F219" s="79" t="s">
        <v>317</v>
      </c>
      <c r="G219" s="404" t="s">
        <v>370</v>
      </c>
      <c r="H219" s="892">
        <f>SUM(H187:H218)</f>
        <v>849769.53021000011</v>
      </c>
      <c r="I219" s="892">
        <f>SUM(I187:I218)</f>
        <v>58332.457240000011</v>
      </c>
      <c r="J219" s="892">
        <f t="shared" ref="J219:Z219" si="11">SUM(J187:J218)</f>
        <v>10536.347820000001</v>
      </c>
      <c r="K219" s="892">
        <f t="shared" si="11"/>
        <v>12505.194220000001</v>
      </c>
      <c r="L219" s="892">
        <f t="shared" si="11"/>
        <v>1075.66668</v>
      </c>
      <c r="M219" s="892">
        <f t="shared" si="11"/>
        <v>10329.250980000003</v>
      </c>
      <c r="N219" s="892">
        <f t="shared" si="11"/>
        <v>14430.02233</v>
      </c>
      <c r="O219" s="892">
        <f t="shared" si="11"/>
        <v>47977.737300000001</v>
      </c>
      <c r="P219" s="892">
        <f t="shared" si="11"/>
        <v>-176.92195000000001</v>
      </c>
      <c r="Q219" s="892">
        <f t="shared" si="11"/>
        <v>47800.815349999997</v>
      </c>
      <c r="R219" s="892">
        <f t="shared" si="11"/>
        <v>156626.37367</v>
      </c>
      <c r="S219" s="892">
        <f t="shared" si="11"/>
        <v>579647.03394999995</v>
      </c>
      <c r="T219" s="892">
        <f t="shared" si="11"/>
        <v>7362.85</v>
      </c>
      <c r="U219" s="892">
        <f t="shared" si="11"/>
        <v>0</v>
      </c>
      <c r="V219" s="892">
        <f t="shared" si="11"/>
        <v>0</v>
      </c>
      <c r="W219" s="892">
        <f t="shared" si="11"/>
        <v>0</v>
      </c>
      <c r="X219" s="892">
        <f t="shared" si="11"/>
        <v>0</v>
      </c>
      <c r="Y219" s="892">
        <f t="shared" si="11"/>
        <v>0</v>
      </c>
      <c r="Z219" s="892">
        <f t="shared" si="11"/>
        <v>0</v>
      </c>
      <c r="AA219" s="66" t="s">
        <v>914</v>
      </c>
      <c r="AB219" s="933" t="s">
        <v>317</v>
      </c>
      <c r="AC219" s="934" t="s">
        <v>317</v>
      </c>
      <c r="AD219" s="935" t="s">
        <v>317</v>
      </c>
      <c r="AE219" s="934" t="s">
        <v>317</v>
      </c>
      <c r="AF219" s="933" t="s">
        <v>317</v>
      </c>
    </row>
    <row r="220" spans="1:32" ht="30" x14ac:dyDescent="0.25">
      <c r="A220" s="771" t="s">
        <v>174</v>
      </c>
      <c r="B220" s="915" t="s">
        <v>175</v>
      </c>
      <c r="C220" s="908">
        <v>2012</v>
      </c>
      <c r="D220" s="908" t="s">
        <v>414</v>
      </c>
      <c r="E220" s="914" t="s">
        <v>176</v>
      </c>
      <c r="F220" s="772" t="s">
        <v>176</v>
      </c>
      <c r="G220" s="282" t="s">
        <v>177</v>
      </c>
      <c r="H220" s="909">
        <v>270000</v>
      </c>
      <c r="I220" s="437">
        <v>7804.0595499999999</v>
      </c>
      <c r="J220" s="437">
        <v>0</v>
      </c>
      <c r="K220" s="437">
        <v>0</v>
      </c>
      <c r="L220" s="266">
        <v>0</v>
      </c>
      <c r="M220" s="920">
        <v>0</v>
      </c>
      <c r="N220" s="94">
        <f>14005.95+0.00045</f>
        <v>14005.95045</v>
      </c>
      <c r="O220" s="1153">
        <v>14005.950450000004</v>
      </c>
      <c r="P220" s="922">
        <v>0</v>
      </c>
      <c r="Q220" s="962">
        <f t="shared" ref="Q220:Q235" si="12">O220+P220</f>
        <v>14005.950450000004</v>
      </c>
      <c r="R220" s="94">
        <v>179242</v>
      </c>
      <c r="S220" s="5">
        <v>68947.990000000005</v>
      </c>
      <c r="T220" s="911">
        <v>0</v>
      </c>
      <c r="U220" s="920">
        <v>0</v>
      </c>
      <c r="V220" s="911">
        <v>0</v>
      </c>
      <c r="W220" s="904">
        <f>270000-7804.05955</f>
        <v>262195.94044999999</v>
      </c>
      <c r="X220" s="921">
        <v>0</v>
      </c>
      <c r="Y220" s="921">
        <v>14006</v>
      </c>
      <c r="Z220" s="707">
        <f>248190-0.05955</f>
        <v>248189.94044999999</v>
      </c>
      <c r="AA220" s="886" t="s">
        <v>979</v>
      </c>
      <c r="AB220" s="886" t="s">
        <v>12</v>
      </c>
      <c r="AC220" s="426" t="s">
        <v>617</v>
      </c>
      <c r="AD220" s="55" t="s">
        <v>339</v>
      </c>
      <c r="AE220" s="784" t="s">
        <v>339</v>
      </c>
      <c r="AF220" s="55" t="s">
        <v>363</v>
      </c>
    </row>
    <row r="221" spans="1:32" ht="30" x14ac:dyDescent="0.25">
      <c r="A221" s="771" t="s">
        <v>178</v>
      </c>
      <c r="B221" s="48" t="s">
        <v>179</v>
      </c>
      <c r="C221" s="45">
        <v>2015</v>
      </c>
      <c r="D221" s="45" t="s">
        <v>180</v>
      </c>
      <c r="E221" s="44" t="s">
        <v>181</v>
      </c>
      <c r="F221" s="271" t="s">
        <v>181</v>
      </c>
      <c r="G221" s="281" t="s">
        <v>182</v>
      </c>
      <c r="H221" s="8">
        <v>86727</v>
      </c>
      <c r="I221" s="909">
        <v>0</v>
      </c>
      <c r="J221" s="8">
        <v>0</v>
      </c>
      <c r="K221" s="8">
        <v>0</v>
      </c>
      <c r="L221" s="215">
        <v>0</v>
      </c>
      <c r="M221" s="311">
        <v>0</v>
      </c>
      <c r="N221" s="9">
        <v>0</v>
      </c>
      <c r="O221" s="923">
        <v>0</v>
      </c>
      <c r="P221" s="922">
        <v>0</v>
      </c>
      <c r="Q221" s="962">
        <f t="shared" si="12"/>
        <v>0</v>
      </c>
      <c r="R221" s="768">
        <v>71647.25</v>
      </c>
      <c r="S221" s="767">
        <v>0</v>
      </c>
      <c r="T221" s="911">
        <v>0</v>
      </c>
      <c r="U221" s="920">
        <v>0</v>
      </c>
      <c r="V221" s="911">
        <v>15079.75</v>
      </c>
      <c r="W221" s="921">
        <v>0</v>
      </c>
      <c r="X221" s="921">
        <v>0</v>
      </c>
      <c r="Y221" s="921">
        <v>0</v>
      </c>
      <c r="Z221" s="921">
        <v>0</v>
      </c>
      <c r="AA221" s="908" t="s">
        <v>704</v>
      </c>
      <c r="AB221" s="908" t="s">
        <v>705</v>
      </c>
      <c r="AC221" s="153" t="s">
        <v>314</v>
      </c>
      <c r="AD221" s="916" t="s">
        <v>339</v>
      </c>
      <c r="AE221" s="918" t="s">
        <v>339</v>
      </c>
      <c r="AF221" s="916" t="s">
        <v>364</v>
      </c>
    </row>
    <row r="222" spans="1:32" ht="25.5" x14ac:dyDescent="0.25">
      <c r="A222" s="771" t="s">
        <v>183</v>
      </c>
      <c r="B222" s="915" t="s">
        <v>184</v>
      </c>
      <c r="C222" s="908">
        <v>2016</v>
      </c>
      <c r="D222" s="908" t="s">
        <v>413</v>
      </c>
      <c r="E222" s="914" t="s">
        <v>185</v>
      </c>
      <c r="F222" s="772" t="s">
        <v>185</v>
      </c>
      <c r="G222" s="282" t="s">
        <v>186</v>
      </c>
      <c r="H222" s="399">
        <v>64134.499000000003</v>
      </c>
      <c r="I222" s="399">
        <v>51668.417599999993</v>
      </c>
      <c r="J222" s="399">
        <v>0</v>
      </c>
      <c r="K222" s="399">
        <v>0</v>
      </c>
      <c r="L222" s="205">
        <v>0</v>
      </c>
      <c r="M222" s="920">
        <v>2000</v>
      </c>
      <c r="N222" s="910">
        <v>0</v>
      </c>
      <c r="O222" s="923">
        <v>2000</v>
      </c>
      <c r="P222" s="922">
        <v>0</v>
      </c>
      <c r="Q222" s="962">
        <f t="shared" si="12"/>
        <v>2000</v>
      </c>
      <c r="R222" s="768">
        <v>0</v>
      </c>
      <c r="S222" s="767">
        <v>0</v>
      </c>
      <c r="T222" s="911">
        <v>0</v>
      </c>
      <c r="U222" s="311">
        <v>0</v>
      </c>
      <c r="V222" s="11">
        <v>10466.081399999999</v>
      </c>
      <c r="W222" s="625">
        <v>0</v>
      </c>
      <c r="X222" s="625">
        <v>0</v>
      </c>
      <c r="Y222" s="625">
        <v>0</v>
      </c>
      <c r="Z222" s="625">
        <v>0</v>
      </c>
      <c r="AA222" s="19" t="s">
        <v>317</v>
      </c>
      <c r="AB222" s="19" t="s">
        <v>705</v>
      </c>
      <c r="AC222" s="153" t="s">
        <v>837</v>
      </c>
      <c r="AD222" s="916" t="s">
        <v>339</v>
      </c>
      <c r="AE222" s="918" t="s">
        <v>339</v>
      </c>
      <c r="AF222" s="916" t="s">
        <v>363</v>
      </c>
    </row>
    <row r="223" spans="1:32" s="722" customFormat="1" ht="26.25" thickBot="1" x14ac:dyDescent="0.3">
      <c r="A223" s="69" t="s">
        <v>187</v>
      </c>
      <c r="B223" s="70" t="s">
        <v>188</v>
      </c>
      <c r="C223" s="893">
        <v>2017</v>
      </c>
      <c r="D223" s="893" t="s">
        <v>411</v>
      </c>
      <c r="E223" s="887" t="s">
        <v>176</v>
      </c>
      <c r="F223" s="278" t="s">
        <v>176</v>
      </c>
      <c r="G223" s="287" t="s">
        <v>189</v>
      </c>
      <c r="H223" s="91">
        <v>15009.99</v>
      </c>
      <c r="I223" s="91">
        <v>6944.1900000000005</v>
      </c>
      <c r="J223" s="91">
        <v>0</v>
      </c>
      <c r="K223" s="91">
        <v>0</v>
      </c>
      <c r="L223" s="291">
        <v>0</v>
      </c>
      <c r="M223" s="206">
        <v>5630.6100000000006</v>
      </c>
      <c r="N223" s="3">
        <v>0</v>
      </c>
      <c r="O223" s="751">
        <v>5630.6100000000006</v>
      </c>
      <c r="P223" s="635">
        <v>0</v>
      </c>
      <c r="Q223" s="964">
        <f t="shared" si="12"/>
        <v>5630.6100000000006</v>
      </c>
      <c r="R223" s="22">
        <v>0</v>
      </c>
      <c r="S223" s="23">
        <v>0</v>
      </c>
      <c r="T223" s="53">
        <v>0</v>
      </c>
      <c r="U223" s="123">
        <v>0</v>
      </c>
      <c r="V223" s="53">
        <v>2435.19</v>
      </c>
      <c r="W223" s="540">
        <v>0</v>
      </c>
      <c r="X223" s="540">
        <v>0</v>
      </c>
      <c r="Y223" s="540">
        <v>0</v>
      </c>
      <c r="Z223" s="540">
        <v>0</v>
      </c>
      <c r="AA223" s="292" t="s">
        <v>317</v>
      </c>
      <c r="AB223" s="893" t="s">
        <v>28</v>
      </c>
      <c r="AC223" s="1218" t="s">
        <v>837</v>
      </c>
      <c r="AD223" s="72" t="s">
        <v>339</v>
      </c>
      <c r="AE223" s="119" t="s">
        <v>339</v>
      </c>
      <c r="AF223" s="72" t="s">
        <v>362</v>
      </c>
    </row>
    <row r="224" spans="1:32" ht="30" x14ac:dyDescent="0.25">
      <c r="A224" s="30" t="s">
        <v>744</v>
      </c>
      <c r="B224" s="62" t="s">
        <v>745</v>
      </c>
      <c r="C224" s="882">
        <v>2020</v>
      </c>
      <c r="D224" s="720" t="s">
        <v>821</v>
      </c>
      <c r="E224" s="31" t="s">
        <v>190</v>
      </c>
      <c r="F224" s="31" t="s">
        <v>190</v>
      </c>
      <c r="G224" s="87" t="s">
        <v>746</v>
      </c>
      <c r="H224" s="57">
        <v>587000</v>
      </c>
      <c r="I224" s="907">
        <v>0</v>
      </c>
      <c r="J224" s="907">
        <v>964.64800000000002</v>
      </c>
      <c r="K224" s="907">
        <v>0</v>
      </c>
      <c r="L224" s="895">
        <v>3035.3519999999999</v>
      </c>
      <c r="M224" s="920">
        <v>10035.35</v>
      </c>
      <c r="N224" s="881">
        <f>19000+0.002</f>
        <v>19000.002</v>
      </c>
      <c r="O224" s="923">
        <v>30000</v>
      </c>
      <c r="P224" s="922">
        <v>0</v>
      </c>
      <c r="Q224" s="961">
        <f t="shared" si="12"/>
        <v>30000</v>
      </c>
      <c r="R224" s="18">
        <v>220000</v>
      </c>
      <c r="S224" s="1">
        <v>337000</v>
      </c>
      <c r="T224" s="884">
        <v>0</v>
      </c>
      <c r="U224" s="787">
        <v>0</v>
      </c>
      <c r="V224" s="884">
        <v>0</v>
      </c>
      <c r="W224" s="997">
        <v>587000</v>
      </c>
      <c r="X224" s="905">
        <v>4000</v>
      </c>
      <c r="Y224" s="905">
        <v>30000</v>
      </c>
      <c r="Z224" s="901">
        <v>557000</v>
      </c>
      <c r="AA224" s="882" t="s">
        <v>317</v>
      </c>
      <c r="AB224" s="886" t="s">
        <v>28</v>
      </c>
      <c r="AC224" s="55" t="s">
        <v>604</v>
      </c>
      <c r="AD224" s="55" t="s">
        <v>339</v>
      </c>
      <c r="AE224" s="55" t="s">
        <v>339</v>
      </c>
      <c r="AF224" s="779" t="s">
        <v>363</v>
      </c>
    </row>
    <row r="225" spans="1:35" ht="30" x14ac:dyDescent="0.25">
      <c r="A225" s="771" t="s">
        <v>747</v>
      </c>
      <c r="B225" s="915" t="s">
        <v>836</v>
      </c>
      <c r="C225" s="908">
        <v>2020</v>
      </c>
      <c r="D225" s="720" t="s">
        <v>821</v>
      </c>
      <c r="E225" s="914" t="s">
        <v>190</v>
      </c>
      <c r="F225" s="914" t="s">
        <v>190</v>
      </c>
      <c r="G225" s="282" t="s">
        <v>748</v>
      </c>
      <c r="H225" s="4">
        <v>49000</v>
      </c>
      <c r="I225" s="907">
        <v>0</v>
      </c>
      <c r="J225" s="907">
        <v>0</v>
      </c>
      <c r="K225" s="907">
        <v>49000</v>
      </c>
      <c r="L225" s="895">
        <v>0</v>
      </c>
      <c r="M225" s="920">
        <v>0</v>
      </c>
      <c r="N225" s="910">
        <v>0</v>
      </c>
      <c r="O225" s="923">
        <v>49000</v>
      </c>
      <c r="P225" s="922">
        <v>0</v>
      </c>
      <c r="Q225" s="961">
        <f t="shared" si="12"/>
        <v>49000</v>
      </c>
      <c r="R225" s="911">
        <v>0</v>
      </c>
      <c r="S225" s="767">
        <v>0</v>
      </c>
      <c r="T225" s="911">
        <v>0</v>
      </c>
      <c r="U225" s="920">
        <v>0</v>
      </c>
      <c r="V225" s="911">
        <v>0</v>
      </c>
      <c r="W225" s="796">
        <v>49000</v>
      </c>
      <c r="X225" s="921">
        <v>49000</v>
      </c>
      <c r="Y225" s="921">
        <v>49000</v>
      </c>
      <c r="Z225" s="902">
        <v>0</v>
      </c>
      <c r="AA225" s="908" t="s">
        <v>317</v>
      </c>
      <c r="AB225" s="908" t="s">
        <v>705</v>
      </c>
      <c r="AC225" s="916" t="s">
        <v>837</v>
      </c>
      <c r="AD225" s="916" t="s">
        <v>339</v>
      </c>
      <c r="AE225" s="916" t="s">
        <v>339</v>
      </c>
      <c r="AF225" s="916" t="s">
        <v>363</v>
      </c>
    </row>
    <row r="226" spans="1:35" ht="30" x14ac:dyDescent="0.25">
      <c r="A226" s="476" t="s">
        <v>749</v>
      </c>
      <c r="B226" s="464" t="s">
        <v>750</v>
      </c>
      <c r="C226" s="286">
        <v>2020</v>
      </c>
      <c r="D226" s="1154" t="s">
        <v>821</v>
      </c>
      <c r="E226" s="342" t="s">
        <v>181</v>
      </c>
      <c r="F226" s="342" t="s">
        <v>181</v>
      </c>
      <c r="G226" s="460" t="s">
        <v>751</v>
      </c>
      <c r="H226" s="339">
        <v>350335</v>
      </c>
      <c r="I226" s="333">
        <v>0</v>
      </c>
      <c r="J226" s="333">
        <v>0</v>
      </c>
      <c r="K226" s="333">
        <v>0</v>
      </c>
      <c r="L226" s="421">
        <v>0</v>
      </c>
      <c r="M226" s="461">
        <v>0</v>
      </c>
      <c r="N226" s="534">
        <v>70500</v>
      </c>
      <c r="O226" s="1099">
        <v>79255</v>
      </c>
      <c r="P226" s="1096">
        <v>-8755</v>
      </c>
      <c r="Q226" s="1046">
        <f t="shared" si="12"/>
        <v>70500</v>
      </c>
      <c r="R226" s="461">
        <v>279835</v>
      </c>
      <c r="S226" s="343">
        <v>0</v>
      </c>
      <c r="T226" s="334">
        <v>0</v>
      </c>
      <c r="U226" s="461">
        <v>0</v>
      </c>
      <c r="V226" s="334">
        <v>0</v>
      </c>
      <c r="W226" s="1155">
        <v>350335</v>
      </c>
      <c r="X226" s="1099">
        <v>0</v>
      </c>
      <c r="Y226" s="1099">
        <v>70500</v>
      </c>
      <c r="Z226" s="1156">
        <v>279835</v>
      </c>
      <c r="AA226" s="827" t="s">
        <v>980</v>
      </c>
      <c r="AB226" s="286" t="s">
        <v>981</v>
      </c>
      <c r="AC226" s="337" t="s">
        <v>601</v>
      </c>
      <c r="AD226" s="337" t="s">
        <v>339</v>
      </c>
      <c r="AE226" s="337" t="s">
        <v>339</v>
      </c>
      <c r="AF226" s="337" t="s">
        <v>363</v>
      </c>
    </row>
    <row r="227" spans="1:35" ht="30" x14ac:dyDescent="0.25">
      <c r="A227" s="771" t="s">
        <v>752</v>
      </c>
      <c r="B227" s="915" t="s">
        <v>324</v>
      </c>
      <c r="C227" s="908">
        <v>2020</v>
      </c>
      <c r="D227" s="720" t="s">
        <v>821</v>
      </c>
      <c r="E227" s="914" t="s">
        <v>181</v>
      </c>
      <c r="F227" s="914" t="s">
        <v>181</v>
      </c>
      <c r="G227" s="282" t="s">
        <v>753</v>
      </c>
      <c r="H227" s="4">
        <v>128408</v>
      </c>
      <c r="I227" s="907">
        <v>0</v>
      </c>
      <c r="J227" s="907">
        <v>0</v>
      </c>
      <c r="K227" s="907">
        <v>0</v>
      </c>
      <c r="L227" s="895">
        <v>0</v>
      </c>
      <c r="M227" s="920">
        <v>0</v>
      </c>
      <c r="N227" s="557">
        <v>4000</v>
      </c>
      <c r="O227" s="923">
        <v>4000</v>
      </c>
      <c r="P227" s="922">
        <v>0</v>
      </c>
      <c r="Q227" s="961">
        <f t="shared" si="12"/>
        <v>4000</v>
      </c>
      <c r="R227" s="94">
        <v>0</v>
      </c>
      <c r="S227" s="767">
        <v>124408</v>
      </c>
      <c r="T227" s="911">
        <v>0</v>
      </c>
      <c r="U227" s="920">
        <v>0</v>
      </c>
      <c r="V227" s="911">
        <v>0</v>
      </c>
      <c r="W227" s="796">
        <v>128408</v>
      </c>
      <c r="X227" s="921">
        <v>0</v>
      </c>
      <c r="Y227" s="921">
        <v>4000</v>
      </c>
      <c r="Z227" s="902">
        <v>124408</v>
      </c>
      <c r="AA227" s="908" t="s">
        <v>982</v>
      </c>
      <c r="AB227" s="908" t="s">
        <v>17</v>
      </c>
      <c r="AC227" s="916" t="s">
        <v>837</v>
      </c>
      <c r="AD227" s="916" t="s">
        <v>338</v>
      </c>
      <c r="AE227" s="916" t="s">
        <v>338</v>
      </c>
      <c r="AF227" s="916" t="s">
        <v>363</v>
      </c>
    </row>
    <row r="228" spans="1:35" ht="30" x14ac:dyDescent="0.25">
      <c r="A228" s="471" t="s">
        <v>754</v>
      </c>
      <c r="B228" s="472" t="s">
        <v>755</v>
      </c>
      <c r="C228" s="195">
        <v>2020</v>
      </c>
      <c r="D228" s="1157" t="s">
        <v>821</v>
      </c>
      <c r="E228" s="259" t="s">
        <v>173</v>
      </c>
      <c r="F228" s="259" t="s">
        <v>173</v>
      </c>
      <c r="G228" s="1158" t="s">
        <v>756</v>
      </c>
      <c r="H228" s="1159">
        <v>128267</v>
      </c>
      <c r="I228" s="194">
        <v>0</v>
      </c>
      <c r="J228" s="194">
        <v>0</v>
      </c>
      <c r="K228" s="194">
        <v>46446.307000000001</v>
      </c>
      <c r="L228" s="248">
        <v>3553.6930000000002</v>
      </c>
      <c r="M228" s="920">
        <v>60803.692999999999</v>
      </c>
      <c r="N228" s="1160">
        <v>0</v>
      </c>
      <c r="O228" s="1017">
        <v>107250</v>
      </c>
      <c r="P228" s="1018">
        <v>0</v>
      </c>
      <c r="Q228" s="1019">
        <f t="shared" si="12"/>
        <v>107250</v>
      </c>
      <c r="R228" s="328">
        <v>0</v>
      </c>
      <c r="S228" s="473">
        <v>0</v>
      </c>
      <c r="T228" s="328">
        <v>0</v>
      </c>
      <c r="U228" s="327">
        <v>0</v>
      </c>
      <c r="V228" s="328">
        <v>21017</v>
      </c>
      <c r="W228" s="1161">
        <v>107250</v>
      </c>
      <c r="X228" s="1091">
        <v>50000</v>
      </c>
      <c r="Y228" s="1091">
        <v>107250</v>
      </c>
      <c r="Z228" s="1162">
        <v>0</v>
      </c>
      <c r="AA228" s="195" t="s">
        <v>983</v>
      </c>
      <c r="AB228" s="195" t="s">
        <v>28</v>
      </c>
      <c r="AC228" s="475" t="s">
        <v>837</v>
      </c>
      <c r="AD228" s="475" t="s">
        <v>339</v>
      </c>
      <c r="AE228" s="475" t="s">
        <v>339</v>
      </c>
      <c r="AF228" s="475" t="s">
        <v>363</v>
      </c>
    </row>
    <row r="229" spans="1:35" s="723" customFormat="1" ht="45" customHeight="1" x14ac:dyDescent="0.25">
      <c r="A229" s="71" t="s">
        <v>757</v>
      </c>
      <c r="B229" s="61" t="s">
        <v>324</v>
      </c>
      <c r="C229" s="34">
        <v>2020</v>
      </c>
      <c r="D229" s="1391" t="s">
        <v>821</v>
      </c>
      <c r="E229" s="35" t="s">
        <v>758</v>
      </c>
      <c r="F229" s="35" t="s">
        <v>758</v>
      </c>
      <c r="G229" s="1392" t="s">
        <v>759</v>
      </c>
      <c r="H229" s="1393">
        <f>25000-25000</f>
        <v>0</v>
      </c>
      <c r="I229" s="41">
        <v>0</v>
      </c>
      <c r="J229" s="41">
        <v>0</v>
      </c>
      <c r="K229" s="41">
        <v>0</v>
      </c>
      <c r="L229" s="330">
        <v>0</v>
      </c>
      <c r="M229" s="124">
        <f>1121-1121</f>
        <v>0</v>
      </c>
      <c r="N229" s="1394">
        <f>1000-1000</f>
        <v>0</v>
      </c>
      <c r="O229" s="801">
        <v>2121</v>
      </c>
      <c r="P229" s="645">
        <v>-2121</v>
      </c>
      <c r="Q229" s="972">
        <f t="shared" si="12"/>
        <v>0</v>
      </c>
      <c r="R229" s="16">
        <f>22879-22879</f>
        <v>0</v>
      </c>
      <c r="S229" s="1395">
        <v>0</v>
      </c>
      <c r="T229" s="16">
        <v>0</v>
      </c>
      <c r="U229" s="124">
        <v>0</v>
      </c>
      <c r="V229" s="16">
        <v>0</v>
      </c>
      <c r="W229" s="1396">
        <f>25000-25000</f>
        <v>0</v>
      </c>
      <c r="X229" s="125">
        <v>0</v>
      </c>
      <c r="Y229" s="125">
        <f>2121-2121</f>
        <v>0</v>
      </c>
      <c r="Z229" s="16">
        <f>22879-22879</f>
        <v>0</v>
      </c>
      <c r="AA229" s="34" t="s">
        <v>1050</v>
      </c>
      <c r="AB229" s="34" t="s">
        <v>341</v>
      </c>
      <c r="AC229" s="33" t="s">
        <v>536</v>
      </c>
      <c r="AD229" s="33" t="s">
        <v>338</v>
      </c>
      <c r="AE229" s="33" t="s">
        <v>338</v>
      </c>
      <c r="AF229" s="33" t="s">
        <v>365</v>
      </c>
    </row>
    <row r="230" spans="1:35" ht="30" x14ac:dyDescent="0.25">
      <c r="A230" s="476" t="s">
        <v>760</v>
      </c>
      <c r="B230" s="464" t="s">
        <v>324</v>
      </c>
      <c r="C230" s="286">
        <v>2020</v>
      </c>
      <c r="D230" s="1163" t="s">
        <v>821</v>
      </c>
      <c r="E230" s="342" t="s">
        <v>758</v>
      </c>
      <c r="F230" s="342" t="s">
        <v>758</v>
      </c>
      <c r="G230" s="460" t="s">
        <v>761</v>
      </c>
      <c r="H230" s="339">
        <v>40000</v>
      </c>
      <c r="I230" s="333">
        <v>0</v>
      </c>
      <c r="J230" s="333">
        <v>0</v>
      </c>
      <c r="K230" s="333">
        <v>0</v>
      </c>
      <c r="L230" s="421">
        <v>0</v>
      </c>
      <c r="M230" s="461">
        <v>1121</v>
      </c>
      <c r="N230" s="534">
        <v>2000</v>
      </c>
      <c r="O230" s="1099">
        <v>2121</v>
      </c>
      <c r="P230" s="586">
        <v>1000</v>
      </c>
      <c r="Q230" s="1046">
        <f t="shared" si="12"/>
        <v>3121</v>
      </c>
      <c r="R230" s="461">
        <v>36879</v>
      </c>
      <c r="S230" s="343">
        <v>0</v>
      </c>
      <c r="T230" s="334">
        <v>0</v>
      </c>
      <c r="U230" s="461">
        <v>0</v>
      </c>
      <c r="V230" s="334">
        <v>0</v>
      </c>
      <c r="W230" s="1155">
        <v>40000</v>
      </c>
      <c r="X230" s="1099">
        <v>0</v>
      </c>
      <c r="Y230" s="1099">
        <v>3121</v>
      </c>
      <c r="Z230" s="507">
        <v>36879</v>
      </c>
      <c r="AA230" s="286" t="s">
        <v>984</v>
      </c>
      <c r="AB230" s="286" t="s">
        <v>17</v>
      </c>
      <c r="AC230" s="337" t="s">
        <v>536</v>
      </c>
      <c r="AD230" s="337" t="s">
        <v>338</v>
      </c>
      <c r="AE230" s="337" t="s">
        <v>338</v>
      </c>
      <c r="AF230" s="337" t="s">
        <v>363</v>
      </c>
    </row>
    <row r="231" spans="1:35" ht="30" x14ac:dyDescent="0.25">
      <c r="A231" s="476" t="s">
        <v>762</v>
      </c>
      <c r="B231" s="464" t="s">
        <v>324</v>
      </c>
      <c r="C231" s="286">
        <v>2020</v>
      </c>
      <c r="D231" s="1163" t="s">
        <v>821</v>
      </c>
      <c r="E231" s="342" t="s">
        <v>758</v>
      </c>
      <c r="F231" s="342" t="s">
        <v>758</v>
      </c>
      <c r="G231" s="460" t="s">
        <v>763</v>
      </c>
      <c r="H231" s="339">
        <v>30000</v>
      </c>
      <c r="I231" s="333">
        <v>0</v>
      </c>
      <c r="J231" s="333">
        <v>0</v>
      </c>
      <c r="K231" s="333">
        <v>0</v>
      </c>
      <c r="L231" s="421">
        <v>0</v>
      </c>
      <c r="M231" s="461">
        <v>1121</v>
      </c>
      <c r="N231" s="534">
        <v>1379</v>
      </c>
      <c r="O231" s="586">
        <v>2121</v>
      </c>
      <c r="P231" s="586">
        <v>379</v>
      </c>
      <c r="Q231" s="1046">
        <f t="shared" si="12"/>
        <v>2500</v>
      </c>
      <c r="R231" s="461">
        <v>27500</v>
      </c>
      <c r="S231" s="343">
        <v>0</v>
      </c>
      <c r="T231" s="334">
        <v>0</v>
      </c>
      <c r="U231" s="461">
        <v>0</v>
      </c>
      <c r="V231" s="334">
        <v>0</v>
      </c>
      <c r="W231" s="1155">
        <v>30000</v>
      </c>
      <c r="X231" s="1099">
        <v>0</v>
      </c>
      <c r="Y231" s="1099">
        <v>2500</v>
      </c>
      <c r="Z231" s="507">
        <v>27500</v>
      </c>
      <c r="AA231" s="286" t="s">
        <v>985</v>
      </c>
      <c r="AB231" s="286" t="s">
        <v>17</v>
      </c>
      <c r="AC231" s="337" t="s">
        <v>536</v>
      </c>
      <c r="AD231" s="337" t="s">
        <v>338</v>
      </c>
      <c r="AE231" s="337" t="s">
        <v>338</v>
      </c>
      <c r="AF231" s="337" t="s">
        <v>364</v>
      </c>
    </row>
    <row r="232" spans="1:35" ht="30" x14ac:dyDescent="0.25">
      <c r="A232" s="476" t="s">
        <v>764</v>
      </c>
      <c r="B232" s="464" t="s">
        <v>324</v>
      </c>
      <c r="C232" s="286">
        <v>2020</v>
      </c>
      <c r="D232" s="1163" t="s">
        <v>821</v>
      </c>
      <c r="E232" s="342" t="s">
        <v>765</v>
      </c>
      <c r="F232" s="342" t="s">
        <v>765</v>
      </c>
      <c r="G232" s="460" t="s">
        <v>903</v>
      </c>
      <c r="H232" s="1164">
        <v>465333</v>
      </c>
      <c r="I232" s="333">
        <v>0</v>
      </c>
      <c r="J232" s="333">
        <v>0</v>
      </c>
      <c r="K232" s="333">
        <v>0</v>
      </c>
      <c r="L232" s="421">
        <v>0</v>
      </c>
      <c r="M232" s="461">
        <v>0</v>
      </c>
      <c r="N232" s="534">
        <v>10000</v>
      </c>
      <c r="O232" s="586">
        <v>30000</v>
      </c>
      <c r="P232" s="1096">
        <v>-20000</v>
      </c>
      <c r="Q232" s="1046">
        <f t="shared" si="12"/>
        <v>10000</v>
      </c>
      <c r="R232" s="343">
        <v>130000</v>
      </c>
      <c r="S232" s="343">
        <v>230330</v>
      </c>
      <c r="T232" s="334">
        <v>0</v>
      </c>
      <c r="U232" s="461">
        <v>95003</v>
      </c>
      <c r="V232" s="1165">
        <v>0</v>
      </c>
      <c r="W232" s="1155">
        <v>370330</v>
      </c>
      <c r="X232" s="1099">
        <v>0</v>
      </c>
      <c r="Y232" s="1099">
        <v>10000</v>
      </c>
      <c r="Z232" s="1096">
        <v>360330</v>
      </c>
      <c r="AA232" s="286" t="s">
        <v>986</v>
      </c>
      <c r="AB232" s="286" t="s">
        <v>12</v>
      </c>
      <c r="AC232" s="337" t="s">
        <v>617</v>
      </c>
      <c r="AD232" s="337" t="s">
        <v>339</v>
      </c>
      <c r="AE232" s="337" t="s">
        <v>338</v>
      </c>
      <c r="AF232" s="337" t="s">
        <v>363</v>
      </c>
    </row>
    <row r="233" spans="1:35" ht="30" x14ac:dyDescent="0.25">
      <c r="A233" s="36" t="s">
        <v>766</v>
      </c>
      <c r="B233" s="48" t="s">
        <v>767</v>
      </c>
      <c r="C233" s="45">
        <v>2020</v>
      </c>
      <c r="D233" s="797" t="s">
        <v>821</v>
      </c>
      <c r="E233" s="44" t="s">
        <v>765</v>
      </c>
      <c r="F233" s="44" t="s">
        <v>765</v>
      </c>
      <c r="G233" s="281" t="s">
        <v>768</v>
      </c>
      <c r="H233" s="298">
        <v>37600</v>
      </c>
      <c r="I233" s="763">
        <v>0</v>
      </c>
      <c r="J233" s="763">
        <v>0</v>
      </c>
      <c r="K233" s="763">
        <v>1517.63105</v>
      </c>
      <c r="L233" s="114">
        <v>8482.36895</v>
      </c>
      <c r="M233" s="920">
        <v>22946.25</v>
      </c>
      <c r="N233" s="94">
        <f>13136.12-0.00105</f>
        <v>13136.11895</v>
      </c>
      <c r="O233" s="565">
        <v>37600</v>
      </c>
      <c r="P233" s="798">
        <v>0</v>
      </c>
      <c r="Q233" s="971">
        <f t="shared" si="12"/>
        <v>37600</v>
      </c>
      <c r="R233" s="10">
        <v>0</v>
      </c>
      <c r="S233" s="10">
        <v>0</v>
      </c>
      <c r="T233" s="11">
        <v>0</v>
      </c>
      <c r="U233" s="311">
        <v>0</v>
      </c>
      <c r="V233" s="11">
        <v>0</v>
      </c>
      <c r="W233" s="799">
        <v>37600</v>
      </c>
      <c r="X233" s="625">
        <v>10000</v>
      </c>
      <c r="Y233" s="625">
        <v>37600</v>
      </c>
      <c r="Z233" s="800">
        <v>0</v>
      </c>
      <c r="AA233" s="943" t="s">
        <v>317</v>
      </c>
      <c r="AB233" s="45" t="s">
        <v>28</v>
      </c>
      <c r="AC233" s="916" t="s">
        <v>617</v>
      </c>
      <c r="AD233" s="571" t="s">
        <v>339</v>
      </c>
      <c r="AE233" s="571" t="s">
        <v>339</v>
      </c>
      <c r="AF233" s="571" t="s">
        <v>363</v>
      </c>
    </row>
    <row r="234" spans="1:35" ht="26.25" thickBot="1" x14ac:dyDescent="0.3">
      <c r="A234" s="69" t="s">
        <v>852</v>
      </c>
      <c r="B234" s="70" t="s">
        <v>324</v>
      </c>
      <c r="C234" s="893">
        <v>2021</v>
      </c>
      <c r="D234" s="893" t="s">
        <v>881</v>
      </c>
      <c r="E234" s="887" t="s">
        <v>176</v>
      </c>
      <c r="F234" s="887" t="s">
        <v>176</v>
      </c>
      <c r="G234" s="287" t="s">
        <v>853</v>
      </c>
      <c r="H234" s="1386">
        <v>95000</v>
      </c>
      <c r="I234" s="434">
        <v>0</v>
      </c>
      <c r="J234" s="1387">
        <v>0</v>
      </c>
      <c r="K234" s="1387">
        <v>0</v>
      </c>
      <c r="L234" s="1388">
        <v>0</v>
      </c>
      <c r="M234" s="123">
        <v>0</v>
      </c>
      <c r="N234" s="1389">
        <v>2300</v>
      </c>
      <c r="O234" s="751">
        <v>2300</v>
      </c>
      <c r="P234" s="635">
        <v>0</v>
      </c>
      <c r="Q234" s="964">
        <f t="shared" si="12"/>
        <v>2300</v>
      </c>
      <c r="R234" s="23">
        <v>60000</v>
      </c>
      <c r="S234" s="23">
        <v>32700</v>
      </c>
      <c r="T234" s="1390">
        <v>0</v>
      </c>
      <c r="U234" s="123">
        <v>0</v>
      </c>
      <c r="V234" s="1389">
        <v>0</v>
      </c>
      <c r="W234" s="444">
        <v>23460</v>
      </c>
      <c r="X234" s="540">
        <v>0</v>
      </c>
      <c r="Y234" s="540">
        <v>2300</v>
      </c>
      <c r="Z234" s="527">
        <v>21160</v>
      </c>
      <c r="AA234" s="893" t="s">
        <v>904</v>
      </c>
      <c r="AB234" s="893" t="s">
        <v>12</v>
      </c>
      <c r="AC234" s="72" t="s">
        <v>617</v>
      </c>
      <c r="AD234" s="72" t="s">
        <v>338</v>
      </c>
      <c r="AE234" s="72" t="s">
        <v>338</v>
      </c>
      <c r="AF234" s="72" t="s">
        <v>363</v>
      </c>
    </row>
    <row r="235" spans="1:35" ht="30" x14ac:dyDescent="0.25">
      <c r="A235" s="1367" t="s">
        <v>1047</v>
      </c>
      <c r="B235" s="1368" t="s">
        <v>324</v>
      </c>
      <c r="C235" s="1357">
        <v>2021</v>
      </c>
      <c r="D235" s="1369" t="s">
        <v>317</v>
      </c>
      <c r="E235" s="1370" t="s">
        <v>758</v>
      </c>
      <c r="F235" s="1370" t="s">
        <v>758</v>
      </c>
      <c r="G235" s="1371" t="s">
        <v>1048</v>
      </c>
      <c r="H235" s="1372">
        <v>25000</v>
      </c>
      <c r="I235" s="1373">
        <v>0</v>
      </c>
      <c r="J235" s="1374">
        <v>0</v>
      </c>
      <c r="K235" s="1374">
        <v>0</v>
      </c>
      <c r="L235" s="1375">
        <v>0</v>
      </c>
      <c r="M235" s="1376">
        <v>0</v>
      </c>
      <c r="N235" s="1377">
        <v>2121</v>
      </c>
      <c r="O235" s="1378">
        <v>0</v>
      </c>
      <c r="P235" s="1379">
        <v>2121</v>
      </c>
      <c r="Q235" s="1379">
        <f t="shared" si="12"/>
        <v>2121</v>
      </c>
      <c r="R235" s="1380">
        <v>22879</v>
      </c>
      <c r="S235" s="1381">
        <v>0</v>
      </c>
      <c r="T235" s="1380">
        <v>0</v>
      </c>
      <c r="U235" s="1376">
        <v>0</v>
      </c>
      <c r="V235" s="1380">
        <v>0</v>
      </c>
      <c r="W235" s="1382">
        <v>25000</v>
      </c>
      <c r="X235" s="1378">
        <v>0</v>
      </c>
      <c r="Y235" s="1378">
        <v>2121</v>
      </c>
      <c r="Z235" s="1383">
        <v>22879</v>
      </c>
      <c r="AA235" s="1357" t="s">
        <v>1049</v>
      </c>
      <c r="AB235" s="1357" t="s">
        <v>17</v>
      </c>
      <c r="AC235" s="1384" t="s">
        <v>536</v>
      </c>
      <c r="AD235" s="1385" t="s">
        <v>338</v>
      </c>
      <c r="AE235" s="1385" t="s">
        <v>338</v>
      </c>
      <c r="AF235" s="468" t="s">
        <v>363</v>
      </c>
    </row>
    <row r="236" spans="1:35" s="721" customFormat="1" ht="15.75" thickBot="1" x14ac:dyDescent="0.3">
      <c r="A236" s="115" t="s">
        <v>357</v>
      </c>
      <c r="B236" s="116" t="s">
        <v>357</v>
      </c>
      <c r="C236" s="913" t="s">
        <v>357</v>
      </c>
      <c r="D236" s="782" t="s">
        <v>357</v>
      </c>
      <c r="E236" s="776" t="s">
        <v>357</v>
      </c>
      <c r="F236" s="776" t="s">
        <v>357</v>
      </c>
      <c r="G236" s="425" t="s">
        <v>357</v>
      </c>
      <c r="H236" s="1009" t="s">
        <v>357</v>
      </c>
      <c r="I236" s="822" t="s">
        <v>357</v>
      </c>
      <c r="J236" s="440" t="s">
        <v>357</v>
      </c>
      <c r="K236" s="440" t="s">
        <v>357</v>
      </c>
      <c r="L236" s="263" t="s">
        <v>357</v>
      </c>
      <c r="M236" s="443" t="s">
        <v>357</v>
      </c>
      <c r="N236" s="406" t="s">
        <v>357</v>
      </c>
      <c r="O236" s="753" t="s">
        <v>357</v>
      </c>
      <c r="P236" s="947" t="s">
        <v>357</v>
      </c>
      <c r="Q236" s="968" t="s">
        <v>357</v>
      </c>
      <c r="R236" s="441" t="s">
        <v>357</v>
      </c>
      <c r="S236" s="276" t="s">
        <v>357</v>
      </c>
      <c r="T236" s="441" t="s">
        <v>357</v>
      </c>
      <c r="U236" s="443" t="s">
        <v>357</v>
      </c>
      <c r="V236" s="441" t="s">
        <v>357</v>
      </c>
      <c r="W236" s="276" t="s">
        <v>357</v>
      </c>
      <c r="X236" s="406" t="s">
        <v>357</v>
      </c>
      <c r="Y236" s="406" t="s">
        <v>357</v>
      </c>
      <c r="Z236" s="406" t="s">
        <v>357</v>
      </c>
      <c r="AA236" s="406" t="s">
        <v>357</v>
      </c>
      <c r="AB236" s="578" t="s">
        <v>357</v>
      </c>
      <c r="AC236" s="372" t="s">
        <v>357</v>
      </c>
      <c r="AD236" s="120" t="s">
        <v>357</v>
      </c>
      <c r="AE236" s="120" t="s">
        <v>357</v>
      </c>
      <c r="AF236" s="72" t="s">
        <v>357</v>
      </c>
    </row>
    <row r="237" spans="1:35" ht="35.25" customHeight="1" thickBot="1" x14ac:dyDescent="0.3">
      <c r="A237" s="370" t="s">
        <v>317</v>
      </c>
      <c r="B237" s="371" t="s">
        <v>317</v>
      </c>
      <c r="C237" s="79" t="s">
        <v>317</v>
      </c>
      <c r="D237" s="59" t="s">
        <v>317</v>
      </c>
      <c r="E237" s="79" t="s">
        <v>317</v>
      </c>
      <c r="F237" s="79" t="s">
        <v>317</v>
      </c>
      <c r="G237" s="404" t="s">
        <v>369</v>
      </c>
      <c r="H237" s="892">
        <f>SUM(H220:H236)</f>
        <v>2371814.4890000001</v>
      </c>
      <c r="I237" s="892">
        <f>SUM(I220:I236)</f>
        <v>66416.667149999994</v>
      </c>
      <c r="J237" s="892">
        <f t="shared" ref="J237:Z237" si="13">SUM(J220:J236)</f>
        <v>964.64800000000002</v>
      </c>
      <c r="K237" s="892">
        <f t="shared" si="13"/>
        <v>96963.938049999997</v>
      </c>
      <c r="L237" s="892">
        <f t="shared" si="13"/>
        <v>15071.41395</v>
      </c>
      <c r="M237" s="892">
        <f t="shared" si="13"/>
        <v>103657.90299999999</v>
      </c>
      <c r="N237" s="892">
        <f t="shared" si="13"/>
        <v>138442.07139999999</v>
      </c>
      <c r="O237" s="892">
        <f t="shared" si="13"/>
        <v>367404.56044999999</v>
      </c>
      <c r="P237" s="892">
        <f t="shared" si="13"/>
        <v>-27376</v>
      </c>
      <c r="Q237" s="892">
        <f t="shared" si="13"/>
        <v>340028.56044999999</v>
      </c>
      <c r="R237" s="892">
        <f t="shared" si="13"/>
        <v>1027982.25</v>
      </c>
      <c r="S237" s="892">
        <f t="shared" si="13"/>
        <v>793385.99</v>
      </c>
      <c r="T237" s="892">
        <f t="shared" si="13"/>
        <v>0</v>
      </c>
      <c r="U237" s="892">
        <f t="shared" si="13"/>
        <v>95003</v>
      </c>
      <c r="V237" s="892">
        <f t="shared" si="13"/>
        <v>48998.021399999998</v>
      </c>
      <c r="W237" s="892">
        <f t="shared" si="13"/>
        <v>2010578.9404500001</v>
      </c>
      <c r="X237" s="892">
        <f t="shared" si="13"/>
        <v>113000</v>
      </c>
      <c r="Y237" s="892">
        <f t="shared" si="13"/>
        <v>332398</v>
      </c>
      <c r="Z237" s="892">
        <f t="shared" si="13"/>
        <v>1678180.9404500001</v>
      </c>
      <c r="AA237" s="52" t="s">
        <v>918</v>
      </c>
      <c r="AB237" s="59" t="s">
        <v>317</v>
      </c>
      <c r="AC237" s="932" t="s">
        <v>317</v>
      </c>
      <c r="AD237" s="326" t="s">
        <v>317</v>
      </c>
      <c r="AE237" s="932" t="s">
        <v>317</v>
      </c>
      <c r="AF237" s="179" t="s">
        <v>317</v>
      </c>
    </row>
    <row r="238" spans="1:35" ht="30" x14ac:dyDescent="0.25">
      <c r="A238" s="773" t="s">
        <v>191</v>
      </c>
      <c r="B238" s="62" t="s">
        <v>192</v>
      </c>
      <c r="C238" s="882">
        <v>2014</v>
      </c>
      <c r="D238" s="882" t="s">
        <v>412</v>
      </c>
      <c r="E238" s="31" t="s">
        <v>10</v>
      </c>
      <c r="F238" s="46" t="s">
        <v>10</v>
      </c>
      <c r="G238" s="87" t="s">
        <v>193</v>
      </c>
      <c r="H238" s="907">
        <v>3978</v>
      </c>
      <c r="I238" s="907">
        <v>2047</v>
      </c>
      <c r="J238" s="907">
        <v>0</v>
      </c>
      <c r="K238" s="907">
        <v>0</v>
      </c>
      <c r="L238" s="895">
        <v>0</v>
      </c>
      <c r="M238" s="787">
        <v>1931</v>
      </c>
      <c r="N238" s="881">
        <v>0</v>
      </c>
      <c r="O238" s="923">
        <v>1931</v>
      </c>
      <c r="P238" s="922">
        <v>0</v>
      </c>
      <c r="Q238" s="961">
        <f>O238+P238</f>
        <v>1931</v>
      </c>
      <c r="R238" s="324">
        <v>0</v>
      </c>
      <c r="S238" s="15">
        <v>0</v>
      </c>
      <c r="T238" s="132">
        <v>0</v>
      </c>
      <c r="U238" s="303">
        <v>0</v>
      </c>
      <c r="V238" s="313">
        <v>0</v>
      </c>
      <c r="W238" s="254">
        <v>0</v>
      </c>
      <c r="X238" s="255">
        <v>0</v>
      </c>
      <c r="Y238" s="255">
        <v>0</v>
      </c>
      <c r="Z238" s="255">
        <v>0</v>
      </c>
      <c r="AA238" s="31" t="s">
        <v>797</v>
      </c>
      <c r="AB238" s="107" t="s">
        <v>28</v>
      </c>
      <c r="AC238" s="308" t="s">
        <v>536</v>
      </c>
      <c r="AD238" s="308" t="s">
        <v>339</v>
      </c>
      <c r="AE238" s="308" t="s">
        <v>339</v>
      </c>
      <c r="AF238" s="762" t="s">
        <v>364</v>
      </c>
    </row>
    <row r="239" spans="1:35" s="721" customFormat="1" ht="15.75" thickBot="1" x14ac:dyDescent="0.3">
      <c r="A239" s="115" t="s">
        <v>357</v>
      </c>
      <c r="B239" s="116" t="s">
        <v>357</v>
      </c>
      <c r="C239" s="913" t="s">
        <v>357</v>
      </c>
      <c r="D239" s="913" t="s">
        <v>357</v>
      </c>
      <c r="E239" s="776" t="s">
        <v>357</v>
      </c>
      <c r="F239" s="776" t="s">
        <v>357</v>
      </c>
      <c r="G239" s="264" t="s">
        <v>357</v>
      </c>
      <c r="H239" s="822" t="s">
        <v>357</v>
      </c>
      <c r="I239" s="822" t="s">
        <v>357</v>
      </c>
      <c r="J239" s="440" t="s">
        <v>357</v>
      </c>
      <c r="K239" s="440" t="s">
        <v>357</v>
      </c>
      <c r="L239" s="263" t="s">
        <v>357</v>
      </c>
      <c r="M239" s="442" t="s">
        <v>357</v>
      </c>
      <c r="N239" s="903" t="s">
        <v>357</v>
      </c>
      <c r="O239" s="757" t="s">
        <v>357</v>
      </c>
      <c r="P239" s="747" t="s">
        <v>357</v>
      </c>
      <c r="Q239" s="963" t="s">
        <v>357</v>
      </c>
      <c r="R239" s="678" t="s">
        <v>357</v>
      </c>
      <c r="S239" s="451" t="s">
        <v>357</v>
      </c>
      <c r="T239" s="121" t="s">
        <v>357</v>
      </c>
      <c r="U239" s="449" t="s">
        <v>357</v>
      </c>
      <c r="V239" s="121" t="s">
        <v>357</v>
      </c>
      <c r="W239" s="451" t="s">
        <v>357</v>
      </c>
      <c r="X239" s="450" t="s">
        <v>357</v>
      </c>
      <c r="Y239" s="450" t="s">
        <v>357</v>
      </c>
      <c r="Z239" s="450" t="s">
        <v>357</v>
      </c>
      <c r="AA239" s="450" t="s">
        <v>357</v>
      </c>
      <c r="AB239" s="893" t="s">
        <v>357</v>
      </c>
      <c r="AC239" s="568" t="s">
        <v>357</v>
      </c>
      <c r="AD239" s="545" t="s">
        <v>357</v>
      </c>
      <c r="AE239" s="545" t="s">
        <v>357</v>
      </c>
      <c r="AF239" s="568" t="s">
        <v>357</v>
      </c>
    </row>
    <row r="240" spans="1:35" ht="35.25" customHeight="1" thickBot="1" x14ac:dyDescent="0.3">
      <c r="A240" s="370" t="s">
        <v>317</v>
      </c>
      <c r="B240" s="371" t="s">
        <v>317</v>
      </c>
      <c r="C240" s="79" t="s">
        <v>317</v>
      </c>
      <c r="D240" s="59" t="s">
        <v>317</v>
      </c>
      <c r="E240" s="79" t="s">
        <v>317</v>
      </c>
      <c r="F240" s="79" t="s">
        <v>317</v>
      </c>
      <c r="G240" s="404" t="s">
        <v>927</v>
      </c>
      <c r="H240" s="892">
        <f>SUM(H238:H239)</f>
        <v>3978</v>
      </c>
      <c r="I240" s="892">
        <f>SUM(I238:I239)</f>
        <v>2047</v>
      </c>
      <c r="J240" s="892">
        <f t="shared" ref="J240:Z240" si="14">SUM(J238:J239)</f>
        <v>0</v>
      </c>
      <c r="K240" s="892">
        <f t="shared" si="14"/>
        <v>0</v>
      </c>
      <c r="L240" s="892">
        <f t="shared" si="14"/>
        <v>0</v>
      </c>
      <c r="M240" s="892">
        <f t="shared" si="14"/>
        <v>1931</v>
      </c>
      <c r="N240" s="892">
        <f t="shared" si="14"/>
        <v>0</v>
      </c>
      <c r="O240" s="892">
        <f t="shared" si="14"/>
        <v>1931</v>
      </c>
      <c r="P240" s="892">
        <f t="shared" si="14"/>
        <v>0</v>
      </c>
      <c r="Q240" s="892">
        <f t="shared" si="14"/>
        <v>1931</v>
      </c>
      <c r="R240" s="892">
        <f t="shared" si="14"/>
        <v>0</v>
      </c>
      <c r="S240" s="892">
        <f t="shared" si="14"/>
        <v>0</v>
      </c>
      <c r="T240" s="892">
        <f t="shared" si="14"/>
        <v>0</v>
      </c>
      <c r="U240" s="892">
        <f t="shared" si="14"/>
        <v>0</v>
      </c>
      <c r="V240" s="892">
        <f t="shared" si="14"/>
        <v>0</v>
      </c>
      <c r="W240" s="892">
        <f t="shared" si="14"/>
        <v>0</v>
      </c>
      <c r="X240" s="892">
        <f t="shared" si="14"/>
        <v>0</v>
      </c>
      <c r="Y240" s="892">
        <f t="shared" si="14"/>
        <v>0</v>
      </c>
      <c r="Z240" s="892">
        <f t="shared" si="14"/>
        <v>0</v>
      </c>
      <c r="AA240" s="66" t="s">
        <v>915</v>
      </c>
      <c r="AB240" s="59" t="s">
        <v>317</v>
      </c>
      <c r="AC240" s="932" t="s">
        <v>317</v>
      </c>
      <c r="AD240" s="326" t="s">
        <v>317</v>
      </c>
      <c r="AE240" s="932" t="s">
        <v>317</v>
      </c>
      <c r="AF240" s="179" t="s">
        <v>317</v>
      </c>
      <c r="AI240" s="295" t="s">
        <v>221</v>
      </c>
    </row>
    <row r="241" spans="1:32" s="725" customFormat="1" ht="30" x14ac:dyDescent="0.25">
      <c r="A241" s="771" t="s">
        <v>681</v>
      </c>
      <c r="B241" s="915" t="s">
        <v>736</v>
      </c>
      <c r="C241" s="908">
        <v>2020</v>
      </c>
      <c r="D241" s="686" t="s">
        <v>738</v>
      </c>
      <c r="E241" s="914" t="s">
        <v>195</v>
      </c>
      <c r="F241" s="914" t="s">
        <v>195</v>
      </c>
      <c r="G241" s="658" t="s">
        <v>680</v>
      </c>
      <c r="H241" s="909">
        <v>1362.8</v>
      </c>
      <c r="I241" s="907">
        <v>622.79999999999995</v>
      </c>
      <c r="J241" s="907">
        <v>0</v>
      </c>
      <c r="K241" s="907">
        <v>0</v>
      </c>
      <c r="L241" s="895">
        <v>0</v>
      </c>
      <c r="M241" s="920">
        <v>740</v>
      </c>
      <c r="N241" s="910">
        <v>0</v>
      </c>
      <c r="O241" s="923">
        <v>740</v>
      </c>
      <c r="P241" s="922">
        <v>0</v>
      </c>
      <c r="Q241" s="961">
        <f>O241+P241</f>
        <v>740</v>
      </c>
      <c r="R241" s="911">
        <v>0</v>
      </c>
      <c r="S241" s="767">
        <v>0</v>
      </c>
      <c r="T241" s="911">
        <v>0</v>
      </c>
      <c r="U241" s="920">
        <v>0</v>
      </c>
      <c r="V241" s="911">
        <v>0</v>
      </c>
      <c r="W241" s="921">
        <v>0</v>
      </c>
      <c r="X241" s="912">
        <v>0</v>
      </c>
      <c r="Y241" s="912">
        <v>0</v>
      </c>
      <c r="Z241" s="912">
        <v>0</v>
      </c>
      <c r="AA241" s="785" t="s">
        <v>317</v>
      </c>
      <c r="AB241" s="25" t="s">
        <v>28</v>
      </c>
      <c r="AC241" s="918" t="s">
        <v>322</v>
      </c>
      <c r="AD241" s="918" t="s">
        <v>339</v>
      </c>
      <c r="AE241" s="784" t="s">
        <v>339</v>
      </c>
      <c r="AF241" s="779" t="s">
        <v>363</v>
      </c>
    </row>
    <row r="242" spans="1:32" s="721" customFormat="1" ht="15.75" thickBot="1" x14ac:dyDescent="0.3">
      <c r="A242" s="115" t="s">
        <v>357</v>
      </c>
      <c r="B242" s="116" t="s">
        <v>357</v>
      </c>
      <c r="C242" s="913" t="s">
        <v>357</v>
      </c>
      <c r="D242" s="913" t="s">
        <v>357</v>
      </c>
      <c r="E242" s="776" t="s">
        <v>357</v>
      </c>
      <c r="F242" s="776" t="s">
        <v>357</v>
      </c>
      <c r="G242" s="264" t="s">
        <v>357</v>
      </c>
      <c r="H242" s="822" t="s">
        <v>357</v>
      </c>
      <c r="I242" s="822" t="s">
        <v>357</v>
      </c>
      <c r="J242" s="440" t="s">
        <v>357</v>
      </c>
      <c r="K242" s="440" t="s">
        <v>357</v>
      </c>
      <c r="L242" s="263" t="s">
        <v>357</v>
      </c>
      <c r="M242" s="442" t="s">
        <v>357</v>
      </c>
      <c r="N242" s="903" t="s">
        <v>357</v>
      </c>
      <c r="O242" s="753" t="s">
        <v>357</v>
      </c>
      <c r="P242" s="947" t="s">
        <v>357</v>
      </c>
      <c r="Q242" s="968" t="s">
        <v>357</v>
      </c>
      <c r="R242" s="441" t="s">
        <v>357</v>
      </c>
      <c r="S242" s="276" t="s">
        <v>357</v>
      </c>
      <c r="T242" s="441" t="s">
        <v>357</v>
      </c>
      <c r="U242" s="443" t="s">
        <v>357</v>
      </c>
      <c r="V242" s="441" t="s">
        <v>357</v>
      </c>
      <c r="W242" s="276" t="s">
        <v>357</v>
      </c>
      <c r="X242" s="406" t="s">
        <v>357</v>
      </c>
      <c r="Y242" s="406" t="s">
        <v>357</v>
      </c>
      <c r="Z242" s="406" t="s">
        <v>357</v>
      </c>
      <c r="AA242" s="406" t="s">
        <v>357</v>
      </c>
      <c r="AB242" s="782" t="s">
        <v>357</v>
      </c>
      <c r="AC242" s="120" t="s">
        <v>357</v>
      </c>
      <c r="AD242" s="120" t="s">
        <v>357</v>
      </c>
      <c r="AE242" s="120" t="s">
        <v>357</v>
      </c>
      <c r="AF242" s="72" t="s">
        <v>357</v>
      </c>
    </row>
    <row r="243" spans="1:32" ht="35.25" customHeight="1" thickBot="1" x14ac:dyDescent="0.3">
      <c r="A243" s="370" t="s">
        <v>317</v>
      </c>
      <c r="B243" s="371" t="s">
        <v>317</v>
      </c>
      <c r="C243" s="79" t="s">
        <v>317</v>
      </c>
      <c r="D243" s="59" t="s">
        <v>317</v>
      </c>
      <c r="E243" s="79" t="s">
        <v>317</v>
      </c>
      <c r="F243" s="79" t="s">
        <v>317</v>
      </c>
      <c r="G243" s="404" t="s">
        <v>368</v>
      </c>
      <c r="H243" s="892">
        <f>SUM(H241:H242)</f>
        <v>1362.8</v>
      </c>
      <c r="I243" s="892">
        <f>SUM(I241:I242)</f>
        <v>622.79999999999995</v>
      </c>
      <c r="J243" s="892">
        <f t="shared" ref="J243:Z243" si="15">SUM(J241:J242)</f>
        <v>0</v>
      </c>
      <c r="K243" s="892">
        <f t="shared" si="15"/>
        <v>0</v>
      </c>
      <c r="L243" s="892">
        <f t="shared" si="15"/>
        <v>0</v>
      </c>
      <c r="M243" s="892">
        <f t="shared" si="15"/>
        <v>740</v>
      </c>
      <c r="N243" s="892">
        <f t="shared" si="15"/>
        <v>0</v>
      </c>
      <c r="O243" s="892">
        <f t="shared" si="15"/>
        <v>740</v>
      </c>
      <c r="P243" s="892">
        <f t="shared" si="15"/>
        <v>0</v>
      </c>
      <c r="Q243" s="892">
        <f t="shared" si="15"/>
        <v>740</v>
      </c>
      <c r="R243" s="892">
        <f t="shared" si="15"/>
        <v>0</v>
      </c>
      <c r="S243" s="892">
        <f t="shared" si="15"/>
        <v>0</v>
      </c>
      <c r="T243" s="892">
        <f t="shared" si="15"/>
        <v>0</v>
      </c>
      <c r="U243" s="892">
        <f t="shared" si="15"/>
        <v>0</v>
      </c>
      <c r="V243" s="892">
        <f t="shared" si="15"/>
        <v>0</v>
      </c>
      <c r="W243" s="892">
        <f t="shared" si="15"/>
        <v>0</v>
      </c>
      <c r="X243" s="892">
        <f t="shared" si="15"/>
        <v>0</v>
      </c>
      <c r="Y243" s="892">
        <f t="shared" si="15"/>
        <v>0</v>
      </c>
      <c r="Z243" s="892">
        <f t="shared" si="15"/>
        <v>0</v>
      </c>
      <c r="AA243" s="66" t="s">
        <v>916</v>
      </c>
      <c r="AB243" s="59" t="s">
        <v>317</v>
      </c>
      <c r="AC243" s="932" t="s">
        <v>317</v>
      </c>
      <c r="AD243" s="326" t="s">
        <v>317</v>
      </c>
      <c r="AE243" s="932" t="s">
        <v>317</v>
      </c>
      <c r="AF243" s="179" t="s">
        <v>317</v>
      </c>
    </row>
    <row r="244" spans="1:32" ht="45" x14ac:dyDescent="0.25">
      <c r="A244" s="773" t="s">
        <v>376</v>
      </c>
      <c r="B244" s="777" t="s">
        <v>196</v>
      </c>
      <c r="C244" s="765">
        <v>2017</v>
      </c>
      <c r="D244" s="765" t="s">
        <v>411</v>
      </c>
      <c r="E244" s="775" t="s">
        <v>10</v>
      </c>
      <c r="F244" s="774" t="s">
        <v>10</v>
      </c>
      <c r="G244" s="100" t="s">
        <v>544</v>
      </c>
      <c r="H244" s="763">
        <v>8610.36</v>
      </c>
      <c r="I244" s="769">
        <v>3944.6</v>
      </c>
      <c r="J244" s="907">
        <v>0</v>
      </c>
      <c r="K244" s="907">
        <v>0</v>
      </c>
      <c r="L244" s="895">
        <v>0</v>
      </c>
      <c r="M244" s="897">
        <v>1815</v>
      </c>
      <c r="N244" s="98">
        <v>0</v>
      </c>
      <c r="O244" s="923">
        <v>1814.9999999999993</v>
      </c>
      <c r="P244" s="922">
        <v>0</v>
      </c>
      <c r="Q244" s="961">
        <f>O244+P244</f>
        <v>1814.9999999999993</v>
      </c>
      <c r="R244" s="230">
        <v>2850.76</v>
      </c>
      <c r="S244" s="764">
        <v>0</v>
      </c>
      <c r="T244" s="766">
        <v>0</v>
      </c>
      <c r="U244" s="788">
        <v>0</v>
      </c>
      <c r="V244" s="778">
        <v>0</v>
      </c>
      <c r="W244" s="984">
        <v>0</v>
      </c>
      <c r="X244" s="998">
        <v>0</v>
      </c>
      <c r="Y244" s="998">
        <v>0</v>
      </c>
      <c r="Z244" s="998">
        <v>0</v>
      </c>
      <c r="AA244" s="791" t="s">
        <v>317</v>
      </c>
      <c r="AB244" s="917" t="s">
        <v>28</v>
      </c>
      <c r="AC244" s="784" t="s">
        <v>839</v>
      </c>
      <c r="AD244" s="919" t="s">
        <v>339</v>
      </c>
      <c r="AE244" s="784" t="s">
        <v>339</v>
      </c>
      <c r="AF244" s="779" t="s">
        <v>363</v>
      </c>
    </row>
    <row r="245" spans="1:32" ht="45" x14ac:dyDescent="0.25">
      <c r="A245" s="771" t="s">
        <v>377</v>
      </c>
      <c r="B245" s="915" t="s">
        <v>307</v>
      </c>
      <c r="C245" s="908">
        <v>2018</v>
      </c>
      <c r="D245" s="908" t="s">
        <v>332</v>
      </c>
      <c r="E245" s="914" t="s">
        <v>10</v>
      </c>
      <c r="F245" s="914" t="s">
        <v>10</v>
      </c>
      <c r="G245" s="780" t="s">
        <v>197</v>
      </c>
      <c r="H245" s="909">
        <v>7477.8</v>
      </c>
      <c r="I245" s="909">
        <v>0</v>
      </c>
      <c r="J245" s="909">
        <v>3661.46</v>
      </c>
      <c r="K245" s="909">
        <v>3343.23</v>
      </c>
      <c r="L245" s="883">
        <v>0</v>
      </c>
      <c r="M245" s="920">
        <v>0</v>
      </c>
      <c r="N245" s="910">
        <v>473.11</v>
      </c>
      <c r="O245" s="924">
        <v>7477.8</v>
      </c>
      <c r="P245" s="925">
        <v>0</v>
      </c>
      <c r="Q245" s="962">
        <f>O245+P245</f>
        <v>7477.8</v>
      </c>
      <c r="R245" s="768">
        <v>0</v>
      </c>
      <c r="S245" s="767">
        <v>0</v>
      </c>
      <c r="T245" s="786">
        <v>0</v>
      </c>
      <c r="U245" s="790">
        <v>0</v>
      </c>
      <c r="V245" s="911">
        <v>0</v>
      </c>
      <c r="W245" s="921">
        <v>0</v>
      </c>
      <c r="X245" s="912">
        <v>0</v>
      </c>
      <c r="Y245" s="912">
        <v>0</v>
      </c>
      <c r="Z245" s="912">
        <v>0</v>
      </c>
      <c r="AA245" s="785" t="s">
        <v>317</v>
      </c>
      <c r="AB245" s="908" t="s">
        <v>28</v>
      </c>
      <c r="AC245" s="918" t="s">
        <v>536</v>
      </c>
      <c r="AD245" s="918" t="s">
        <v>339</v>
      </c>
      <c r="AE245" s="918" t="s">
        <v>339</v>
      </c>
      <c r="AF245" s="916" t="s">
        <v>363</v>
      </c>
    </row>
    <row r="246" spans="1:32" s="721" customFormat="1" ht="15.75" thickBot="1" x14ac:dyDescent="0.3">
      <c r="A246" s="115" t="s">
        <v>357</v>
      </c>
      <c r="B246" s="116" t="s">
        <v>357</v>
      </c>
      <c r="C246" s="913" t="s">
        <v>357</v>
      </c>
      <c r="D246" s="913" t="s">
        <v>357</v>
      </c>
      <c r="E246" s="776" t="s">
        <v>357</v>
      </c>
      <c r="F246" s="776" t="s">
        <v>357</v>
      </c>
      <c r="G246" s="264" t="s">
        <v>357</v>
      </c>
      <c r="H246" s="822" t="s">
        <v>357</v>
      </c>
      <c r="I246" s="822" t="s">
        <v>357</v>
      </c>
      <c r="J246" s="440" t="s">
        <v>357</v>
      </c>
      <c r="K246" s="440" t="s">
        <v>357</v>
      </c>
      <c r="L246" s="263" t="s">
        <v>357</v>
      </c>
      <c r="M246" s="443" t="s">
        <v>357</v>
      </c>
      <c r="N246" s="406" t="s">
        <v>357</v>
      </c>
      <c r="O246" s="752" t="s">
        <v>357</v>
      </c>
      <c r="P246" s="947" t="s">
        <v>357</v>
      </c>
      <c r="Q246" s="963" t="s">
        <v>357</v>
      </c>
      <c r="R246" s="531" t="s">
        <v>357</v>
      </c>
      <c r="S246" s="276" t="s">
        <v>357</v>
      </c>
      <c r="T246" s="441" t="s">
        <v>357</v>
      </c>
      <c r="U246" s="443" t="s">
        <v>357</v>
      </c>
      <c r="V246" s="441" t="s">
        <v>357</v>
      </c>
      <c r="W246" s="276" t="s">
        <v>357</v>
      </c>
      <c r="X246" s="406" t="s">
        <v>357</v>
      </c>
      <c r="Y246" s="406" t="s">
        <v>357</v>
      </c>
      <c r="Z246" s="406" t="s">
        <v>357</v>
      </c>
      <c r="AA246" s="406" t="s">
        <v>357</v>
      </c>
      <c r="AB246" s="782" t="s">
        <v>357</v>
      </c>
      <c r="AC246" s="120" t="s">
        <v>357</v>
      </c>
      <c r="AD246" s="120" t="s">
        <v>357</v>
      </c>
      <c r="AE246" s="120" t="s">
        <v>357</v>
      </c>
      <c r="AF246" s="115" t="s">
        <v>357</v>
      </c>
    </row>
    <row r="247" spans="1:32" ht="35.25" customHeight="1" thickBot="1" x14ac:dyDescent="0.3">
      <c r="A247" s="370" t="s">
        <v>317</v>
      </c>
      <c r="B247" s="371" t="s">
        <v>317</v>
      </c>
      <c r="C247" s="79" t="s">
        <v>317</v>
      </c>
      <c r="D247" s="59" t="s">
        <v>317</v>
      </c>
      <c r="E247" s="79" t="s">
        <v>317</v>
      </c>
      <c r="F247" s="79" t="s">
        <v>317</v>
      </c>
      <c r="G247" s="404" t="s">
        <v>367</v>
      </c>
      <c r="H247" s="892">
        <f>SUM(H244:H246)</f>
        <v>16088.16</v>
      </c>
      <c r="I247" s="892">
        <f>SUM(I244:I246)</f>
        <v>3944.6</v>
      </c>
      <c r="J247" s="892">
        <f t="shared" ref="J247:Z247" si="16">SUM(J244:J246)</f>
        <v>3661.46</v>
      </c>
      <c r="K247" s="892">
        <f t="shared" si="16"/>
        <v>3343.23</v>
      </c>
      <c r="L247" s="892">
        <f t="shared" si="16"/>
        <v>0</v>
      </c>
      <c r="M247" s="892">
        <f t="shared" si="16"/>
        <v>1815</v>
      </c>
      <c r="N247" s="892">
        <f t="shared" si="16"/>
        <v>473.11</v>
      </c>
      <c r="O247" s="892">
        <f t="shared" si="16"/>
        <v>9292.7999999999993</v>
      </c>
      <c r="P247" s="892">
        <f t="shared" si="16"/>
        <v>0</v>
      </c>
      <c r="Q247" s="892">
        <f t="shared" si="16"/>
        <v>9292.7999999999993</v>
      </c>
      <c r="R247" s="892">
        <f t="shared" si="16"/>
        <v>2850.76</v>
      </c>
      <c r="S247" s="892">
        <f t="shared" si="16"/>
        <v>0</v>
      </c>
      <c r="T247" s="892">
        <f t="shared" si="16"/>
        <v>0</v>
      </c>
      <c r="U247" s="892">
        <f t="shared" si="16"/>
        <v>0</v>
      </c>
      <c r="V247" s="892">
        <f t="shared" si="16"/>
        <v>0</v>
      </c>
      <c r="W247" s="892">
        <f t="shared" si="16"/>
        <v>0</v>
      </c>
      <c r="X247" s="892">
        <f t="shared" si="16"/>
        <v>0</v>
      </c>
      <c r="Y247" s="892">
        <f t="shared" si="16"/>
        <v>0</v>
      </c>
      <c r="Z247" s="892">
        <f t="shared" si="16"/>
        <v>0</v>
      </c>
      <c r="AA247" s="66" t="s">
        <v>917</v>
      </c>
      <c r="AB247" s="59" t="s">
        <v>317</v>
      </c>
      <c r="AC247" s="932" t="s">
        <v>317</v>
      </c>
      <c r="AD247" s="326" t="s">
        <v>317</v>
      </c>
      <c r="AE247" s="932" t="s">
        <v>317</v>
      </c>
      <c r="AF247" s="179" t="s">
        <v>317</v>
      </c>
    </row>
    <row r="248" spans="1:32" ht="30" x14ac:dyDescent="0.25">
      <c r="A248" s="133" t="s">
        <v>199</v>
      </c>
      <c r="B248" s="129" t="s">
        <v>200</v>
      </c>
      <c r="C248" s="107">
        <v>2017</v>
      </c>
      <c r="D248" s="882" t="s">
        <v>411</v>
      </c>
      <c r="E248" s="888" t="s">
        <v>201</v>
      </c>
      <c r="F248" s="888" t="s">
        <v>201</v>
      </c>
      <c r="G248" s="87" t="s">
        <v>202</v>
      </c>
      <c r="H248" s="130">
        <v>7900</v>
      </c>
      <c r="I248" s="130">
        <v>0</v>
      </c>
      <c r="J248" s="130">
        <v>0</v>
      </c>
      <c r="K248" s="130">
        <v>0</v>
      </c>
      <c r="L248" s="427">
        <v>0</v>
      </c>
      <c r="M248" s="787">
        <v>2600</v>
      </c>
      <c r="N248" s="881">
        <f>2700+2600</f>
        <v>5300</v>
      </c>
      <c r="O248" s="923">
        <v>7900</v>
      </c>
      <c r="P248" s="922">
        <v>0</v>
      </c>
      <c r="Q248" s="961">
        <f t="shared" ref="Q248:Q283" si="17">O248+P248</f>
        <v>7900</v>
      </c>
      <c r="R248" s="132">
        <v>0</v>
      </c>
      <c r="S248" s="15">
        <v>0</v>
      </c>
      <c r="T248" s="132">
        <v>0</v>
      </c>
      <c r="U248" s="317">
        <v>0</v>
      </c>
      <c r="V248" s="132">
        <v>0</v>
      </c>
      <c r="W248" s="254">
        <v>0</v>
      </c>
      <c r="X248" s="255">
        <v>0</v>
      </c>
      <c r="Y248" s="255">
        <v>0</v>
      </c>
      <c r="Z248" s="255">
        <v>0</v>
      </c>
      <c r="AA248" s="25" t="s">
        <v>317</v>
      </c>
      <c r="AB248" s="136" t="s">
        <v>17</v>
      </c>
      <c r="AC248" s="137" t="s">
        <v>646</v>
      </c>
      <c r="AD248" s="137" t="s">
        <v>338</v>
      </c>
      <c r="AE248" s="309" t="s">
        <v>338</v>
      </c>
      <c r="AF248" s="402" t="s">
        <v>363</v>
      </c>
    </row>
    <row r="249" spans="1:32" ht="25.5" x14ac:dyDescent="0.25">
      <c r="A249" s="133" t="s">
        <v>204</v>
      </c>
      <c r="B249" s="129" t="s">
        <v>205</v>
      </c>
      <c r="C249" s="107">
        <v>2017</v>
      </c>
      <c r="D249" s="882" t="s">
        <v>410</v>
      </c>
      <c r="E249" s="31" t="s">
        <v>401</v>
      </c>
      <c r="F249" s="31" t="s">
        <v>401</v>
      </c>
      <c r="G249" s="280" t="s">
        <v>206</v>
      </c>
      <c r="H249" s="130">
        <v>14000</v>
      </c>
      <c r="I249" s="130">
        <v>0</v>
      </c>
      <c r="J249" s="130">
        <v>0</v>
      </c>
      <c r="K249" s="130">
        <v>0</v>
      </c>
      <c r="L249" s="427">
        <v>0</v>
      </c>
      <c r="M249" s="787">
        <v>0</v>
      </c>
      <c r="N249" s="881">
        <v>0</v>
      </c>
      <c r="O249" s="923">
        <v>0</v>
      </c>
      <c r="P249" s="922">
        <v>0</v>
      </c>
      <c r="Q249" s="962">
        <f t="shared" si="17"/>
        <v>0</v>
      </c>
      <c r="R249" s="132">
        <v>14000</v>
      </c>
      <c r="S249" s="15">
        <v>0</v>
      </c>
      <c r="T249" s="132">
        <v>0</v>
      </c>
      <c r="U249" s="317">
        <v>0</v>
      </c>
      <c r="V249" s="132">
        <v>0</v>
      </c>
      <c r="W249" s="254">
        <v>0</v>
      </c>
      <c r="X249" s="255">
        <v>0</v>
      </c>
      <c r="Y249" s="255">
        <v>0</v>
      </c>
      <c r="Z249" s="255">
        <v>0</v>
      </c>
      <c r="AA249" s="25" t="s">
        <v>317</v>
      </c>
      <c r="AB249" s="136" t="s">
        <v>17</v>
      </c>
      <c r="AC249" s="137" t="s">
        <v>617</v>
      </c>
      <c r="AD249" s="137" t="s">
        <v>338</v>
      </c>
      <c r="AE249" s="137" t="s">
        <v>338</v>
      </c>
      <c r="AF249" s="99" t="s">
        <v>364</v>
      </c>
    </row>
    <row r="250" spans="1:32" ht="30" x14ac:dyDescent="0.25">
      <c r="A250" s="133" t="s">
        <v>208</v>
      </c>
      <c r="B250" s="129" t="s">
        <v>209</v>
      </c>
      <c r="C250" s="107">
        <v>2017</v>
      </c>
      <c r="D250" s="882" t="s">
        <v>410</v>
      </c>
      <c r="E250" s="31" t="s">
        <v>394</v>
      </c>
      <c r="F250" s="31" t="s">
        <v>394</v>
      </c>
      <c r="G250" s="282" t="s">
        <v>683</v>
      </c>
      <c r="H250" s="130">
        <v>2500</v>
      </c>
      <c r="I250" s="130">
        <v>296.45</v>
      </c>
      <c r="J250" s="130">
        <v>0</v>
      </c>
      <c r="K250" s="130">
        <v>0</v>
      </c>
      <c r="L250" s="427">
        <v>896.74009999999998</v>
      </c>
      <c r="M250" s="787">
        <v>1600</v>
      </c>
      <c r="N250" s="881">
        <v>603.54999999999995</v>
      </c>
      <c r="O250" s="923">
        <v>2203.5500000000002</v>
      </c>
      <c r="P250" s="922">
        <v>0</v>
      </c>
      <c r="Q250" s="962">
        <f t="shared" si="17"/>
        <v>2203.5500000000002</v>
      </c>
      <c r="R250" s="132">
        <v>0</v>
      </c>
      <c r="S250" s="15">
        <v>0</v>
      </c>
      <c r="T250" s="132">
        <v>0</v>
      </c>
      <c r="U250" s="317">
        <v>0</v>
      </c>
      <c r="V250" s="132">
        <v>0</v>
      </c>
      <c r="W250" s="254">
        <v>0</v>
      </c>
      <c r="X250" s="255">
        <v>0</v>
      </c>
      <c r="Y250" s="255">
        <v>0</v>
      </c>
      <c r="Z250" s="255">
        <v>0</v>
      </c>
      <c r="AA250" s="917" t="s">
        <v>317</v>
      </c>
      <c r="AB250" s="136" t="s">
        <v>28</v>
      </c>
      <c r="AC250" s="137" t="s">
        <v>646</v>
      </c>
      <c r="AD250" s="137" t="s">
        <v>339</v>
      </c>
      <c r="AE250" s="137" t="s">
        <v>339</v>
      </c>
      <c r="AF250" s="99" t="s">
        <v>363</v>
      </c>
    </row>
    <row r="251" spans="1:32" ht="30.75" thickBot="1" x14ac:dyDescent="0.3">
      <c r="A251" s="1223" t="s">
        <v>212</v>
      </c>
      <c r="B251" s="1224" t="s">
        <v>290</v>
      </c>
      <c r="C251" s="1225">
        <v>2018</v>
      </c>
      <c r="D251" s="587" t="s">
        <v>332</v>
      </c>
      <c r="E251" s="1324" t="s">
        <v>203</v>
      </c>
      <c r="F251" s="1027" t="s">
        <v>203</v>
      </c>
      <c r="G251" s="1226" t="s">
        <v>1017</v>
      </c>
      <c r="H251" s="1227">
        <v>3500</v>
      </c>
      <c r="I251" s="1227">
        <v>0</v>
      </c>
      <c r="J251" s="1227">
        <v>0</v>
      </c>
      <c r="K251" s="1227">
        <v>0</v>
      </c>
      <c r="L251" s="1228">
        <v>0</v>
      </c>
      <c r="M251" s="1029">
        <v>1500</v>
      </c>
      <c r="N251" s="1229">
        <v>2000</v>
      </c>
      <c r="O251" s="1032">
        <v>3500</v>
      </c>
      <c r="P251" s="1031">
        <v>0</v>
      </c>
      <c r="Q251" s="481">
        <f t="shared" si="17"/>
        <v>3500</v>
      </c>
      <c r="R251" s="1230">
        <v>0</v>
      </c>
      <c r="S251" s="1231">
        <v>0</v>
      </c>
      <c r="T251" s="1230">
        <v>0</v>
      </c>
      <c r="U251" s="1232">
        <v>0</v>
      </c>
      <c r="V251" s="1230">
        <v>0</v>
      </c>
      <c r="W251" s="1233">
        <v>0</v>
      </c>
      <c r="X251" s="1234">
        <v>0</v>
      </c>
      <c r="Y251" s="1234">
        <v>0</v>
      </c>
      <c r="Z251" s="1234">
        <v>0</v>
      </c>
      <c r="AA251" s="1235" t="s">
        <v>1038</v>
      </c>
      <c r="AB251" s="1225" t="s">
        <v>12</v>
      </c>
      <c r="AC251" s="1236" t="s">
        <v>646</v>
      </c>
      <c r="AD251" s="1236" t="s">
        <v>338</v>
      </c>
      <c r="AE251" s="1236" t="s">
        <v>338</v>
      </c>
      <c r="AF251" s="467" t="s">
        <v>363</v>
      </c>
    </row>
    <row r="252" spans="1:32" ht="25.5" x14ac:dyDescent="0.25">
      <c r="A252" s="149" t="s">
        <v>308</v>
      </c>
      <c r="B252" s="149" t="s">
        <v>706</v>
      </c>
      <c r="C252" s="173">
        <v>2019</v>
      </c>
      <c r="D252" s="39" t="s">
        <v>328</v>
      </c>
      <c r="E252" s="43" t="s">
        <v>396</v>
      </c>
      <c r="F252" s="43" t="s">
        <v>396</v>
      </c>
      <c r="G252" s="283" t="s">
        <v>291</v>
      </c>
      <c r="H252" s="174">
        <v>2200</v>
      </c>
      <c r="I252" s="174">
        <v>1168.00181</v>
      </c>
      <c r="J252" s="174">
        <v>1031.99819</v>
      </c>
      <c r="K252" s="174">
        <v>0</v>
      </c>
      <c r="L252" s="219">
        <v>0</v>
      </c>
      <c r="M252" s="331">
        <v>0</v>
      </c>
      <c r="N252" s="17">
        <v>0</v>
      </c>
      <c r="O252" s="801">
        <v>1031.99819</v>
      </c>
      <c r="P252" s="645">
        <v>0</v>
      </c>
      <c r="Q252" s="972">
        <f t="shared" si="17"/>
        <v>1031.99819</v>
      </c>
      <c r="R252" s="676">
        <v>0</v>
      </c>
      <c r="S252" s="595">
        <v>0</v>
      </c>
      <c r="T252" s="175">
        <v>0</v>
      </c>
      <c r="U252" s="320">
        <v>0</v>
      </c>
      <c r="V252" s="175">
        <v>0</v>
      </c>
      <c r="W252" s="595">
        <v>0</v>
      </c>
      <c r="X252" s="486">
        <v>0</v>
      </c>
      <c r="Y252" s="486">
        <v>0</v>
      </c>
      <c r="Z252" s="486">
        <v>0</v>
      </c>
      <c r="AA252" s="65" t="s">
        <v>317</v>
      </c>
      <c r="AB252" s="39" t="s">
        <v>352</v>
      </c>
      <c r="AC252" s="684" t="s">
        <v>696</v>
      </c>
      <c r="AD252" s="162" t="s">
        <v>339</v>
      </c>
      <c r="AE252" s="162" t="s">
        <v>339</v>
      </c>
      <c r="AF252" s="148" t="s">
        <v>363</v>
      </c>
    </row>
    <row r="253" spans="1:32" ht="25.5" x14ac:dyDescent="0.25">
      <c r="A253" s="128" t="s">
        <v>309</v>
      </c>
      <c r="B253" s="133" t="s">
        <v>739</v>
      </c>
      <c r="C253" s="136">
        <v>2019</v>
      </c>
      <c r="D253" s="908" t="s">
        <v>328</v>
      </c>
      <c r="E253" s="914" t="s">
        <v>198</v>
      </c>
      <c r="F253" s="914" t="s">
        <v>198</v>
      </c>
      <c r="G253" s="282" t="s">
        <v>684</v>
      </c>
      <c r="H253" s="134">
        <f>8400-2288.59147</f>
        <v>6111.4085300000006</v>
      </c>
      <c r="I253" s="130">
        <v>330.33</v>
      </c>
      <c r="J253" s="130">
        <v>0</v>
      </c>
      <c r="K253" s="130">
        <v>4415.2004399999996</v>
      </c>
      <c r="L253" s="427">
        <v>59.29</v>
      </c>
      <c r="M253" s="920">
        <v>1365.8780899999999</v>
      </c>
      <c r="N253" s="910">
        <v>0</v>
      </c>
      <c r="O253" s="923">
        <v>5781.0785299999998</v>
      </c>
      <c r="P253" s="922">
        <v>0</v>
      </c>
      <c r="Q253" s="962">
        <f t="shared" si="17"/>
        <v>5781.0785299999998</v>
      </c>
      <c r="R253" s="438">
        <v>0</v>
      </c>
      <c r="S253" s="160">
        <v>0</v>
      </c>
      <c r="T253" s="138">
        <v>0</v>
      </c>
      <c r="U253" s="122">
        <v>0</v>
      </c>
      <c r="V253" s="138">
        <v>0</v>
      </c>
      <c r="W253" s="160">
        <v>0</v>
      </c>
      <c r="X253" s="167">
        <v>0</v>
      </c>
      <c r="Y253" s="167">
        <v>0</v>
      </c>
      <c r="Z253" s="167">
        <v>0</v>
      </c>
      <c r="AA253" s="785" t="s">
        <v>317</v>
      </c>
      <c r="AB253" s="136" t="s">
        <v>28</v>
      </c>
      <c r="AC253" s="141" t="s">
        <v>646</v>
      </c>
      <c r="AD253" s="137" t="s">
        <v>339</v>
      </c>
      <c r="AE253" s="137" t="s">
        <v>339</v>
      </c>
      <c r="AF253" s="99" t="s">
        <v>363</v>
      </c>
    </row>
    <row r="254" spans="1:32" ht="25.5" x14ac:dyDescent="0.25">
      <c r="A254" s="128" t="s">
        <v>310</v>
      </c>
      <c r="B254" s="133" t="s">
        <v>324</v>
      </c>
      <c r="C254" s="136">
        <v>2019</v>
      </c>
      <c r="D254" s="908" t="s">
        <v>328</v>
      </c>
      <c r="E254" s="914" t="s">
        <v>402</v>
      </c>
      <c r="F254" s="914" t="s">
        <v>402</v>
      </c>
      <c r="G254" s="282" t="s">
        <v>685</v>
      </c>
      <c r="H254" s="134">
        <v>5000</v>
      </c>
      <c r="I254" s="130">
        <v>0</v>
      </c>
      <c r="J254" s="130">
        <v>0</v>
      </c>
      <c r="K254" s="130">
        <v>0</v>
      </c>
      <c r="L254" s="427">
        <v>0</v>
      </c>
      <c r="M254" s="920">
        <v>0</v>
      </c>
      <c r="N254" s="910">
        <v>0</v>
      </c>
      <c r="O254" s="923">
        <v>0</v>
      </c>
      <c r="P254" s="922">
        <v>0</v>
      </c>
      <c r="Q254" s="962">
        <f t="shared" si="17"/>
        <v>0</v>
      </c>
      <c r="R254" s="438">
        <v>5000</v>
      </c>
      <c r="S254" s="160">
        <v>0</v>
      </c>
      <c r="T254" s="138">
        <v>0</v>
      </c>
      <c r="U254" s="122">
        <v>0</v>
      </c>
      <c r="V254" s="138">
        <v>0</v>
      </c>
      <c r="W254" s="160">
        <v>0</v>
      </c>
      <c r="X254" s="167">
        <v>0</v>
      </c>
      <c r="Y254" s="167">
        <v>0</v>
      </c>
      <c r="Z254" s="167">
        <v>0</v>
      </c>
      <c r="AA254" s="25" t="s">
        <v>317</v>
      </c>
      <c r="AB254" s="136" t="s">
        <v>17</v>
      </c>
      <c r="AC254" s="141" t="s">
        <v>616</v>
      </c>
      <c r="AD254" s="137" t="s">
        <v>338</v>
      </c>
      <c r="AE254" s="137" t="s">
        <v>338</v>
      </c>
      <c r="AF254" s="99" t="s">
        <v>363</v>
      </c>
    </row>
    <row r="255" spans="1:32" ht="30" x14ac:dyDescent="0.25">
      <c r="A255" s="128" t="s">
        <v>311</v>
      </c>
      <c r="B255" s="133" t="s">
        <v>324</v>
      </c>
      <c r="C255" s="136">
        <v>2019</v>
      </c>
      <c r="D255" s="908" t="s">
        <v>328</v>
      </c>
      <c r="E255" s="914" t="s">
        <v>398</v>
      </c>
      <c r="F255" s="914" t="s">
        <v>398</v>
      </c>
      <c r="G255" s="282" t="s">
        <v>293</v>
      </c>
      <c r="H255" s="134">
        <v>3000</v>
      </c>
      <c r="I255" s="130">
        <v>0</v>
      </c>
      <c r="J255" s="130">
        <v>0</v>
      </c>
      <c r="K255" s="130">
        <v>0</v>
      </c>
      <c r="L255" s="427">
        <v>0</v>
      </c>
      <c r="M255" s="920">
        <v>3000</v>
      </c>
      <c r="N255" s="910">
        <v>0</v>
      </c>
      <c r="O255" s="923">
        <v>3000</v>
      </c>
      <c r="P255" s="922">
        <v>0</v>
      </c>
      <c r="Q255" s="962">
        <f t="shared" si="17"/>
        <v>3000</v>
      </c>
      <c r="R255" s="438">
        <v>0</v>
      </c>
      <c r="S255" s="160">
        <v>0</v>
      </c>
      <c r="T255" s="138">
        <v>0</v>
      </c>
      <c r="U255" s="122">
        <v>0</v>
      </c>
      <c r="V255" s="138">
        <v>0</v>
      </c>
      <c r="W255" s="160">
        <v>0</v>
      </c>
      <c r="X255" s="167">
        <v>0</v>
      </c>
      <c r="Y255" s="167">
        <v>0</v>
      </c>
      <c r="Z255" s="167">
        <v>0</v>
      </c>
      <c r="AA255" s="25" t="s">
        <v>317</v>
      </c>
      <c r="AB255" s="136" t="s">
        <v>28</v>
      </c>
      <c r="AC255" s="141" t="s">
        <v>617</v>
      </c>
      <c r="AD255" s="137" t="s">
        <v>339</v>
      </c>
      <c r="AE255" s="137" t="s">
        <v>339</v>
      </c>
      <c r="AF255" s="99" t="s">
        <v>363</v>
      </c>
    </row>
    <row r="256" spans="1:32" ht="30" x14ac:dyDescent="0.25">
      <c r="A256" s="133" t="s">
        <v>312</v>
      </c>
      <c r="B256" s="133" t="s">
        <v>674</v>
      </c>
      <c r="C256" s="136">
        <v>2019</v>
      </c>
      <c r="D256" s="908" t="s">
        <v>328</v>
      </c>
      <c r="E256" s="914" t="s">
        <v>233</v>
      </c>
      <c r="F256" s="914" t="s">
        <v>233</v>
      </c>
      <c r="G256" s="282" t="s">
        <v>294</v>
      </c>
      <c r="H256" s="134">
        <f>887+840</f>
        <v>1727</v>
      </c>
      <c r="I256" s="130">
        <v>886.27200000000005</v>
      </c>
      <c r="J256" s="130">
        <v>0</v>
      </c>
      <c r="K256" s="130">
        <v>0</v>
      </c>
      <c r="L256" s="427">
        <v>0</v>
      </c>
      <c r="M256" s="920">
        <v>840.72799999999995</v>
      </c>
      <c r="N256" s="910">
        <v>0</v>
      </c>
      <c r="O256" s="923">
        <v>840.72800000000007</v>
      </c>
      <c r="P256" s="922">
        <v>0</v>
      </c>
      <c r="Q256" s="962">
        <f t="shared" si="17"/>
        <v>840.72800000000007</v>
      </c>
      <c r="R256" s="438">
        <v>0</v>
      </c>
      <c r="S256" s="160">
        <v>0</v>
      </c>
      <c r="T256" s="138">
        <v>0</v>
      </c>
      <c r="U256" s="122">
        <v>0</v>
      </c>
      <c r="V256" s="138">
        <v>0</v>
      </c>
      <c r="W256" s="160">
        <v>0</v>
      </c>
      <c r="X256" s="167">
        <v>0</v>
      </c>
      <c r="Y256" s="167">
        <v>0</v>
      </c>
      <c r="Z256" s="167">
        <v>0</v>
      </c>
      <c r="AA256" s="25" t="s">
        <v>317</v>
      </c>
      <c r="AB256" s="136" t="s">
        <v>28</v>
      </c>
      <c r="AC256" s="141" t="s">
        <v>646</v>
      </c>
      <c r="AD256" s="137" t="s">
        <v>339</v>
      </c>
      <c r="AE256" s="137" t="s">
        <v>339</v>
      </c>
      <c r="AF256" s="99" t="s">
        <v>363</v>
      </c>
    </row>
    <row r="257" spans="1:32" ht="26.25" thickBot="1" x14ac:dyDescent="0.3">
      <c r="A257" s="154" t="s">
        <v>313</v>
      </c>
      <c r="B257" s="154" t="s">
        <v>324</v>
      </c>
      <c r="C257" s="140">
        <v>2019</v>
      </c>
      <c r="D257" s="893" t="s">
        <v>328</v>
      </c>
      <c r="E257" s="887" t="s">
        <v>399</v>
      </c>
      <c r="F257" s="887" t="s">
        <v>399</v>
      </c>
      <c r="G257" s="287" t="s">
        <v>297</v>
      </c>
      <c r="H257" s="155">
        <v>3500</v>
      </c>
      <c r="I257" s="155">
        <v>0</v>
      </c>
      <c r="J257" s="155">
        <v>0</v>
      </c>
      <c r="K257" s="155">
        <v>0</v>
      </c>
      <c r="L257" s="218">
        <v>0</v>
      </c>
      <c r="M257" s="123">
        <v>0</v>
      </c>
      <c r="N257" s="21">
        <v>3500</v>
      </c>
      <c r="O257" s="751">
        <v>3500</v>
      </c>
      <c r="P257" s="635">
        <v>0</v>
      </c>
      <c r="Q257" s="964">
        <f t="shared" si="17"/>
        <v>3500</v>
      </c>
      <c r="R257" s="675">
        <v>0</v>
      </c>
      <c r="S257" s="157">
        <v>0</v>
      </c>
      <c r="T257" s="312">
        <v>0</v>
      </c>
      <c r="U257" s="316">
        <v>0</v>
      </c>
      <c r="V257" s="312">
        <v>0</v>
      </c>
      <c r="W257" s="157">
        <v>0</v>
      </c>
      <c r="X257" s="169">
        <v>0</v>
      </c>
      <c r="Y257" s="169">
        <v>0</v>
      </c>
      <c r="Z257" s="169">
        <v>0</v>
      </c>
      <c r="AA257" s="67" t="s">
        <v>317</v>
      </c>
      <c r="AB257" s="140" t="s">
        <v>12</v>
      </c>
      <c r="AC257" s="161" t="s">
        <v>646</v>
      </c>
      <c r="AD257" s="161" t="s">
        <v>338</v>
      </c>
      <c r="AE257" s="161" t="s">
        <v>338</v>
      </c>
      <c r="AF257" s="151" t="s">
        <v>363</v>
      </c>
    </row>
    <row r="258" spans="1:32" ht="25.5" x14ac:dyDescent="0.25">
      <c r="A258" s="144" t="s">
        <v>353</v>
      </c>
      <c r="B258" s="144" t="s">
        <v>868</v>
      </c>
      <c r="C258" s="145">
        <v>2019</v>
      </c>
      <c r="D258" s="109" t="s">
        <v>378</v>
      </c>
      <c r="E258" s="329" t="s">
        <v>393</v>
      </c>
      <c r="F258" s="329" t="s">
        <v>393</v>
      </c>
      <c r="G258" s="412" t="s">
        <v>354</v>
      </c>
      <c r="H258" s="158">
        <f>2000-569.9</f>
        <v>1430.1</v>
      </c>
      <c r="I258" s="158">
        <v>72.599999999999994</v>
      </c>
      <c r="J258" s="158">
        <v>1322.5</v>
      </c>
      <c r="K258" s="158">
        <v>35</v>
      </c>
      <c r="L258" s="1039">
        <v>0</v>
      </c>
      <c r="M258" s="414">
        <v>0</v>
      </c>
      <c r="N258" s="415">
        <v>0</v>
      </c>
      <c r="O258" s="1040">
        <v>1357.5</v>
      </c>
      <c r="P258" s="1041">
        <v>0</v>
      </c>
      <c r="Q258" s="973">
        <f t="shared" si="17"/>
        <v>1357.5</v>
      </c>
      <c r="R258" s="1042">
        <v>0</v>
      </c>
      <c r="S258" s="164">
        <v>0</v>
      </c>
      <c r="T258" s="146">
        <v>0</v>
      </c>
      <c r="U258" s="170">
        <v>0</v>
      </c>
      <c r="V258" s="146">
        <v>0</v>
      </c>
      <c r="W258" s="164">
        <v>0</v>
      </c>
      <c r="X258" s="166">
        <v>0</v>
      </c>
      <c r="Y258" s="166">
        <v>0</v>
      </c>
      <c r="Z258" s="166">
        <v>0</v>
      </c>
      <c r="AA258" s="109" t="s">
        <v>317</v>
      </c>
      <c r="AB258" s="109" t="s">
        <v>352</v>
      </c>
      <c r="AC258" s="147" t="s">
        <v>618</v>
      </c>
      <c r="AD258" s="350" t="s">
        <v>339</v>
      </c>
      <c r="AE258" s="350" t="s">
        <v>339</v>
      </c>
      <c r="AF258" s="332" t="s">
        <v>363</v>
      </c>
    </row>
    <row r="259" spans="1:32" ht="26.25" thickBot="1" x14ac:dyDescent="0.3">
      <c r="A259" s="154" t="s">
        <v>355</v>
      </c>
      <c r="B259" s="154" t="s">
        <v>560</v>
      </c>
      <c r="C259" s="140">
        <v>2019</v>
      </c>
      <c r="D259" s="913" t="s">
        <v>378</v>
      </c>
      <c r="E259" s="887" t="s">
        <v>198</v>
      </c>
      <c r="F259" s="887" t="s">
        <v>198</v>
      </c>
      <c r="G259" s="322" t="s">
        <v>375</v>
      </c>
      <c r="H259" s="155">
        <v>9000</v>
      </c>
      <c r="I259" s="155">
        <v>4722.7340000000004</v>
      </c>
      <c r="J259" s="155">
        <v>1204.788</v>
      </c>
      <c r="K259" s="155">
        <v>1947.18</v>
      </c>
      <c r="L259" s="218">
        <v>0</v>
      </c>
      <c r="M259" s="123">
        <v>1125.298</v>
      </c>
      <c r="N259" s="21">
        <v>0</v>
      </c>
      <c r="O259" s="754">
        <v>4277.2659999999996</v>
      </c>
      <c r="P259" s="643">
        <v>0</v>
      </c>
      <c r="Q259" s="964">
        <f t="shared" si="17"/>
        <v>4277.2659999999996</v>
      </c>
      <c r="R259" s="674">
        <v>0</v>
      </c>
      <c r="S259" s="157">
        <v>0</v>
      </c>
      <c r="T259" s="312">
        <v>0</v>
      </c>
      <c r="U259" s="316">
        <v>0</v>
      </c>
      <c r="V259" s="312">
        <v>0</v>
      </c>
      <c r="W259" s="157">
        <v>0</v>
      </c>
      <c r="X259" s="169">
        <v>0</v>
      </c>
      <c r="Y259" s="169">
        <v>0</v>
      </c>
      <c r="Z259" s="169">
        <v>0</v>
      </c>
      <c r="AA259" s="67" t="s">
        <v>317</v>
      </c>
      <c r="AB259" s="893" t="s">
        <v>28</v>
      </c>
      <c r="AC259" s="418" t="s">
        <v>837</v>
      </c>
      <c r="AD259" s="161" t="s">
        <v>339</v>
      </c>
      <c r="AE259" s="161" t="s">
        <v>339</v>
      </c>
      <c r="AF259" s="151" t="s">
        <v>363</v>
      </c>
    </row>
    <row r="260" spans="1:32" ht="25.5" x14ac:dyDescent="0.25">
      <c r="A260" s="128" t="s">
        <v>379</v>
      </c>
      <c r="B260" s="128" t="s">
        <v>324</v>
      </c>
      <c r="C260" s="107">
        <v>2019</v>
      </c>
      <c r="D260" s="882" t="s">
        <v>482</v>
      </c>
      <c r="E260" s="31" t="s">
        <v>207</v>
      </c>
      <c r="F260" s="31" t="s">
        <v>207</v>
      </c>
      <c r="G260" s="419" t="s">
        <v>292</v>
      </c>
      <c r="H260" s="130">
        <v>2869</v>
      </c>
      <c r="I260" s="130">
        <v>0</v>
      </c>
      <c r="J260" s="130">
        <v>0</v>
      </c>
      <c r="K260" s="130">
        <v>0</v>
      </c>
      <c r="L260" s="427">
        <v>0</v>
      </c>
      <c r="M260" s="787">
        <v>0</v>
      </c>
      <c r="N260" s="881">
        <v>0</v>
      </c>
      <c r="O260" s="923">
        <v>0</v>
      </c>
      <c r="P260" s="922">
        <v>0</v>
      </c>
      <c r="Q260" s="961">
        <f t="shared" si="17"/>
        <v>0</v>
      </c>
      <c r="R260" s="634">
        <v>2869</v>
      </c>
      <c r="S260" s="254">
        <v>0</v>
      </c>
      <c r="T260" s="132">
        <v>0</v>
      </c>
      <c r="U260" s="317">
        <v>0</v>
      </c>
      <c r="V260" s="132">
        <v>0</v>
      </c>
      <c r="W260" s="254">
        <v>0</v>
      </c>
      <c r="X260" s="255">
        <v>0</v>
      </c>
      <c r="Y260" s="255">
        <v>0</v>
      </c>
      <c r="Z260" s="255">
        <v>0</v>
      </c>
      <c r="AA260" s="917" t="s">
        <v>317</v>
      </c>
      <c r="AB260" s="882" t="s">
        <v>17</v>
      </c>
      <c r="AC260" s="309" t="s">
        <v>617</v>
      </c>
      <c r="AD260" s="309" t="s">
        <v>338</v>
      </c>
      <c r="AE260" s="309" t="s">
        <v>338</v>
      </c>
      <c r="AF260" s="402" t="s">
        <v>363</v>
      </c>
    </row>
    <row r="261" spans="1:32" ht="25.5" x14ac:dyDescent="0.25">
      <c r="A261" s="133" t="s">
        <v>380</v>
      </c>
      <c r="B261" s="128" t="s">
        <v>324</v>
      </c>
      <c r="C261" s="136">
        <v>2019</v>
      </c>
      <c r="D261" s="908" t="s">
        <v>482</v>
      </c>
      <c r="E261" s="914" t="s">
        <v>213</v>
      </c>
      <c r="F261" s="914" t="s">
        <v>213</v>
      </c>
      <c r="G261" s="288" t="s">
        <v>381</v>
      </c>
      <c r="H261" s="134">
        <v>600</v>
      </c>
      <c r="I261" s="130">
        <v>0</v>
      </c>
      <c r="J261" s="130">
        <v>0</v>
      </c>
      <c r="K261" s="130">
        <v>0</v>
      </c>
      <c r="L261" s="427">
        <v>0</v>
      </c>
      <c r="M261" s="920">
        <v>0</v>
      </c>
      <c r="N261" s="910">
        <v>0</v>
      </c>
      <c r="O261" s="923">
        <v>0</v>
      </c>
      <c r="P261" s="922">
        <v>0</v>
      </c>
      <c r="Q261" s="962">
        <f t="shared" si="17"/>
        <v>0</v>
      </c>
      <c r="R261" s="672">
        <v>600</v>
      </c>
      <c r="S261" s="160">
        <v>0</v>
      </c>
      <c r="T261" s="138">
        <v>0</v>
      </c>
      <c r="U261" s="122">
        <v>0</v>
      </c>
      <c r="V261" s="138">
        <v>0</v>
      </c>
      <c r="W261" s="160">
        <v>0</v>
      </c>
      <c r="X261" s="167">
        <v>0</v>
      </c>
      <c r="Y261" s="167">
        <v>0</v>
      </c>
      <c r="Z261" s="167">
        <v>0</v>
      </c>
      <c r="AA261" s="25" t="s">
        <v>317</v>
      </c>
      <c r="AB261" s="908" t="s">
        <v>17</v>
      </c>
      <c r="AC261" s="137" t="s">
        <v>617</v>
      </c>
      <c r="AD261" s="137" t="s">
        <v>338</v>
      </c>
      <c r="AE261" s="137" t="s">
        <v>338</v>
      </c>
      <c r="AF261" s="99" t="s">
        <v>363</v>
      </c>
    </row>
    <row r="262" spans="1:32" ht="25.5" x14ac:dyDescent="0.25">
      <c r="A262" s="133" t="s">
        <v>382</v>
      </c>
      <c r="B262" s="128" t="s">
        <v>324</v>
      </c>
      <c r="C262" s="136">
        <v>2019</v>
      </c>
      <c r="D262" s="908" t="s">
        <v>482</v>
      </c>
      <c r="E262" s="914" t="s">
        <v>403</v>
      </c>
      <c r="F262" s="914" t="s">
        <v>403</v>
      </c>
      <c r="G262" s="288" t="s">
        <v>383</v>
      </c>
      <c r="H262" s="134">
        <v>12000</v>
      </c>
      <c r="I262" s="130">
        <v>0</v>
      </c>
      <c r="J262" s="130">
        <v>0</v>
      </c>
      <c r="K262" s="130">
        <v>0</v>
      </c>
      <c r="L262" s="427">
        <v>0</v>
      </c>
      <c r="M262" s="920">
        <v>0</v>
      </c>
      <c r="N262" s="910">
        <v>0</v>
      </c>
      <c r="O262" s="923">
        <v>0</v>
      </c>
      <c r="P262" s="922">
        <v>0</v>
      </c>
      <c r="Q262" s="962">
        <f t="shared" si="17"/>
        <v>0</v>
      </c>
      <c r="R262" s="672">
        <v>12000</v>
      </c>
      <c r="S262" s="160">
        <v>0</v>
      </c>
      <c r="T262" s="138">
        <v>0</v>
      </c>
      <c r="U262" s="122">
        <v>0</v>
      </c>
      <c r="V262" s="138">
        <v>0</v>
      </c>
      <c r="W262" s="160">
        <v>0</v>
      </c>
      <c r="X262" s="167">
        <v>0</v>
      </c>
      <c r="Y262" s="167">
        <v>0</v>
      </c>
      <c r="Z262" s="167">
        <v>0</v>
      </c>
      <c r="AA262" s="25" t="s">
        <v>317</v>
      </c>
      <c r="AB262" s="908" t="s">
        <v>17</v>
      </c>
      <c r="AC262" s="137" t="s">
        <v>617</v>
      </c>
      <c r="AD262" s="137" t="s">
        <v>338</v>
      </c>
      <c r="AE262" s="137" t="s">
        <v>338</v>
      </c>
      <c r="AF262" s="99" t="s">
        <v>363</v>
      </c>
    </row>
    <row r="263" spans="1:32" ht="25.5" x14ac:dyDescent="0.25">
      <c r="A263" s="133" t="s">
        <v>384</v>
      </c>
      <c r="B263" s="128" t="s">
        <v>324</v>
      </c>
      <c r="C263" s="136">
        <v>2019</v>
      </c>
      <c r="D263" s="908" t="s">
        <v>482</v>
      </c>
      <c r="E263" s="914" t="s">
        <v>211</v>
      </c>
      <c r="F263" s="914" t="s">
        <v>211</v>
      </c>
      <c r="G263" s="288" t="s">
        <v>385</v>
      </c>
      <c r="H263" s="134">
        <v>1000</v>
      </c>
      <c r="I263" s="130">
        <v>0</v>
      </c>
      <c r="J263" s="130">
        <v>0</v>
      </c>
      <c r="K263" s="130">
        <v>0</v>
      </c>
      <c r="L263" s="427">
        <v>0</v>
      </c>
      <c r="M263" s="920">
        <v>0</v>
      </c>
      <c r="N263" s="910">
        <v>0</v>
      </c>
      <c r="O263" s="923">
        <v>0</v>
      </c>
      <c r="P263" s="922">
        <v>0</v>
      </c>
      <c r="Q263" s="962">
        <f t="shared" si="17"/>
        <v>0</v>
      </c>
      <c r="R263" s="672">
        <v>1000</v>
      </c>
      <c r="S263" s="160">
        <v>0</v>
      </c>
      <c r="T263" s="138">
        <v>0</v>
      </c>
      <c r="U263" s="122">
        <v>0</v>
      </c>
      <c r="V263" s="138">
        <v>0</v>
      </c>
      <c r="W263" s="160">
        <v>0</v>
      </c>
      <c r="X263" s="167">
        <v>0</v>
      </c>
      <c r="Y263" s="167">
        <v>0</v>
      </c>
      <c r="Z263" s="167">
        <v>0</v>
      </c>
      <c r="AA263" s="25" t="s">
        <v>317</v>
      </c>
      <c r="AB263" s="908" t="s">
        <v>17</v>
      </c>
      <c r="AC263" s="137" t="s">
        <v>617</v>
      </c>
      <c r="AD263" s="137" t="s">
        <v>338</v>
      </c>
      <c r="AE263" s="137" t="s">
        <v>338</v>
      </c>
      <c r="AF263" s="99" t="s">
        <v>363</v>
      </c>
    </row>
    <row r="264" spans="1:32" ht="25.5" x14ac:dyDescent="0.25">
      <c r="A264" s="133" t="s">
        <v>386</v>
      </c>
      <c r="B264" s="128" t="s">
        <v>324</v>
      </c>
      <c r="C264" s="136">
        <v>2019</v>
      </c>
      <c r="D264" s="908" t="s">
        <v>482</v>
      </c>
      <c r="E264" s="914" t="s">
        <v>198</v>
      </c>
      <c r="F264" s="914" t="s">
        <v>198</v>
      </c>
      <c r="G264" s="898" t="s">
        <v>686</v>
      </c>
      <c r="H264" s="134">
        <v>10400</v>
      </c>
      <c r="I264" s="130">
        <v>0</v>
      </c>
      <c r="J264" s="130">
        <v>0</v>
      </c>
      <c r="K264" s="130">
        <v>0</v>
      </c>
      <c r="L264" s="427">
        <v>0</v>
      </c>
      <c r="M264" s="920">
        <v>0</v>
      </c>
      <c r="N264" s="910">
        <v>0</v>
      </c>
      <c r="O264" s="923">
        <v>0</v>
      </c>
      <c r="P264" s="922">
        <v>0</v>
      </c>
      <c r="Q264" s="962">
        <f t="shared" si="17"/>
        <v>0</v>
      </c>
      <c r="R264" s="672">
        <v>10400</v>
      </c>
      <c r="S264" s="160">
        <v>0</v>
      </c>
      <c r="T264" s="138">
        <v>0</v>
      </c>
      <c r="U264" s="122">
        <v>0</v>
      </c>
      <c r="V264" s="138">
        <v>0</v>
      </c>
      <c r="W264" s="160">
        <v>0</v>
      </c>
      <c r="X264" s="167">
        <v>0</v>
      </c>
      <c r="Y264" s="167">
        <v>0</v>
      </c>
      <c r="Z264" s="167">
        <v>0</v>
      </c>
      <c r="AA264" s="25" t="s">
        <v>317</v>
      </c>
      <c r="AB264" s="908" t="s">
        <v>17</v>
      </c>
      <c r="AC264" s="137" t="s">
        <v>617</v>
      </c>
      <c r="AD264" s="137" t="s">
        <v>338</v>
      </c>
      <c r="AE264" s="137" t="s">
        <v>338</v>
      </c>
      <c r="AF264" s="99" t="s">
        <v>363</v>
      </c>
    </row>
    <row r="265" spans="1:32" ht="45.75" x14ac:dyDescent="0.25">
      <c r="A265" s="133" t="s">
        <v>387</v>
      </c>
      <c r="B265" s="128" t="s">
        <v>324</v>
      </c>
      <c r="C265" s="136">
        <v>2019</v>
      </c>
      <c r="D265" s="908" t="s">
        <v>482</v>
      </c>
      <c r="E265" s="914" t="s">
        <v>215</v>
      </c>
      <c r="F265" s="914" t="s">
        <v>215</v>
      </c>
      <c r="G265" s="288" t="s">
        <v>844</v>
      </c>
      <c r="H265" s="134">
        <f>1300+1600</f>
        <v>2900</v>
      </c>
      <c r="I265" s="130">
        <v>0</v>
      </c>
      <c r="J265" s="130">
        <v>0</v>
      </c>
      <c r="K265" s="130">
        <v>0</v>
      </c>
      <c r="L265" s="427">
        <v>0</v>
      </c>
      <c r="M265" s="920">
        <v>1300</v>
      </c>
      <c r="N265" s="910">
        <v>1600</v>
      </c>
      <c r="O265" s="923">
        <v>2900</v>
      </c>
      <c r="P265" s="922">
        <v>0</v>
      </c>
      <c r="Q265" s="962">
        <f t="shared" si="17"/>
        <v>2900</v>
      </c>
      <c r="R265" s="672">
        <v>0</v>
      </c>
      <c r="S265" s="160">
        <v>0</v>
      </c>
      <c r="T265" s="138">
        <v>0</v>
      </c>
      <c r="U265" s="122">
        <v>0</v>
      </c>
      <c r="V265" s="138">
        <v>0</v>
      </c>
      <c r="W265" s="160">
        <v>0</v>
      </c>
      <c r="X265" s="167">
        <v>0</v>
      </c>
      <c r="Y265" s="167">
        <v>0</v>
      </c>
      <c r="Z265" s="167">
        <v>0</v>
      </c>
      <c r="AA265" s="908" t="s">
        <v>317</v>
      </c>
      <c r="AB265" s="908" t="s">
        <v>28</v>
      </c>
      <c r="AC265" s="137" t="s">
        <v>616</v>
      </c>
      <c r="AD265" s="137" t="s">
        <v>339</v>
      </c>
      <c r="AE265" s="137" t="s">
        <v>339</v>
      </c>
      <c r="AF265" s="99" t="s">
        <v>363</v>
      </c>
    </row>
    <row r="266" spans="1:32" s="698" customFormat="1" ht="30" x14ac:dyDescent="0.25">
      <c r="A266" s="133" t="s">
        <v>388</v>
      </c>
      <c r="B266" s="128" t="s">
        <v>740</v>
      </c>
      <c r="C266" s="136">
        <v>2019</v>
      </c>
      <c r="D266" s="908" t="s">
        <v>482</v>
      </c>
      <c r="E266" s="914" t="s">
        <v>595</v>
      </c>
      <c r="F266" s="914" t="s">
        <v>595</v>
      </c>
      <c r="G266" s="392" t="s">
        <v>596</v>
      </c>
      <c r="H266" s="134">
        <v>21000</v>
      </c>
      <c r="I266" s="130">
        <v>555.74</v>
      </c>
      <c r="J266" s="130">
        <v>0</v>
      </c>
      <c r="K266" s="130">
        <v>0</v>
      </c>
      <c r="L266" s="427">
        <v>0</v>
      </c>
      <c r="M266" s="920">
        <v>500</v>
      </c>
      <c r="N266" s="910">
        <v>0</v>
      </c>
      <c r="O266" s="923">
        <v>500</v>
      </c>
      <c r="P266" s="922">
        <v>0</v>
      </c>
      <c r="Q266" s="962">
        <f t="shared" si="17"/>
        <v>500</v>
      </c>
      <c r="R266" s="672">
        <v>19944.259999999998</v>
      </c>
      <c r="S266" s="160">
        <v>0</v>
      </c>
      <c r="T266" s="138">
        <v>0</v>
      </c>
      <c r="U266" s="122">
        <v>0</v>
      </c>
      <c r="V266" s="138">
        <v>0</v>
      </c>
      <c r="W266" s="160">
        <v>0</v>
      </c>
      <c r="X266" s="167">
        <v>0</v>
      </c>
      <c r="Y266" s="167">
        <v>0</v>
      </c>
      <c r="Z266" s="167">
        <v>0</v>
      </c>
      <c r="AA266" s="908" t="s">
        <v>317</v>
      </c>
      <c r="AB266" s="908" t="s">
        <v>17</v>
      </c>
      <c r="AC266" s="137" t="s">
        <v>646</v>
      </c>
      <c r="AD266" s="137" t="s">
        <v>338</v>
      </c>
      <c r="AE266" s="137" t="s">
        <v>338</v>
      </c>
      <c r="AF266" s="99" t="s">
        <v>363</v>
      </c>
    </row>
    <row r="267" spans="1:32" ht="25.5" x14ac:dyDescent="0.25">
      <c r="A267" s="133" t="s">
        <v>389</v>
      </c>
      <c r="B267" s="128" t="s">
        <v>324</v>
      </c>
      <c r="C267" s="136">
        <v>2019</v>
      </c>
      <c r="D267" s="908" t="s">
        <v>482</v>
      </c>
      <c r="E267" s="914" t="s">
        <v>397</v>
      </c>
      <c r="F267" s="914" t="s">
        <v>397</v>
      </c>
      <c r="G267" s="898" t="s">
        <v>390</v>
      </c>
      <c r="H267" s="134">
        <v>840</v>
      </c>
      <c r="I267" s="130">
        <v>0</v>
      </c>
      <c r="J267" s="130">
        <v>0</v>
      </c>
      <c r="K267" s="130">
        <v>0</v>
      </c>
      <c r="L267" s="427">
        <v>0</v>
      </c>
      <c r="M267" s="920">
        <v>0</v>
      </c>
      <c r="N267" s="910">
        <v>0</v>
      </c>
      <c r="O267" s="923">
        <v>0</v>
      </c>
      <c r="P267" s="922">
        <v>0</v>
      </c>
      <c r="Q267" s="962">
        <f t="shared" si="17"/>
        <v>0</v>
      </c>
      <c r="R267" s="672">
        <v>840</v>
      </c>
      <c r="S267" s="160">
        <v>0</v>
      </c>
      <c r="T267" s="138">
        <v>0</v>
      </c>
      <c r="U267" s="122">
        <v>0</v>
      </c>
      <c r="V267" s="138">
        <v>0</v>
      </c>
      <c r="W267" s="160">
        <v>0</v>
      </c>
      <c r="X267" s="167">
        <v>0</v>
      </c>
      <c r="Y267" s="167">
        <v>0</v>
      </c>
      <c r="Z267" s="167">
        <v>0</v>
      </c>
      <c r="AA267" s="25" t="s">
        <v>317</v>
      </c>
      <c r="AB267" s="908" t="s">
        <v>17</v>
      </c>
      <c r="AC267" s="137" t="s">
        <v>616</v>
      </c>
      <c r="AD267" s="137" t="s">
        <v>338</v>
      </c>
      <c r="AE267" s="137" t="s">
        <v>338</v>
      </c>
      <c r="AF267" s="99" t="s">
        <v>363</v>
      </c>
    </row>
    <row r="268" spans="1:32" ht="25.5" x14ac:dyDescent="0.25">
      <c r="A268" s="133" t="s">
        <v>391</v>
      </c>
      <c r="B268" s="128" t="s">
        <v>675</v>
      </c>
      <c r="C268" s="136">
        <v>2019</v>
      </c>
      <c r="D268" s="908" t="s">
        <v>482</v>
      </c>
      <c r="E268" s="914" t="s">
        <v>214</v>
      </c>
      <c r="F268" s="914" t="s">
        <v>214</v>
      </c>
      <c r="G268" s="898" t="s">
        <v>424</v>
      </c>
      <c r="H268" s="134">
        <v>5800</v>
      </c>
      <c r="I268" s="130">
        <v>3615.3130000000001</v>
      </c>
      <c r="J268" s="130">
        <v>0</v>
      </c>
      <c r="K268" s="130">
        <v>0</v>
      </c>
      <c r="L268" s="427">
        <v>0</v>
      </c>
      <c r="M268" s="89">
        <v>2184.6869999999999</v>
      </c>
      <c r="N268" s="910">
        <v>0</v>
      </c>
      <c r="O268" s="923">
        <v>2184.6869999999999</v>
      </c>
      <c r="P268" s="922">
        <v>0</v>
      </c>
      <c r="Q268" s="962">
        <f t="shared" si="17"/>
        <v>2184.6869999999999</v>
      </c>
      <c r="R268" s="672">
        <v>0</v>
      </c>
      <c r="S268" s="160">
        <v>0</v>
      </c>
      <c r="T268" s="138">
        <v>0</v>
      </c>
      <c r="U268" s="122">
        <v>0</v>
      </c>
      <c r="V268" s="138">
        <v>0</v>
      </c>
      <c r="W268" s="160">
        <v>0</v>
      </c>
      <c r="X268" s="167">
        <v>0</v>
      </c>
      <c r="Y268" s="167">
        <v>0</v>
      </c>
      <c r="Z268" s="167">
        <v>0</v>
      </c>
      <c r="AA268" s="785" t="s">
        <v>317</v>
      </c>
      <c r="AB268" s="908" t="s">
        <v>12</v>
      </c>
      <c r="AC268" s="137" t="s">
        <v>646</v>
      </c>
      <c r="AD268" s="137" t="s">
        <v>338</v>
      </c>
      <c r="AE268" s="137" t="s">
        <v>338</v>
      </c>
      <c r="AF268" s="99" t="s">
        <v>363</v>
      </c>
    </row>
    <row r="269" spans="1:32" ht="26.25" thickBot="1" x14ac:dyDescent="0.3">
      <c r="A269" s="154" t="s">
        <v>392</v>
      </c>
      <c r="B269" s="154" t="s">
        <v>809</v>
      </c>
      <c r="C269" s="140">
        <v>2019</v>
      </c>
      <c r="D269" s="893" t="s">
        <v>482</v>
      </c>
      <c r="E269" s="887" t="s">
        <v>295</v>
      </c>
      <c r="F269" s="887" t="s">
        <v>295</v>
      </c>
      <c r="G269" s="299" t="s">
        <v>597</v>
      </c>
      <c r="H269" s="155">
        <f>5900+570</f>
        <v>6470</v>
      </c>
      <c r="I269" s="155">
        <v>569.42250000000001</v>
      </c>
      <c r="J269" s="155">
        <v>0</v>
      </c>
      <c r="K269" s="155">
        <v>3537.4170000000004</v>
      </c>
      <c r="L269" s="218">
        <v>0</v>
      </c>
      <c r="M269" s="123">
        <f>3330.5775+570-52.243-1485.174</f>
        <v>2363.1605</v>
      </c>
      <c r="N269" s="21">
        <v>0</v>
      </c>
      <c r="O269" s="751">
        <v>5900.5775000000003</v>
      </c>
      <c r="P269" s="635">
        <v>0</v>
      </c>
      <c r="Q269" s="964">
        <f t="shared" si="17"/>
        <v>5900.5775000000003</v>
      </c>
      <c r="R269" s="674">
        <v>0</v>
      </c>
      <c r="S269" s="157">
        <v>0</v>
      </c>
      <c r="T269" s="312">
        <v>0</v>
      </c>
      <c r="U269" s="316">
        <v>0</v>
      </c>
      <c r="V269" s="312">
        <v>0</v>
      </c>
      <c r="W269" s="157">
        <v>0</v>
      </c>
      <c r="X269" s="169">
        <v>0</v>
      </c>
      <c r="Y269" s="169">
        <v>0</v>
      </c>
      <c r="Z269" s="169">
        <v>0</v>
      </c>
      <c r="AA269" s="893" t="s">
        <v>317</v>
      </c>
      <c r="AB269" s="893" t="s">
        <v>28</v>
      </c>
      <c r="AC269" s="161" t="s">
        <v>617</v>
      </c>
      <c r="AD269" s="161" t="s">
        <v>339</v>
      </c>
      <c r="AE269" s="161" t="s">
        <v>339</v>
      </c>
      <c r="AF269" s="151" t="s">
        <v>363</v>
      </c>
    </row>
    <row r="270" spans="1:32" s="725" customFormat="1" ht="30.75" thickBot="1" x14ac:dyDescent="0.3">
      <c r="A270" s="241" t="s">
        <v>599</v>
      </c>
      <c r="B270" s="257" t="s">
        <v>803</v>
      </c>
      <c r="C270" s="96">
        <v>2020</v>
      </c>
      <c r="D270" s="96" t="s">
        <v>610</v>
      </c>
      <c r="E270" s="200" t="s">
        <v>198</v>
      </c>
      <c r="F270" s="200" t="s">
        <v>198</v>
      </c>
      <c r="G270" s="792" t="s">
        <v>678</v>
      </c>
      <c r="H270" s="242">
        <v>6169.232</v>
      </c>
      <c r="I270" s="242">
        <v>4160.4566999999997</v>
      </c>
      <c r="J270" s="242">
        <v>1839.5432999999998</v>
      </c>
      <c r="K270" s="242">
        <v>0</v>
      </c>
      <c r="L270" s="249">
        <v>0</v>
      </c>
      <c r="M270" s="202">
        <v>0</v>
      </c>
      <c r="N270" s="104">
        <v>0</v>
      </c>
      <c r="O270" s="793">
        <v>1839.5433000000003</v>
      </c>
      <c r="P270" s="666">
        <v>0</v>
      </c>
      <c r="Q270" s="965">
        <f t="shared" si="17"/>
        <v>1839.5433000000003</v>
      </c>
      <c r="R270" s="794">
        <v>0</v>
      </c>
      <c r="S270" s="353">
        <v>0</v>
      </c>
      <c r="T270" s="314">
        <v>0</v>
      </c>
      <c r="U270" s="321">
        <v>0</v>
      </c>
      <c r="V270" s="314">
        <v>169.232</v>
      </c>
      <c r="W270" s="353">
        <v>0</v>
      </c>
      <c r="X270" s="670">
        <v>0</v>
      </c>
      <c r="Y270" s="670">
        <v>0</v>
      </c>
      <c r="Z270" s="670">
        <v>0</v>
      </c>
      <c r="AA270" s="274" t="s">
        <v>317</v>
      </c>
      <c r="AB270" s="96" t="s">
        <v>352</v>
      </c>
      <c r="AC270" s="243" t="s">
        <v>563</v>
      </c>
      <c r="AD270" s="243" t="s">
        <v>339</v>
      </c>
      <c r="AE270" s="386" t="s">
        <v>339</v>
      </c>
      <c r="AF270" s="795" t="s">
        <v>363</v>
      </c>
    </row>
    <row r="271" spans="1:32" s="725" customFormat="1" ht="30" x14ac:dyDescent="0.25">
      <c r="A271" s="128" t="s">
        <v>687</v>
      </c>
      <c r="B271" s="62" t="s">
        <v>324</v>
      </c>
      <c r="C271" s="882">
        <v>2020</v>
      </c>
      <c r="D271" s="685" t="s">
        <v>738</v>
      </c>
      <c r="E271" s="31" t="s">
        <v>395</v>
      </c>
      <c r="F271" s="31" t="s">
        <v>395</v>
      </c>
      <c r="G271" s="401" t="s">
        <v>817</v>
      </c>
      <c r="H271" s="130">
        <v>4500</v>
      </c>
      <c r="I271" s="130">
        <v>0</v>
      </c>
      <c r="J271" s="130">
        <v>0</v>
      </c>
      <c r="K271" s="130">
        <v>0</v>
      </c>
      <c r="L271" s="427">
        <v>0</v>
      </c>
      <c r="M271" s="787">
        <v>1500</v>
      </c>
      <c r="N271" s="881">
        <v>3000</v>
      </c>
      <c r="O271" s="923">
        <v>4500</v>
      </c>
      <c r="P271" s="922">
        <v>0</v>
      </c>
      <c r="Q271" s="961">
        <f t="shared" si="17"/>
        <v>4500</v>
      </c>
      <c r="R271" s="634">
        <v>0</v>
      </c>
      <c r="S271" s="254">
        <v>0</v>
      </c>
      <c r="T271" s="132">
        <v>0</v>
      </c>
      <c r="U271" s="317">
        <v>0</v>
      </c>
      <c r="V271" s="132">
        <v>0</v>
      </c>
      <c r="W271" s="254">
        <v>0</v>
      </c>
      <c r="X271" s="255">
        <v>0</v>
      </c>
      <c r="Y271" s="255">
        <v>0</v>
      </c>
      <c r="Z271" s="255">
        <v>0</v>
      </c>
      <c r="AA271" s="882" t="s">
        <v>317</v>
      </c>
      <c r="AB271" s="882" t="s">
        <v>12</v>
      </c>
      <c r="AC271" s="309" t="s">
        <v>837</v>
      </c>
      <c r="AD271" s="309" t="s">
        <v>338</v>
      </c>
      <c r="AE271" s="309" t="s">
        <v>338</v>
      </c>
      <c r="AF271" s="402" t="s">
        <v>363</v>
      </c>
    </row>
    <row r="272" spans="1:32" s="725" customFormat="1" ht="30.75" thickBot="1" x14ac:dyDescent="0.3">
      <c r="A272" s="69" t="s">
        <v>688</v>
      </c>
      <c r="B272" s="70" t="s">
        <v>324</v>
      </c>
      <c r="C272" s="893">
        <v>2020</v>
      </c>
      <c r="D272" s="847" t="s">
        <v>738</v>
      </c>
      <c r="E272" s="893" t="s">
        <v>400</v>
      </c>
      <c r="F272" s="893" t="s">
        <v>400</v>
      </c>
      <c r="G272" s="322" t="s">
        <v>689</v>
      </c>
      <c r="H272" s="306">
        <f>1500+750</f>
        <v>2250</v>
      </c>
      <c r="I272" s="842">
        <v>0</v>
      </c>
      <c r="J272" s="296">
        <v>0</v>
      </c>
      <c r="K272" s="296">
        <v>0</v>
      </c>
      <c r="L272" s="1142">
        <v>0</v>
      </c>
      <c r="M272" s="123">
        <v>1500</v>
      </c>
      <c r="N272" s="21">
        <v>0</v>
      </c>
      <c r="O272" s="754">
        <v>1500</v>
      </c>
      <c r="P272" s="643">
        <v>0</v>
      </c>
      <c r="Q272" s="964">
        <f t="shared" si="17"/>
        <v>1500</v>
      </c>
      <c r="R272" s="325">
        <v>0</v>
      </c>
      <c r="S272" s="156">
        <v>0</v>
      </c>
      <c r="T272" s="312">
        <v>0</v>
      </c>
      <c r="U272" s="316">
        <v>0</v>
      </c>
      <c r="V272" s="312">
        <v>750</v>
      </c>
      <c r="W272" s="157">
        <v>0</v>
      </c>
      <c r="X272" s="169">
        <v>0</v>
      </c>
      <c r="Y272" s="169">
        <v>0</v>
      </c>
      <c r="Z272" s="169">
        <v>0</v>
      </c>
      <c r="AA272" s="913" t="s">
        <v>317</v>
      </c>
      <c r="AB272" s="140" t="s">
        <v>28</v>
      </c>
      <c r="AC272" s="161" t="s">
        <v>646</v>
      </c>
      <c r="AD272" s="161" t="s">
        <v>339</v>
      </c>
      <c r="AE272" s="161" t="s">
        <v>339</v>
      </c>
      <c r="AF272" s="151" t="s">
        <v>363</v>
      </c>
    </row>
    <row r="273" spans="1:32" s="721" customFormat="1" ht="30" x14ac:dyDescent="0.25">
      <c r="A273" s="479" t="s">
        <v>769</v>
      </c>
      <c r="B273" s="509" t="s">
        <v>324</v>
      </c>
      <c r="C273" s="285">
        <v>2020</v>
      </c>
      <c r="D273" s="1043" t="s">
        <v>818</v>
      </c>
      <c r="E273" s="285" t="s">
        <v>210</v>
      </c>
      <c r="F273" s="285" t="s">
        <v>210</v>
      </c>
      <c r="G273" s="1044" t="s">
        <v>770</v>
      </c>
      <c r="H273" s="488">
        <v>200000</v>
      </c>
      <c r="I273" s="1045">
        <v>0</v>
      </c>
      <c r="J273" s="488">
        <v>0</v>
      </c>
      <c r="K273" s="488">
        <v>0</v>
      </c>
      <c r="L273" s="1143">
        <v>0</v>
      </c>
      <c r="M273" s="458">
        <v>0</v>
      </c>
      <c r="N273" s="344">
        <v>1500</v>
      </c>
      <c r="O273" s="510">
        <v>14000</v>
      </c>
      <c r="P273" s="586">
        <v>-12500</v>
      </c>
      <c r="Q273" s="1046">
        <f t="shared" si="17"/>
        <v>1500</v>
      </c>
      <c r="R273" s="456">
        <v>20000</v>
      </c>
      <c r="S273" s="351">
        <v>178500</v>
      </c>
      <c r="T273" s="456">
        <v>0</v>
      </c>
      <c r="U273" s="457">
        <v>0</v>
      </c>
      <c r="V273" s="456">
        <v>0</v>
      </c>
      <c r="W273" s="1047">
        <v>168045</v>
      </c>
      <c r="X273" s="1047">
        <v>0</v>
      </c>
      <c r="Y273" s="1047">
        <v>1500</v>
      </c>
      <c r="Z273" s="1048">
        <v>166545</v>
      </c>
      <c r="AA273" s="1049" t="s">
        <v>948</v>
      </c>
      <c r="AB273" s="284" t="s">
        <v>17</v>
      </c>
      <c r="AC273" s="1050" t="s">
        <v>837</v>
      </c>
      <c r="AD273" s="1050" t="s">
        <v>338</v>
      </c>
      <c r="AE273" s="1051" t="s">
        <v>338</v>
      </c>
      <c r="AF273" s="1051" t="s">
        <v>364</v>
      </c>
    </row>
    <row r="274" spans="1:32" s="721" customFormat="1" ht="30" x14ac:dyDescent="0.25">
      <c r="A274" s="479" t="s">
        <v>771</v>
      </c>
      <c r="B274" s="509" t="s">
        <v>324</v>
      </c>
      <c r="C274" s="285">
        <v>2020</v>
      </c>
      <c r="D274" s="1043" t="s">
        <v>818</v>
      </c>
      <c r="E274" s="285" t="s">
        <v>772</v>
      </c>
      <c r="F274" s="285" t="s">
        <v>772</v>
      </c>
      <c r="G274" s="1044" t="s">
        <v>773</v>
      </c>
      <c r="H274" s="488">
        <v>55000</v>
      </c>
      <c r="I274" s="1045">
        <v>0</v>
      </c>
      <c r="J274" s="488">
        <v>0</v>
      </c>
      <c r="K274" s="488">
        <v>0</v>
      </c>
      <c r="L274" s="1143">
        <v>0</v>
      </c>
      <c r="M274" s="458">
        <v>0</v>
      </c>
      <c r="N274" s="344">
        <v>2000</v>
      </c>
      <c r="O274" s="510">
        <v>5600</v>
      </c>
      <c r="P274" s="586">
        <v>-3600</v>
      </c>
      <c r="Q274" s="1046">
        <f t="shared" si="17"/>
        <v>2000</v>
      </c>
      <c r="R274" s="456">
        <v>10000</v>
      </c>
      <c r="S274" s="351">
        <v>43000</v>
      </c>
      <c r="T274" s="456">
        <v>0</v>
      </c>
      <c r="U274" s="457">
        <v>0</v>
      </c>
      <c r="V274" s="456">
        <v>0</v>
      </c>
      <c r="W274" s="1045">
        <v>55000</v>
      </c>
      <c r="X274" s="1045">
        <v>0</v>
      </c>
      <c r="Y274" s="1045">
        <v>2000</v>
      </c>
      <c r="Z274" s="1048">
        <v>53000</v>
      </c>
      <c r="AA274" s="700" t="s">
        <v>949</v>
      </c>
      <c r="AB274" s="284" t="s">
        <v>17</v>
      </c>
      <c r="AC274" s="1050" t="s">
        <v>837</v>
      </c>
      <c r="AD274" s="1050" t="s">
        <v>338</v>
      </c>
      <c r="AE274" s="1050" t="s">
        <v>338</v>
      </c>
      <c r="AF274" s="459" t="s">
        <v>364</v>
      </c>
    </row>
    <row r="275" spans="1:32" s="721" customFormat="1" ht="30" x14ac:dyDescent="0.25">
      <c r="A275" s="30" t="s">
        <v>774</v>
      </c>
      <c r="B275" s="62" t="s">
        <v>324</v>
      </c>
      <c r="C275" s="882">
        <v>2020</v>
      </c>
      <c r="D275" s="685" t="s">
        <v>818</v>
      </c>
      <c r="E275" s="882" t="s">
        <v>598</v>
      </c>
      <c r="F275" s="882" t="s">
        <v>598</v>
      </c>
      <c r="G275" s="401" t="s">
        <v>775</v>
      </c>
      <c r="H275" s="253">
        <v>15000</v>
      </c>
      <c r="I275" s="254">
        <v>0</v>
      </c>
      <c r="J275" s="253">
        <v>0</v>
      </c>
      <c r="K275" s="253">
        <v>0</v>
      </c>
      <c r="L275" s="432">
        <v>0</v>
      </c>
      <c r="M275" s="787">
        <v>1500</v>
      </c>
      <c r="N275" s="881">
        <v>2700</v>
      </c>
      <c r="O275" s="923">
        <v>4200</v>
      </c>
      <c r="P275" s="922">
        <v>0</v>
      </c>
      <c r="Q275" s="961">
        <f t="shared" si="17"/>
        <v>4200</v>
      </c>
      <c r="R275" s="132">
        <v>10800</v>
      </c>
      <c r="S275" s="15">
        <v>0</v>
      </c>
      <c r="T275" s="132">
        <v>0</v>
      </c>
      <c r="U275" s="317">
        <v>0</v>
      </c>
      <c r="V275" s="132">
        <v>0</v>
      </c>
      <c r="W275" s="254">
        <v>15000</v>
      </c>
      <c r="X275" s="254">
        <v>0</v>
      </c>
      <c r="Y275" s="254">
        <v>4200</v>
      </c>
      <c r="Z275" s="307">
        <v>10800</v>
      </c>
      <c r="AA275" s="559" t="s">
        <v>317</v>
      </c>
      <c r="AB275" s="107" t="s">
        <v>17</v>
      </c>
      <c r="AC275" s="309" t="s">
        <v>646</v>
      </c>
      <c r="AD275" s="309" t="s">
        <v>338</v>
      </c>
      <c r="AE275" s="309" t="s">
        <v>338</v>
      </c>
      <c r="AF275" s="99" t="s">
        <v>364</v>
      </c>
    </row>
    <row r="276" spans="1:32" s="721" customFormat="1" ht="30" x14ac:dyDescent="0.25">
      <c r="A276" s="30" t="s">
        <v>776</v>
      </c>
      <c r="B276" s="62" t="s">
        <v>324</v>
      </c>
      <c r="C276" s="882">
        <v>2020</v>
      </c>
      <c r="D276" s="685" t="s">
        <v>818</v>
      </c>
      <c r="E276" s="882" t="s">
        <v>201</v>
      </c>
      <c r="F276" s="882" t="s">
        <v>201</v>
      </c>
      <c r="G276" s="401" t="s">
        <v>777</v>
      </c>
      <c r="H276" s="253">
        <v>17000</v>
      </c>
      <c r="I276" s="254">
        <v>0</v>
      </c>
      <c r="J276" s="253">
        <v>0</v>
      </c>
      <c r="K276" s="253">
        <v>0</v>
      </c>
      <c r="L276" s="432">
        <v>0</v>
      </c>
      <c r="M276" s="787">
        <v>1000</v>
      </c>
      <c r="N276" s="881">
        <v>4000</v>
      </c>
      <c r="O276" s="923">
        <v>5000</v>
      </c>
      <c r="P276" s="922">
        <v>0</v>
      </c>
      <c r="Q276" s="961">
        <f t="shared" si="17"/>
        <v>5000</v>
      </c>
      <c r="R276" s="132">
        <v>12000</v>
      </c>
      <c r="S276" s="15">
        <v>0</v>
      </c>
      <c r="T276" s="132">
        <v>0</v>
      </c>
      <c r="U276" s="317">
        <v>0</v>
      </c>
      <c r="V276" s="132">
        <v>0</v>
      </c>
      <c r="W276" s="254">
        <v>17000</v>
      </c>
      <c r="X276" s="254">
        <v>0</v>
      </c>
      <c r="Y276" s="254">
        <v>5000</v>
      </c>
      <c r="Z276" s="307">
        <v>12000</v>
      </c>
      <c r="AA276" s="559" t="s">
        <v>963</v>
      </c>
      <c r="AB276" s="107" t="s">
        <v>17</v>
      </c>
      <c r="AC276" s="309" t="s">
        <v>617</v>
      </c>
      <c r="AD276" s="309" t="s">
        <v>338</v>
      </c>
      <c r="AE276" s="309" t="s">
        <v>338</v>
      </c>
      <c r="AF276" s="99" t="s">
        <v>364</v>
      </c>
    </row>
    <row r="277" spans="1:32" s="721" customFormat="1" ht="30" x14ac:dyDescent="0.25">
      <c r="A277" s="771" t="s">
        <v>778</v>
      </c>
      <c r="B277" s="915" t="s">
        <v>324</v>
      </c>
      <c r="C277" s="908">
        <v>2020</v>
      </c>
      <c r="D277" s="686" t="s">
        <v>818</v>
      </c>
      <c r="E277" s="908" t="s">
        <v>10</v>
      </c>
      <c r="F277" s="908" t="s">
        <v>198</v>
      </c>
      <c r="G277" s="392" t="s">
        <v>779</v>
      </c>
      <c r="H277" s="252">
        <v>42000</v>
      </c>
      <c r="I277" s="254">
        <v>0</v>
      </c>
      <c r="J277" s="253">
        <v>0</v>
      </c>
      <c r="K277" s="253">
        <v>0</v>
      </c>
      <c r="L277" s="432">
        <v>0</v>
      </c>
      <c r="M277" s="920">
        <v>0</v>
      </c>
      <c r="N277" s="910">
        <v>0</v>
      </c>
      <c r="O277" s="923">
        <v>0</v>
      </c>
      <c r="P277" s="922">
        <v>0</v>
      </c>
      <c r="Q277" s="962">
        <f t="shared" si="17"/>
        <v>0</v>
      </c>
      <c r="R277" s="138">
        <v>42000</v>
      </c>
      <c r="S277" s="13">
        <v>0</v>
      </c>
      <c r="T277" s="138">
        <v>0</v>
      </c>
      <c r="U277" s="122">
        <v>0</v>
      </c>
      <c r="V277" s="138">
        <v>0</v>
      </c>
      <c r="W277" s="160">
        <v>0</v>
      </c>
      <c r="X277" s="160">
        <v>0</v>
      </c>
      <c r="Y277" s="160">
        <v>0</v>
      </c>
      <c r="Z277" s="438">
        <v>0</v>
      </c>
      <c r="AA277" s="1052" t="s">
        <v>317</v>
      </c>
      <c r="AB277" s="136" t="s">
        <v>17</v>
      </c>
      <c r="AC277" s="137" t="s">
        <v>536</v>
      </c>
      <c r="AD277" s="137" t="s">
        <v>338</v>
      </c>
      <c r="AE277" s="137" t="s">
        <v>338</v>
      </c>
      <c r="AF277" s="99" t="s">
        <v>364</v>
      </c>
    </row>
    <row r="278" spans="1:32" s="944" customFormat="1" ht="25.5" x14ac:dyDescent="0.2">
      <c r="A278" s="30" t="s">
        <v>889</v>
      </c>
      <c r="B278" s="779" t="s">
        <v>324</v>
      </c>
      <c r="C278" s="882">
        <v>2021</v>
      </c>
      <c r="D278" s="882" t="s">
        <v>950</v>
      </c>
      <c r="E278" s="914" t="s">
        <v>295</v>
      </c>
      <c r="F278" s="914" t="s">
        <v>295</v>
      </c>
      <c r="G278" s="917" t="s">
        <v>890</v>
      </c>
      <c r="H278" s="254">
        <v>5750</v>
      </c>
      <c r="I278" s="254">
        <v>0</v>
      </c>
      <c r="J278" s="253">
        <v>0</v>
      </c>
      <c r="K278" s="253">
        <v>0</v>
      </c>
      <c r="L278" s="432">
        <v>0</v>
      </c>
      <c r="M278" s="408">
        <v>0</v>
      </c>
      <c r="N278" s="885">
        <v>0</v>
      </c>
      <c r="O278" s="923">
        <v>0</v>
      </c>
      <c r="P278" s="922">
        <v>0</v>
      </c>
      <c r="Q278" s="961">
        <v>0</v>
      </c>
      <c r="R278" s="634">
        <v>5750</v>
      </c>
      <c r="S278" s="254">
        <v>0</v>
      </c>
      <c r="T278" s="307">
        <v>0</v>
      </c>
      <c r="U278" s="659">
        <v>0</v>
      </c>
      <c r="V278" s="307">
        <v>0</v>
      </c>
      <c r="W278" s="254">
        <v>0</v>
      </c>
      <c r="X278" s="254">
        <v>0</v>
      </c>
      <c r="Y278" s="254">
        <v>0</v>
      </c>
      <c r="Z278" s="307">
        <v>0</v>
      </c>
      <c r="AA278" s="559" t="s">
        <v>317</v>
      </c>
      <c r="AB278" s="107" t="s">
        <v>17</v>
      </c>
      <c r="AC278" s="137" t="s">
        <v>406</v>
      </c>
      <c r="AD278" s="992" t="s">
        <v>338</v>
      </c>
      <c r="AE278" s="992" t="s">
        <v>338</v>
      </c>
      <c r="AF278" s="107">
        <v>1</v>
      </c>
    </row>
    <row r="279" spans="1:32" s="944" customFormat="1" ht="25.5" x14ac:dyDescent="0.2">
      <c r="A279" s="771" t="s">
        <v>887</v>
      </c>
      <c r="B279" s="916" t="s">
        <v>324</v>
      </c>
      <c r="C279" s="908">
        <v>2021</v>
      </c>
      <c r="D279" s="908" t="s">
        <v>950</v>
      </c>
      <c r="E279" s="914" t="s">
        <v>233</v>
      </c>
      <c r="F279" s="914" t="s">
        <v>233</v>
      </c>
      <c r="G279" s="25" t="s">
        <v>888</v>
      </c>
      <c r="H279" s="160">
        <v>4273</v>
      </c>
      <c r="I279" s="160">
        <v>0</v>
      </c>
      <c r="J279" s="252">
        <v>0</v>
      </c>
      <c r="K279" s="252">
        <v>0</v>
      </c>
      <c r="L279" s="1144">
        <v>0</v>
      </c>
      <c r="M279" s="707">
        <v>0</v>
      </c>
      <c r="N279" s="912">
        <v>4273</v>
      </c>
      <c r="O279" s="993">
        <v>4273</v>
      </c>
      <c r="P279" s="994">
        <v>0</v>
      </c>
      <c r="Q279" s="962">
        <f t="shared" si="17"/>
        <v>4273</v>
      </c>
      <c r="R279" s="672">
        <v>0</v>
      </c>
      <c r="S279" s="160">
        <v>0</v>
      </c>
      <c r="T279" s="573">
        <v>0</v>
      </c>
      <c r="U279" s="319">
        <v>0</v>
      </c>
      <c r="V279" s="1053">
        <v>0</v>
      </c>
      <c r="W279" s="160">
        <v>0</v>
      </c>
      <c r="X279" s="160">
        <v>0</v>
      </c>
      <c r="Y279" s="160">
        <v>0</v>
      </c>
      <c r="Z279" s="438">
        <v>0</v>
      </c>
      <c r="AA279" s="904" t="s">
        <v>317</v>
      </c>
      <c r="AB279" s="136" t="s">
        <v>12</v>
      </c>
      <c r="AC279" s="137" t="s">
        <v>646</v>
      </c>
      <c r="AD279" s="262" t="s">
        <v>338</v>
      </c>
      <c r="AE279" s="262" t="s">
        <v>338</v>
      </c>
      <c r="AF279" s="136">
        <v>1</v>
      </c>
    </row>
    <row r="280" spans="1:32" s="944" customFormat="1" ht="25.5" x14ac:dyDescent="0.2">
      <c r="A280" s="469" t="s">
        <v>951</v>
      </c>
      <c r="B280" s="1054" t="s">
        <v>324</v>
      </c>
      <c r="C280" s="470">
        <v>2021</v>
      </c>
      <c r="D280" s="470" t="s">
        <v>317</v>
      </c>
      <c r="E280" s="1357" t="s">
        <v>210</v>
      </c>
      <c r="F280" s="1357" t="s">
        <v>210</v>
      </c>
      <c r="G280" s="1055" t="s">
        <v>952</v>
      </c>
      <c r="H280" s="1056">
        <v>5700</v>
      </c>
      <c r="I280" s="1056">
        <v>0</v>
      </c>
      <c r="J280" s="1147">
        <v>0</v>
      </c>
      <c r="K280" s="1147">
        <v>0</v>
      </c>
      <c r="L280" s="1145">
        <v>0</v>
      </c>
      <c r="M280" s="1058">
        <v>2000</v>
      </c>
      <c r="N280" s="1059">
        <v>3700</v>
      </c>
      <c r="O280" s="1060">
        <v>0</v>
      </c>
      <c r="P280" s="1061">
        <v>5700</v>
      </c>
      <c r="Q280" s="1062">
        <f t="shared" si="17"/>
        <v>5700</v>
      </c>
      <c r="R280" s="1057">
        <v>0</v>
      </c>
      <c r="S280" s="1056">
        <v>0</v>
      </c>
      <c r="T280" s="1063">
        <v>0</v>
      </c>
      <c r="U280" s="1064">
        <v>0</v>
      </c>
      <c r="V280" s="1063">
        <v>0</v>
      </c>
      <c r="W280" s="1065">
        <v>0</v>
      </c>
      <c r="X280" s="1056">
        <v>0</v>
      </c>
      <c r="Y280" s="1056">
        <v>0</v>
      </c>
      <c r="Z280" s="1063">
        <v>0</v>
      </c>
      <c r="AA280" s="1066" t="s">
        <v>953</v>
      </c>
      <c r="AB280" s="1067" t="s">
        <v>12</v>
      </c>
      <c r="AC280" s="1068" t="s">
        <v>837</v>
      </c>
      <c r="AD280" s="1069" t="s">
        <v>338</v>
      </c>
      <c r="AE280" s="1069" t="s">
        <v>338</v>
      </c>
      <c r="AF280" s="1070">
        <v>2</v>
      </c>
    </row>
    <row r="281" spans="1:32" s="944" customFormat="1" ht="38.25" x14ac:dyDescent="0.2">
      <c r="A281" s="469" t="s">
        <v>954</v>
      </c>
      <c r="B281" s="1054" t="s">
        <v>324</v>
      </c>
      <c r="C281" s="470">
        <v>2021</v>
      </c>
      <c r="D281" s="470" t="s">
        <v>317</v>
      </c>
      <c r="E281" s="455" t="s">
        <v>403</v>
      </c>
      <c r="F281" s="455" t="s">
        <v>403</v>
      </c>
      <c r="G281" s="1055" t="s">
        <v>955</v>
      </c>
      <c r="H281" s="1056">
        <v>4000</v>
      </c>
      <c r="I281" s="1056">
        <v>0</v>
      </c>
      <c r="J281" s="1147">
        <v>0</v>
      </c>
      <c r="K281" s="1147">
        <v>0</v>
      </c>
      <c r="L281" s="1145">
        <v>0</v>
      </c>
      <c r="M281" s="1058">
        <v>0</v>
      </c>
      <c r="N281" s="1059">
        <v>4000</v>
      </c>
      <c r="O281" s="1060">
        <v>0</v>
      </c>
      <c r="P281" s="1061">
        <v>4000</v>
      </c>
      <c r="Q281" s="1062">
        <f t="shared" si="17"/>
        <v>4000</v>
      </c>
      <c r="R281" s="1057">
        <v>0</v>
      </c>
      <c r="S281" s="1056">
        <v>0</v>
      </c>
      <c r="T281" s="1063">
        <v>0</v>
      </c>
      <c r="U281" s="1064">
        <v>0</v>
      </c>
      <c r="V281" s="1063">
        <v>0</v>
      </c>
      <c r="W281" s="1065">
        <v>0</v>
      </c>
      <c r="X281" s="1056">
        <v>0</v>
      </c>
      <c r="Y281" s="1056">
        <v>0</v>
      </c>
      <c r="Z281" s="1063">
        <v>0</v>
      </c>
      <c r="AA281" s="1066" t="s">
        <v>956</v>
      </c>
      <c r="AB281" s="1070" t="s">
        <v>17</v>
      </c>
      <c r="AC281" s="1071" t="s">
        <v>646</v>
      </c>
      <c r="AD281" s="1072" t="s">
        <v>338</v>
      </c>
      <c r="AE281" s="1072" t="s">
        <v>338</v>
      </c>
      <c r="AF281" s="1070">
        <v>2</v>
      </c>
    </row>
    <row r="282" spans="1:32" s="944" customFormat="1" ht="12.75" x14ac:dyDescent="0.2">
      <c r="A282" s="469" t="s">
        <v>957</v>
      </c>
      <c r="B282" s="1054" t="s">
        <v>324</v>
      </c>
      <c r="C282" s="470">
        <v>2021</v>
      </c>
      <c r="D282" s="470" t="s">
        <v>317</v>
      </c>
      <c r="E282" s="455" t="s">
        <v>403</v>
      </c>
      <c r="F282" s="455" t="s">
        <v>403</v>
      </c>
      <c r="G282" s="1055" t="s">
        <v>958</v>
      </c>
      <c r="H282" s="1056">
        <v>3000</v>
      </c>
      <c r="I282" s="1056">
        <v>0</v>
      </c>
      <c r="J282" s="1147">
        <v>0</v>
      </c>
      <c r="K282" s="1147">
        <v>0</v>
      </c>
      <c r="L282" s="1145">
        <v>0</v>
      </c>
      <c r="M282" s="1058">
        <v>0</v>
      </c>
      <c r="N282" s="1059">
        <v>0</v>
      </c>
      <c r="O282" s="1060">
        <v>0</v>
      </c>
      <c r="P282" s="1061">
        <v>0</v>
      </c>
      <c r="Q282" s="1062">
        <f t="shared" si="17"/>
        <v>0</v>
      </c>
      <c r="R282" s="1057">
        <v>3000</v>
      </c>
      <c r="S282" s="1056">
        <v>0</v>
      </c>
      <c r="T282" s="1063">
        <v>0</v>
      </c>
      <c r="U282" s="1064">
        <v>0</v>
      </c>
      <c r="V282" s="1063">
        <v>0</v>
      </c>
      <c r="W282" s="1065">
        <v>0</v>
      </c>
      <c r="X282" s="1056">
        <v>0</v>
      </c>
      <c r="Y282" s="1056">
        <v>0</v>
      </c>
      <c r="Z282" s="1063">
        <v>0</v>
      </c>
      <c r="AA282" s="1066" t="s">
        <v>959</v>
      </c>
      <c r="AB282" s="1070" t="s">
        <v>17</v>
      </c>
      <c r="AC282" s="1071" t="s">
        <v>616</v>
      </c>
      <c r="AD282" s="1072" t="s">
        <v>338</v>
      </c>
      <c r="AE282" s="1072" t="s">
        <v>338</v>
      </c>
      <c r="AF282" s="1070">
        <v>1</v>
      </c>
    </row>
    <row r="283" spans="1:32" s="944" customFormat="1" ht="12.75" x14ac:dyDescent="0.2">
      <c r="A283" s="469" t="s">
        <v>960</v>
      </c>
      <c r="B283" s="1054" t="s">
        <v>324</v>
      </c>
      <c r="C283" s="470">
        <v>2021</v>
      </c>
      <c r="D283" s="470" t="s">
        <v>317</v>
      </c>
      <c r="E283" s="455" t="s">
        <v>403</v>
      </c>
      <c r="F283" s="455" t="s">
        <v>403</v>
      </c>
      <c r="G283" s="1055" t="s">
        <v>961</v>
      </c>
      <c r="H283" s="1056">
        <v>1000</v>
      </c>
      <c r="I283" s="1056">
        <v>0</v>
      </c>
      <c r="J283" s="1147">
        <v>0</v>
      </c>
      <c r="K283" s="1147">
        <v>0</v>
      </c>
      <c r="L283" s="1145">
        <v>0</v>
      </c>
      <c r="M283" s="1058">
        <v>0</v>
      </c>
      <c r="N283" s="1059">
        <v>0</v>
      </c>
      <c r="O283" s="1060">
        <v>0</v>
      </c>
      <c r="P283" s="1061">
        <v>0</v>
      </c>
      <c r="Q283" s="1062">
        <f t="shared" si="17"/>
        <v>0</v>
      </c>
      <c r="R283" s="1057">
        <v>1000</v>
      </c>
      <c r="S283" s="1056">
        <v>0</v>
      </c>
      <c r="T283" s="1063">
        <v>0</v>
      </c>
      <c r="U283" s="1064">
        <v>0</v>
      </c>
      <c r="V283" s="1063">
        <v>0</v>
      </c>
      <c r="W283" s="1065">
        <v>0</v>
      </c>
      <c r="X283" s="1056">
        <v>0</v>
      </c>
      <c r="Y283" s="1056">
        <v>0</v>
      </c>
      <c r="Z283" s="1063">
        <v>0</v>
      </c>
      <c r="AA283" s="1066" t="s">
        <v>962</v>
      </c>
      <c r="AB283" s="1070" t="s">
        <v>17</v>
      </c>
      <c r="AC283" s="1071" t="s">
        <v>616</v>
      </c>
      <c r="AD283" s="1072" t="s">
        <v>338</v>
      </c>
      <c r="AE283" s="1072" t="s">
        <v>338</v>
      </c>
      <c r="AF283" s="1070">
        <v>1</v>
      </c>
    </row>
    <row r="284" spans="1:32" s="726" customFormat="1" ht="15.75" thickBot="1" x14ac:dyDescent="0.3">
      <c r="A284" s="72" t="s">
        <v>357</v>
      </c>
      <c r="B284" s="72" t="s">
        <v>357</v>
      </c>
      <c r="C284" s="893" t="s">
        <v>357</v>
      </c>
      <c r="D284" s="893" t="s">
        <v>357</v>
      </c>
      <c r="E284" s="1358" t="s">
        <v>357</v>
      </c>
      <c r="F284" s="847" t="s">
        <v>357</v>
      </c>
      <c r="G284" s="949" t="s">
        <v>357</v>
      </c>
      <c r="H284" s="950" t="s">
        <v>357</v>
      </c>
      <c r="I284" s="950" t="s">
        <v>357</v>
      </c>
      <c r="J284" s="1148" t="s">
        <v>357</v>
      </c>
      <c r="K284" s="1148" t="s">
        <v>357</v>
      </c>
      <c r="L284" s="1146" t="s">
        <v>357</v>
      </c>
      <c r="M284" s="442" t="s">
        <v>357</v>
      </c>
      <c r="N284" s="903" t="s">
        <v>357</v>
      </c>
      <c r="O284" s="752" t="s">
        <v>357</v>
      </c>
      <c r="P284" s="947" t="s">
        <v>357</v>
      </c>
      <c r="Q284" s="963" t="s">
        <v>357</v>
      </c>
      <c r="R284" s="951" t="s">
        <v>357</v>
      </c>
      <c r="S284" s="950" t="s">
        <v>357</v>
      </c>
      <c r="T284" s="952" t="s">
        <v>357</v>
      </c>
      <c r="U284" s="953" t="s">
        <v>357</v>
      </c>
      <c r="V284" s="952" t="s">
        <v>357</v>
      </c>
      <c r="W284" s="950" t="s">
        <v>357</v>
      </c>
      <c r="X284" s="954" t="s">
        <v>357</v>
      </c>
      <c r="Y284" s="954" t="s">
        <v>357</v>
      </c>
      <c r="Z284" s="954" t="s">
        <v>357</v>
      </c>
      <c r="AA284" s="955" t="s">
        <v>357</v>
      </c>
      <c r="AB284" s="948" t="s">
        <v>357</v>
      </c>
      <c r="AC284" s="956" t="s">
        <v>357</v>
      </c>
      <c r="AD284" s="956" t="s">
        <v>357</v>
      </c>
      <c r="AE284" s="956" t="s">
        <v>357</v>
      </c>
      <c r="AF284" s="948" t="s">
        <v>357</v>
      </c>
    </row>
    <row r="285" spans="1:32" ht="35.25" customHeight="1" thickBot="1" x14ac:dyDescent="0.3">
      <c r="A285" s="1338" t="s">
        <v>317</v>
      </c>
      <c r="B285" s="1339" t="s">
        <v>317</v>
      </c>
      <c r="C285" s="1340" t="s">
        <v>317</v>
      </c>
      <c r="D285" s="1341" t="s">
        <v>317</v>
      </c>
      <c r="E285" s="1340" t="s">
        <v>317</v>
      </c>
      <c r="F285" s="1340" t="s">
        <v>317</v>
      </c>
      <c r="G285" s="1342" t="s">
        <v>366</v>
      </c>
      <c r="H285" s="1343">
        <f>SUM(H248:H284)</f>
        <v>489389.74053000001</v>
      </c>
      <c r="I285" s="1343">
        <f>SUM(I248:I284)</f>
        <v>16377.320009999999</v>
      </c>
      <c r="J285" s="1343">
        <f t="shared" ref="J285:Z285" si="18">SUM(J248:J284)</f>
        <v>5398.8294900000001</v>
      </c>
      <c r="K285" s="1343">
        <f t="shared" si="18"/>
        <v>9934.7974400000003</v>
      </c>
      <c r="L285" s="1343">
        <f t="shared" si="18"/>
        <v>956.03009999999995</v>
      </c>
      <c r="M285" s="1343">
        <f t="shared" si="18"/>
        <v>25879.75159</v>
      </c>
      <c r="N285" s="1343">
        <f t="shared" si="18"/>
        <v>38176.550000000003</v>
      </c>
      <c r="O285" s="1343">
        <f t="shared" si="18"/>
        <v>85789.928519999987</v>
      </c>
      <c r="P285" s="1343">
        <f t="shared" si="18"/>
        <v>-6400</v>
      </c>
      <c r="Q285" s="1343">
        <f t="shared" si="18"/>
        <v>79389.928519999987</v>
      </c>
      <c r="R285" s="1343">
        <f t="shared" si="18"/>
        <v>171203.26</v>
      </c>
      <c r="S285" s="1343">
        <f t="shared" si="18"/>
        <v>221500</v>
      </c>
      <c r="T285" s="1343">
        <f t="shared" si="18"/>
        <v>0</v>
      </c>
      <c r="U285" s="1343">
        <f t="shared" si="18"/>
        <v>0</v>
      </c>
      <c r="V285" s="1343">
        <f t="shared" si="18"/>
        <v>919.23199999999997</v>
      </c>
      <c r="W285" s="1343">
        <f t="shared" si="18"/>
        <v>255045</v>
      </c>
      <c r="X285" s="1343">
        <f t="shared" si="18"/>
        <v>0</v>
      </c>
      <c r="Y285" s="1343">
        <f t="shared" si="18"/>
        <v>12700</v>
      </c>
      <c r="Z285" s="1343">
        <f t="shared" si="18"/>
        <v>242345</v>
      </c>
      <c r="AA285" s="1344" t="s">
        <v>919</v>
      </c>
      <c r="AB285" s="1341" t="s">
        <v>317</v>
      </c>
      <c r="AC285" s="1345" t="s">
        <v>317</v>
      </c>
      <c r="AD285" s="1346" t="s">
        <v>317</v>
      </c>
      <c r="AE285" s="1347" t="s">
        <v>317</v>
      </c>
      <c r="AF285" s="1347" t="s">
        <v>317</v>
      </c>
    </row>
    <row r="286" spans="1:32" ht="26.25" thickBot="1" x14ac:dyDescent="0.3">
      <c r="A286" s="375" t="s">
        <v>216</v>
      </c>
      <c r="B286" s="395" t="s">
        <v>217</v>
      </c>
      <c r="C286" s="199">
        <v>2018</v>
      </c>
      <c r="D286" s="26" t="s">
        <v>327</v>
      </c>
      <c r="E286" s="197" t="s">
        <v>10</v>
      </c>
      <c r="F286" s="197" t="s">
        <v>10</v>
      </c>
      <c r="G286" s="518" t="s">
        <v>218</v>
      </c>
      <c r="H286" s="73">
        <v>31100</v>
      </c>
      <c r="I286" s="73">
        <v>2335.4862199999998</v>
      </c>
      <c r="J286" s="73">
        <v>0</v>
      </c>
      <c r="K286" s="73">
        <v>1515.6334999999999</v>
      </c>
      <c r="L286" s="73">
        <v>0</v>
      </c>
      <c r="M286" s="176">
        <f>3000+484.3665-0.02992</f>
        <v>3484.3365800000001</v>
      </c>
      <c r="N286" s="1348">
        <v>0</v>
      </c>
      <c r="O286" s="1177">
        <v>4999.9700799999991</v>
      </c>
      <c r="P286" s="664">
        <v>0</v>
      </c>
      <c r="Q286" s="967">
        <f>O286+P286</f>
        <v>4999.9700799999991</v>
      </c>
      <c r="R286" s="389">
        <f>8924.5437+14840</f>
        <v>23764.543700000002</v>
      </c>
      <c r="S286" s="389">
        <v>0</v>
      </c>
      <c r="T286" s="439">
        <v>0</v>
      </c>
      <c r="U286" s="176">
        <v>0</v>
      </c>
      <c r="V286" s="1348">
        <v>0</v>
      </c>
      <c r="W286" s="630">
        <v>0</v>
      </c>
      <c r="X286" s="630">
        <v>0</v>
      </c>
      <c r="Y286" s="630">
        <v>0</v>
      </c>
      <c r="Z286" s="630">
        <v>0</v>
      </c>
      <c r="AA286" s="26" t="s">
        <v>317</v>
      </c>
      <c r="AB286" s="26" t="s">
        <v>12</v>
      </c>
      <c r="AC286" s="519" t="s">
        <v>322</v>
      </c>
      <c r="AD286" s="519" t="s">
        <v>322</v>
      </c>
      <c r="AE286" s="519" t="s">
        <v>322</v>
      </c>
      <c r="AF286" s="519" t="s">
        <v>363</v>
      </c>
    </row>
    <row r="287" spans="1:32" ht="60" x14ac:dyDescent="0.25">
      <c r="A287" s="479" t="s">
        <v>930</v>
      </c>
      <c r="B287" s="509" t="s">
        <v>8</v>
      </c>
      <c r="C287" s="285">
        <v>2016</v>
      </c>
      <c r="D287" s="285" t="s">
        <v>9</v>
      </c>
      <c r="E287" s="1211" t="s">
        <v>10</v>
      </c>
      <c r="F287" s="506" t="s">
        <v>10</v>
      </c>
      <c r="G287" s="551" t="s">
        <v>11</v>
      </c>
      <c r="H287" s="333">
        <f>17500-13246.31528</f>
        <v>4253.6847199999993</v>
      </c>
      <c r="I287" s="333">
        <v>0</v>
      </c>
      <c r="J287" s="333">
        <v>0</v>
      </c>
      <c r="K287" s="333">
        <v>0</v>
      </c>
      <c r="L287" s="421">
        <v>0</v>
      </c>
      <c r="M287" s="1086">
        <v>0</v>
      </c>
      <c r="N287" s="344">
        <v>2253.6847200000002</v>
      </c>
      <c r="O287" s="510">
        <v>0</v>
      </c>
      <c r="P287" s="586">
        <v>2253.6847200000002</v>
      </c>
      <c r="Q287" s="1046">
        <f>O287+P287</f>
        <v>2253.6847200000002</v>
      </c>
      <c r="R287" s="1212">
        <v>2000</v>
      </c>
      <c r="S287" s="586">
        <v>0</v>
      </c>
      <c r="T287" s="347">
        <v>0</v>
      </c>
      <c r="U287" s="458">
        <v>0</v>
      </c>
      <c r="V287" s="347">
        <v>0</v>
      </c>
      <c r="W287" s="586">
        <v>0</v>
      </c>
      <c r="X287" s="510">
        <v>0</v>
      </c>
      <c r="Y287" s="510">
        <v>0</v>
      </c>
      <c r="Z287" s="510">
        <v>0</v>
      </c>
      <c r="AA287" s="340" t="s">
        <v>935</v>
      </c>
      <c r="AB287" s="285" t="s">
        <v>28</v>
      </c>
      <c r="AC287" s="1213" t="s">
        <v>322</v>
      </c>
      <c r="AD287" s="489" t="s">
        <v>339</v>
      </c>
      <c r="AE287" s="489" t="s">
        <v>339</v>
      </c>
      <c r="AF287" s="490" t="s">
        <v>363</v>
      </c>
    </row>
    <row r="288" spans="1:32" ht="25.5" x14ac:dyDescent="0.25">
      <c r="A288" s="476" t="s">
        <v>931</v>
      </c>
      <c r="B288" s="464" t="s">
        <v>318</v>
      </c>
      <c r="C288" s="286">
        <v>2018</v>
      </c>
      <c r="D288" s="286" t="s">
        <v>327</v>
      </c>
      <c r="E288" s="1214" t="s">
        <v>10</v>
      </c>
      <c r="F288" s="342" t="s">
        <v>10</v>
      </c>
      <c r="G288" s="483" t="s">
        <v>14</v>
      </c>
      <c r="H288" s="336">
        <f>25294.97-1980.77</f>
        <v>23314.2</v>
      </c>
      <c r="I288" s="336">
        <v>0</v>
      </c>
      <c r="J288" s="336">
        <v>0</v>
      </c>
      <c r="K288" s="336">
        <v>0</v>
      </c>
      <c r="L288" s="533">
        <v>0</v>
      </c>
      <c r="M288" s="461">
        <v>1610.2</v>
      </c>
      <c r="N288" s="462">
        <v>10204</v>
      </c>
      <c r="O288" s="505">
        <v>0</v>
      </c>
      <c r="P288" s="1099">
        <v>11814.2</v>
      </c>
      <c r="Q288" s="1097">
        <f>O288+P288</f>
        <v>11814.2</v>
      </c>
      <c r="R288" s="1156">
        <v>11500</v>
      </c>
      <c r="S288" s="1099">
        <v>0</v>
      </c>
      <c r="T288" s="334">
        <v>0</v>
      </c>
      <c r="U288" s="461">
        <v>0</v>
      </c>
      <c r="V288" s="334">
        <v>0</v>
      </c>
      <c r="W288" s="1099">
        <v>0</v>
      </c>
      <c r="X288" s="505">
        <v>0</v>
      </c>
      <c r="Y288" s="505">
        <v>0</v>
      </c>
      <c r="Z288" s="505">
        <v>0</v>
      </c>
      <c r="AA288" s="942" t="s">
        <v>936</v>
      </c>
      <c r="AB288" s="286" t="s">
        <v>17</v>
      </c>
      <c r="AC288" s="478" t="s">
        <v>322</v>
      </c>
      <c r="AD288" s="478" t="s">
        <v>339</v>
      </c>
      <c r="AE288" s="478" t="s">
        <v>339</v>
      </c>
      <c r="AF288" s="337" t="s">
        <v>365</v>
      </c>
    </row>
    <row r="289" spans="1:32" s="721" customFormat="1" ht="15.75" thickBot="1" x14ac:dyDescent="0.3">
      <c r="A289" s="115" t="s">
        <v>357</v>
      </c>
      <c r="B289" s="116" t="s">
        <v>357</v>
      </c>
      <c r="C289" s="913" t="s">
        <v>357</v>
      </c>
      <c r="D289" s="913" t="s">
        <v>357</v>
      </c>
      <c r="E289" s="776" t="s">
        <v>357</v>
      </c>
      <c r="F289" s="776" t="s">
        <v>357</v>
      </c>
      <c r="G289" s="265" t="s">
        <v>357</v>
      </c>
      <c r="H289" s="822" t="s">
        <v>357</v>
      </c>
      <c r="I289" s="822" t="s">
        <v>357</v>
      </c>
      <c r="J289" s="440" t="s">
        <v>357</v>
      </c>
      <c r="K289" s="440" t="s">
        <v>357</v>
      </c>
      <c r="L289" s="263" t="s">
        <v>357</v>
      </c>
      <c r="M289" s="443" t="s">
        <v>357</v>
      </c>
      <c r="N289" s="406" t="s">
        <v>357</v>
      </c>
      <c r="O289" s="753" t="s">
        <v>357</v>
      </c>
      <c r="P289" s="747" t="s">
        <v>357</v>
      </c>
      <c r="Q289" s="968" t="s">
        <v>357</v>
      </c>
      <c r="R289" s="531" t="s">
        <v>357</v>
      </c>
      <c r="S289" s="276" t="s">
        <v>357</v>
      </c>
      <c r="T289" s="441" t="s">
        <v>357</v>
      </c>
      <c r="U289" s="443" t="s">
        <v>357</v>
      </c>
      <c r="V289" s="441" t="s">
        <v>357</v>
      </c>
      <c r="W289" s="276" t="s">
        <v>357</v>
      </c>
      <c r="X289" s="406" t="s">
        <v>357</v>
      </c>
      <c r="Y289" s="406" t="s">
        <v>357</v>
      </c>
      <c r="Z289" s="406" t="s">
        <v>357</v>
      </c>
      <c r="AA289" s="406" t="s">
        <v>357</v>
      </c>
      <c r="AB289" s="913" t="s">
        <v>357</v>
      </c>
      <c r="AC289" s="120" t="s">
        <v>357</v>
      </c>
      <c r="AD289" s="120" t="s">
        <v>357</v>
      </c>
      <c r="AE289" s="115" t="s">
        <v>357</v>
      </c>
      <c r="AF289" s="115" t="s">
        <v>357</v>
      </c>
    </row>
    <row r="290" spans="1:32" ht="35.25" customHeight="1" thickBot="1" x14ac:dyDescent="0.3">
      <c r="A290" s="370" t="s">
        <v>317</v>
      </c>
      <c r="B290" s="371" t="s">
        <v>317</v>
      </c>
      <c r="C290" s="79" t="s">
        <v>317</v>
      </c>
      <c r="D290" s="59" t="s">
        <v>317</v>
      </c>
      <c r="E290" s="79" t="s">
        <v>317</v>
      </c>
      <c r="F290" s="79" t="s">
        <v>317</v>
      </c>
      <c r="G290" s="403" t="s">
        <v>923</v>
      </c>
      <c r="H290" s="892">
        <f t="shared" ref="H290:Z290" si="19">SUM(H286:H289)</f>
        <v>58667.884720000002</v>
      </c>
      <c r="I290" s="892">
        <f t="shared" si="19"/>
        <v>2335.4862199999998</v>
      </c>
      <c r="J290" s="892">
        <f t="shared" si="19"/>
        <v>0</v>
      </c>
      <c r="K290" s="892">
        <f t="shared" si="19"/>
        <v>1515.6334999999999</v>
      </c>
      <c r="L290" s="892">
        <f t="shared" si="19"/>
        <v>0</v>
      </c>
      <c r="M290" s="892">
        <f t="shared" si="19"/>
        <v>5094.53658</v>
      </c>
      <c r="N290" s="892">
        <f t="shared" si="19"/>
        <v>12457.684720000001</v>
      </c>
      <c r="O290" s="892">
        <f t="shared" si="19"/>
        <v>4999.9700799999991</v>
      </c>
      <c r="P290" s="892">
        <f t="shared" si="19"/>
        <v>14067.884720000002</v>
      </c>
      <c r="Q290" s="892">
        <f t="shared" si="19"/>
        <v>19067.854800000001</v>
      </c>
      <c r="R290" s="892">
        <f t="shared" si="19"/>
        <v>37264.543700000002</v>
      </c>
      <c r="S290" s="892">
        <f t="shared" si="19"/>
        <v>0</v>
      </c>
      <c r="T290" s="892">
        <f t="shared" si="19"/>
        <v>0</v>
      </c>
      <c r="U290" s="892">
        <f t="shared" si="19"/>
        <v>0</v>
      </c>
      <c r="V290" s="892">
        <f t="shared" si="19"/>
        <v>0</v>
      </c>
      <c r="W290" s="892">
        <f t="shared" si="19"/>
        <v>0</v>
      </c>
      <c r="X290" s="892">
        <f t="shared" si="19"/>
        <v>0</v>
      </c>
      <c r="Y290" s="892">
        <f t="shared" si="19"/>
        <v>0</v>
      </c>
      <c r="Z290" s="892">
        <f t="shared" si="19"/>
        <v>0</v>
      </c>
      <c r="AA290" s="66" t="s">
        <v>964</v>
      </c>
      <c r="AB290" s="936" t="s">
        <v>317</v>
      </c>
      <c r="AC290" s="937" t="s">
        <v>317</v>
      </c>
      <c r="AD290" s="938" t="s">
        <v>317</v>
      </c>
      <c r="AE290" s="180" t="s">
        <v>317</v>
      </c>
      <c r="AF290" s="180" t="s">
        <v>317</v>
      </c>
    </row>
    <row r="291" spans="1:32" ht="26.25" thickBot="1" x14ac:dyDescent="0.3">
      <c r="A291" s="1176" t="s">
        <v>901</v>
      </c>
      <c r="B291" s="863" t="s">
        <v>43</v>
      </c>
      <c r="C291" s="26">
        <v>2017</v>
      </c>
      <c r="D291" s="26" t="s">
        <v>419</v>
      </c>
      <c r="E291" s="26" t="s">
        <v>44</v>
      </c>
      <c r="F291" s="197" t="s">
        <v>44</v>
      </c>
      <c r="G291" s="549" t="s">
        <v>45</v>
      </c>
      <c r="H291" s="73">
        <v>3828.72</v>
      </c>
      <c r="I291" s="562">
        <v>2964.3500000000004</v>
      </c>
      <c r="J291" s="562">
        <v>0</v>
      </c>
      <c r="K291" s="562">
        <v>0</v>
      </c>
      <c r="L291" s="562">
        <v>0</v>
      </c>
      <c r="M291" s="630">
        <v>404.37</v>
      </c>
      <c r="N291" s="630">
        <v>0</v>
      </c>
      <c r="O291" s="1177">
        <v>404.37</v>
      </c>
      <c r="P291" s="664">
        <v>0</v>
      </c>
      <c r="Q291" s="967">
        <f t="shared" ref="Q291:Q295" si="20">O291+P291</f>
        <v>404.37</v>
      </c>
      <c r="R291" s="630">
        <v>460</v>
      </c>
      <c r="S291" s="630">
        <v>0</v>
      </c>
      <c r="T291" s="630">
        <v>0</v>
      </c>
      <c r="U291" s="630">
        <v>0</v>
      </c>
      <c r="V291" s="630">
        <v>0</v>
      </c>
      <c r="W291" s="930">
        <v>0</v>
      </c>
      <c r="X291" s="630">
        <v>0</v>
      </c>
      <c r="Y291" s="930">
        <v>0</v>
      </c>
      <c r="Z291" s="630">
        <v>0</v>
      </c>
      <c r="AA291" s="26" t="s">
        <v>860</v>
      </c>
      <c r="AB291" s="26" t="s">
        <v>28</v>
      </c>
      <c r="AC291" s="519" t="s">
        <v>782</v>
      </c>
      <c r="AD291" s="519" t="s">
        <v>339</v>
      </c>
      <c r="AE291" s="599" t="s">
        <v>339</v>
      </c>
      <c r="AF291" s="519" t="s">
        <v>363</v>
      </c>
    </row>
    <row r="292" spans="1:32" ht="26.25" thickBot="1" x14ac:dyDescent="0.3">
      <c r="A292" s="1176" t="s">
        <v>902</v>
      </c>
      <c r="B292" s="395" t="s">
        <v>324</v>
      </c>
      <c r="C292" s="26">
        <v>2019</v>
      </c>
      <c r="D292" s="26" t="s">
        <v>378</v>
      </c>
      <c r="E292" s="197" t="s">
        <v>44</v>
      </c>
      <c r="F292" s="197" t="s">
        <v>44</v>
      </c>
      <c r="G292" s="549" t="s">
        <v>343</v>
      </c>
      <c r="H292" s="73">
        <v>500</v>
      </c>
      <c r="I292" s="562">
        <v>0</v>
      </c>
      <c r="J292" s="562">
        <v>0</v>
      </c>
      <c r="K292" s="562">
        <v>0</v>
      </c>
      <c r="L292" s="562">
        <v>0</v>
      </c>
      <c r="M292" s="630">
        <v>0</v>
      </c>
      <c r="N292" s="630">
        <v>0</v>
      </c>
      <c r="O292" s="1177">
        <v>0</v>
      </c>
      <c r="P292" s="664">
        <v>0</v>
      </c>
      <c r="Q292" s="967">
        <f t="shared" si="20"/>
        <v>0</v>
      </c>
      <c r="R292" s="630">
        <v>500</v>
      </c>
      <c r="S292" s="630">
        <v>0</v>
      </c>
      <c r="T292" s="630">
        <v>0</v>
      </c>
      <c r="U292" s="630">
        <v>0</v>
      </c>
      <c r="V292" s="630">
        <v>0</v>
      </c>
      <c r="W292" s="930">
        <v>0</v>
      </c>
      <c r="X292" s="630">
        <v>0</v>
      </c>
      <c r="Y292" s="930">
        <v>0</v>
      </c>
      <c r="Z292" s="630">
        <v>0</v>
      </c>
      <c r="AA292" s="26" t="s">
        <v>859</v>
      </c>
      <c r="AB292" s="26" t="s">
        <v>17</v>
      </c>
      <c r="AC292" s="519" t="s">
        <v>601</v>
      </c>
      <c r="AD292" s="519" t="s">
        <v>338</v>
      </c>
      <c r="AE292" s="519" t="s">
        <v>338</v>
      </c>
      <c r="AF292" s="519" t="s">
        <v>365</v>
      </c>
    </row>
    <row r="293" spans="1:32" ht="30" x14ac:dyDescent="0.25">
      <c r="A293" s="1178" t="s">
        <v>1009</v>
      </c>
      <c r="B293" s="521" t="s">
        <v>324</v>
      </c>
      <c r="C293" s="237">
        <v>2021</v>
      </c>
      <c r="D293" s="237" t="s">
        <v>317</v>
      </c>
      <c r="E293" s="523" t="s">
        <v>42</v>
      </c>
      <c r="F293" s="523" t="s">
        <v>42</v>
      </c>
      <c r="G293" s="1131" t="s">
        <v>1010</v>
      </c>
      <c r="H293" s="247">
        <v>309.76</v>
      </c>
      <c r="I293" s="563">
        <v>0</v>
      </c>
      <c r="J293" s="563">
        <v>0</v>
      </c>
      <c r="K293" s="563">
        <v>0</v>
      </c>
      <c r="L293" s="563">
        <v>0</v>
      </c>
      <c r="M293" s="1110">
        <v>309.76</v>
      </c>
      <c r="N293" s="1110">
        <v>0</v>
      </c>
      <c r="O293" s="1110">
        <v>0</v>
      </c>
      <c r="P293" s="1110">
        <v>309.76</v>
      </c>
      <c r="Q293" s="1132">
        <f t="shared" si="20"/>
        <v>309.76</v>
      </c>
      <c r="R293" s="1110">
        <v>0</v>
      </c>
      <c r="S293" s="1110">
        <v>0</v>
      </c>
      <c r="T293" s="1110">
        <v>0</v>
      </c>
      <c r="U293" s="1110">
        <v>0</v>
      </c>
      <c r="V293" s="1110">
        <v>0</v>
      </c>
      <c r="W293" s="1132">
        <v>0</v>
      </c>
      <c r="X293" s="1110">
        <v>0</v>
      </c>
      <c r="Y293" s="1132">
        <v>0</v>
      </c>
      <c r="Z293" s="1110">
        <v>0</v>
      </c>
      <c r="AA293" s="237" t="s">
        <v>1011</v>
      </c>
      <c r="AB293" s="237" t="s">
        <v>28</v>
      </c>
      <c r="AC293" s="546" t="s">
        <v>536</v>
      </c>
      <c r="AD293" s="546" t="s">
        <v>339</v>
      </c>
      <c r="AE293" s="546" t="s">
        <v>339</v>
      </c>
      <c r="AF293" s="546" t="s">
        <v>363</v>
      </c>
    </row>
    <row r="294" spans="1:32" ht="30" x14ac:dyDescent="0.25">
      <c r="A294" s="1179" t="s">
        <v>1012</v>
      </c>
      <c r="B294" s="524" t="s">
        <v>324</v>
      </c>
      <c r="C294" s="238">
        <v>2021</v>
      </c>
      <c r="D294" s="238" t="s">
        <v>317</v>
      </c>
      <c r="E294" s="455" t="s">
        <v>42</v>
      </c>
      <c r="F294" s="455" t="s">
        <v>42</v>
      </c>
      <c r="G294" s="1135" t="s">
        <v>1013</v>
      </c>
      <c r="H294" s="246">
        <v>702.72699999999998</v>
      </c>
      <c r="I294" s="576">
        <v>0</v>
      </c>
      <c r="J294" s="576">
        <v>0</v>
      </c>
      <c r="K294" s="576">
        <v>0</v>
      </c>
      <c r="L294" s="576">
        <v>0</v>
      </c>
      <c r="M294" s="1139">
        <v>0</v>
      </c>
      <c r="N294" s="1139">
        <v>702.72699999999998</v>
      </c>
      <c r="O294" s="1139">
        <v>0</v>
      </c>
      <c r="P294" s="1139">
        <v>702.72699999999998</v>
      </c>
      <c r="Q294" s="1140">
        <f t="shared" si="20"/>
        <v>702.72699999999998</v>
      </c>
      <c r="R294" s="1139">
        <v>0</v>
      </c>
      <c r="S294" s="1139">
        <v>0</v>
      </c>
      <c r="T294" s="1139">
        <v>0</v>
      </c>
      <c r="U294" s="1139">
        <v>0</v>
      </c>
      <c r="V294" s="1139">
        <v>0</v>
      </c>
      <c r="W294" s="1140">
        <v>0</v>
      </c>
      <c r="X294" s="1139">
        <v>0</v>
      </c>
      <c r="Y294" s="1140">
        <v>0</v>
      </c>
      <c r="Z294" s="1139">
        <v>0</v>
      </c>
      <c r="AA294" s="238" t="s">
        <v>1011</v>
      </c>
      <c r="AB294" s="238" t="s">
        <v>28</v>
      </c>
      <c r="AC294" s="411" t="s">
        <v>536</v>
      </c>
      <c r="AD294" s="411" t="s">
        <v>339</v>
      </c>
      <c r="AE294" s="411" t="s">
        <v>339</v>
      </c>
      <c r="AF294" s="411" t="s">
        <v>363</v>
      </c>
    </row>
    <row r="295" spans="1:32" ht="25.5" x14ac:dyDescent="0.25">
      <c r="A295" s="1179" t="s">
        <v>1014</v>
      </c>
      <c r="B295" s="1134" t="s">
        <v>324</v>
      </c>
      <c r="C295" s="238">
        <v>2021</v>
      </c>
      <c r="D295" s="238" t="s">
        <v>317</v>
      </c>
      <c r="E295" s="455" t="s">
        <v>42</v>
      </c>
      <c r="F295" s="455" t="s">
        <v>42</v>
      </c>
      <c r="G295" s="1135" t="s">
        <v>1015</v>
      </c>
      <c r="H295" s="246">
        <v>88</v>
      </c>
      <c r="I295" s="576">
        <v>0</v>
      </c>
      <c r="J295" s="576">
        <v>0</v>
      </c>
      <c r="K295" s="576">
        <v>0</v>
      </c>
      <c r="L295" s="576">
        <v>0</v>
      </c>
      <c r="M295" s="1139">
        <v>0</v>
      </c>
      <c r="N295" s="1139">
        <v>0</v>
      </c>
      <c r="O295" s="1139">
        <v>0</v>
      </c>
      <c r="P295" s="1139">
        <v>0</v>
      </c>
      <c r="Q295" s="1140">
        <f t="shared" si="20"/>
        <v>0</v>
      </c>
      <c r="R295" s="1139">
        <v>88</v>
      </c>
      <c r="S295" s="1139">
        <v>0</v>
      </c>
      <c r="T295" s="1139">
        <v>0</v>
      </c>
      <c r="U295" s="1139">
        <v>0</v>
      </c>
      <c r="V295" s="1139">
        <v>0</v>
      </c>
      <c r="W295" s="1140">
        <v>0</v>
      </c>
      <c r="X295" s="1139">
        <v>0</v>
      </c>
      <c r="Y295" s="1140">
        <v>0</v>
      </c>
      <c r="Z295" s="1139">
        <v>0</v>
      </c>
      <c r="AA295" s="238" t="s">
        <v>1011</v>
      </c>
      <c r="AB295" s="238" t="s">
        <v>28</v>
      </c>
      <c r="AC295" s="411" t="s">
        <v>536</v>
      </c>
      <c r="AD295" s="411" t="s">
        <v>339</v>
      </c>
      <c r="AE295" s="411" t="s">
        <v>339</v>
      </c>
      <c r="AF295" s="411" t="s">
        <v>363</v>
      </c>
    </row>
    <row r="296" spans="1:32" ht="15.75" thickBot="1" x14ac:dyDescent="0.3">
      <c r="A296" s="858" t="s">
        <v>357</v>
      </c>
      <c r="B296" s="116" t="s">
        <v>357</v>
      </c>
      <c r="C296" s="770" t="s">
        <v>357</v>
      </c>
      <c r="D296" s="913" t="s">
        <v>357</v>
      </c>
      <c r="E296" s="776" t="s">
        <v>357</v>
      </c>
      <c r="F296" s="776" t="s">
        <v>357</v>
      </c>
      <c r="G296" s="583" t="s">
        <v>357</v>
      </c>
      <c r="H296" s="822" t="s">
        <v>357</v>
      </c>
      <c r="I296" s="822" t="s">
        <v>357</v>
      </c>
      <c r="J296" s="440" t="s">
        <v>357</v>
      </c>
      <c r="K296" s="440" t="s">
        <v>357</v>
      </c>
      <c r="L296" s="263" t="s">
        <v>357</v>
      </c>
      <c r="M296" s="443" t="s">
        <v>357</v>
      </c>
      <c r="N296" s="406" t="s">
        <v>357</v>
      </c>
      <c r="O296" s="819" t="s">
        <v>357</v>
      </c>
      <c r="P296" s="820" t="s">
        <v>357</v>
      </c>
      <c r="Q296" s="979" t="s">
        <v>357</v>
      </c>
      <c r="R296" s="531" t="s">
        <v>357</v>
      </c>
      <c r="S296" s="276" t="s">
        <v>357</v>
      </c>
      <c r="T296" s="525" t="s">
        <v>357</v>
      </c>
      <c r="U296" s="443" t="s">
        <v>357</v>
      </c>
      <c r="V296" s="441" t="s">
        <v>357</v>
      </c>
      <c r="W296" s="525" t="s">
        <v>357</v>
      </c>
      <c r="X296" s="443" t="s">
        <v>357</v>
      </c>
      <c r="Y296" s="443" t="s">
        <v>357</v>
      </c>
      <c r="Z296" s="406" t="s">
        <v>357</v>
      </c>
      <c r="AA296" s="782" t="s">
        <v>357</v>
      </c>
      <c r="AB296" s="770" t="s">
        <v>357</v>
      </c>
      <c r="AC296" s="372" t="s">
        <v>357</v>
      </c>
      <c r="AD296" s="120" t="s">
        <v>357</v>
      </c>
      <c r="AE296" s="120" t="s">
        <v>357</v>
      </c>
      <c r="AF296" s="115" t="s">
        <v>357</v>
      </c>
    </row>
    <row r="297" spans="1:32" ht="35.25" customHeight="1" thickBot="1" x14ac:dyDescent="0.3">
      <c r="A297" s="370" t="s">
        <v>317</v>
      </c>
      <c r="B297" s="371" t="s">
        <v>317</v>
      </c>
      <c r="C297" s="79" t="s">
        <v>317</v>
      </c>
      <c r="D297" s="59" t="s">
        <v>317</v>
      </c>
      <c r="E297" s="79" t="s">
        <v>317</v>
      </c>
      <c r="F297" s="79" t="s">
        <v>317</v>
      </c>
      <c r="G297" s="404" t="s">
        <v>922</v>
      </c>
      <c r="H297" s="51">
        <f>SUM(H291:H296)</f>
        <v>5429.2069999999994</v>
      </c>
      <c r="I297" s="428">
        <f>SUM(I291:I296)</f>
        <v>2964.3500000000004</v>
      </c>
      <c r="J297" s="428">
        <f>SUM(J291:J296)</f>
        <v>0</v>
      </c>
      <c r="K297" s="428">
        <f>SUM(K291:K296)</f>
        <v>0</v>
      </c>
      <c r="L297" s="428">
        <f>SUM(L291:L296)</f>
        <v>0</v>
      </c>
      <c r="M297" s="428">
        <f t="shared" ref="M297:Z297" si="21">SUM(M291:M296)</f>
        <v>714.13</v>
      </c>
      <c r="N297" s="428">
        <f t="shared" si="21"/>
        <v>702.72699999999998</v>
      </c>
      <c r="O297" s="428">
        <f t="shared" si="21"/>
        <v>404.37</v>
      </c>
      <c r="P297" s="428">
        <f t="shared" si="21"/>
        <v>1012.487</v>
      </c>
      <c r="Q297" s="428">
        <f t="shared" si="21"/>
        <v>1416.857</v>
      </c>
      <c r="R297" s="428">
        <f t="shared" si="21"/>
        <v>1048</v>
      </c>
      <c r="S297" s="428">
        <f t="shared" si="21"/>
        <v>0</v>
      </c>
      <c r="T297" s="428">
        <f t="shared" si="21"/>
        <v>0</v>
      </c>
      <c r="U297" s="428">
        <f t="shared" si="21"/>
        <v>0</v>
      </c>
      <c r="V297" s="428">
        <f t="shared" si="21"/>
        <v>0</v>
      </c>
      <c r="W297" s="428">
        <f t="shared" si="21"/>
        <v>0</v>
      </c>
      <c r="X297" s="428">
        <f t="shared" ref="X297" si="22">SUM(X291:X296)</f>
        <v>0</v>
      </c>
      <c r="Y297" s="428">
        <f t="shared" si="21"/>
        <v>0</v>
      </c>
      <c r="Z297" s="428">
        <f t="shared" si="21"/>
        <v>0</v>
      </c>
      <c r="AA297" s="66" t="s">
        <v>940</v>
      </c>
      <c r="AB297" s="59" t="s">
        <v>317</v>
      </c>
      <c r="AC297" s="932" t="s">
        <v>317</v>
      </c>
      <c r="AD297" s="326" t="s">
        <v>317</v>
      </c>
      <c r="AE297" s="932" t="s">
        <v>317</v>
      </c>
      <c r="AF297" s="179" t="s">
        <v>317</v>
      </c>
    </row>
    <row r="298" spans="1:32" ht="33.75" customHeight="1" thickBot="1" x14ac:dyDescent="0.3">
      <c r="A298" s="1455" t="s">
        <v>219</v>
      </c>
      <c r="B298" s="1456"/>
      <c r="C298" s="1456"/>
      <c r="D298" s="1456"/>
      <c r="E298" s="1456"/>
      <c r="F298" s="1457"/>
      <c r="G298" s="405" t="s">
        <v>228</v>
      </c>
      <c r="H298" s="51">
        <f>SUM(H8+H26+H40+H120+H186+H219+H237+H240+H243+H247+H285+H290+H297)</f>
        <v>7381105.7089708019</v>
      </c>
      <c r="I298" s="51">
        <f>SUM(I8+I26+I40+I120+I186+I219+I237+I240+I243+I247+I285+I290+I297)</f>
        <v>1019122.6038999998</v>
      </c>
      <c r="J298" s="892">
        <f>SUM(J8+J26+J40+J120+J186+J219+J237+J240+J243+J247+J285+J290+J297)</f>
        <v>58991.419850000006</v>
      </c>
      <c r="K298" s="892">
        <f>SUM(K8+K26+K40+K120+K186+K219+K237+K240+K243+K247+K285+K290+K297)</f>
        <v>213268.01489000002</v>
      </c>
      <c r="L298" s="892">
        <f>SUM(L8+L26+L40+L120+L186+L219+L237+L240+L243+L247+L285+L290+L297)</f>
        <v>24161.11506</v>
      </c>
      <c r="M298" s="892">
        <f t="shared" ref="M298:Z298" si="23">SUM(M8+M26+M40+M120+M186+M219+M237+M240+M243+M247+M285+M290+M297)</f>
        <v>440449.95735000004</v>
      </c>
      <c r="N298" s="892">
        <f t="shared" si="23"/>
        <v>602450.99078999995</v>
      </c>
      <c r="O298" s="892">
        <f t="shared" si="23"/>
        <v>1353964.1619800003</v>
      </c>
      <c r="P298" s="892">
        <f t="shared" si="23"/>
        <v>-38803.779099999992</v>
      </c>
      <c r="Q298" s="892">
        <f t="shared" si="23"/>
        <v>1315160.3828800004</v>
      </c>
      <c r="R298" s="892">
        <f t="shared" si="23"/>
        <v>2476016.8071599999</v>
      </c>
      <c r="S298" s="892">
        <f t="shared" si="23"/>
        <v>2401011.4433599999</v>
      </c>
      <c r="T298" s="892">
        <f t="shared" si="23"/>
        <v>15984.728271800001</v>
      </c>
      <c r="U298" s="892">
        <f t="shared" si="23"/>
        <v>95003</v>
      </c>
      <c r="V298" s="892">
        <f t="shared" si="23"/>
        <v>58806.743399999992</v>
      </c>
      <c r="W298" s="892">
        <f t="shared" si="23"/>
        <v>2695654.8381600003</v>
      </c>
      <c r="X298" s="892">
        <f t="shared" ref="X298" si="24">SUM(X8+X26+X40+X120+X186+X219+X237+X240+X243+X247+X285+X290+X297)</f>
        <v>142879.31735999999</v>
      </c>
      <c r="Y298" s="892">
        <f t="shared" si="23"/>
        <v>674256.55833999999</v>
      </c>
      <c r="Z298" s="892">
        <f t="shared" si="23"/>
        <v>2021398.2798200001</v>
      </c>
      <c r="AA298" s="66" t="s">
        <v>1046</v>
      </c>
      <c r="AB298" s="936" t="s">
        <v>317</v>
      </c>
      <c r="AC298" s="937" t="s">
        <v>317</v>
      </c>
      <c r="AD298" s="938" t="s">
        <v>317</v>
      </c>
      <c r="AE298" s="180" t="s">
        <v>317</v>
      </c>
      <c r="AF298" s="180" t="s">
        <v>317</v>
      </c>
    </row>
    <row r="299" spans="1:32" x14ac:dyDescent="0.25">
      <c r="A299" s="83"/>
      <c r="B299" s="47"/>
      <c r="C299" s="28"/>
      <c r="D299" s="27"/>
      <c r="E299" s="875" t="s">
        <v>221</v>
      </c>
      <c r="F299" s="875"/>
      <c r="G299" s="29"/>
      <c r="H299" s="49"/>
      <c r="I299" s="50"/>
      <c r="J299" s="983"/>
      <c r="K299" s="983"/>
      <c r="L299" s="983"/>
      <c r="M299" s="49"/>
      <c r="N299" s="49"/>
      <c r="O299" s="890"/>
      <c r="P299" s="890"/>
      <c r="Q299" s="163"/>
      <c r="R299" s="78"/>
      <c r="S299" s="78"/>
      <c r="T299" s="49"/>
      <c r="U299" s="49"/>
      <c r="V299" s="49"/>
      <c r="W299" s="235"/>
      <c r="X299" s="235"/>
      <c r="Y299" s="235"/>
      <c r="Z299" s="235"/>
      <c r="AA299" s="235"/>
      <c r="AB299" s="27"/>
      <c r="AC299" s="56"/>
      <c r="AD299" s="56"/>
      <c r="AE299" s="56"/>
      <c r="AF299" s="56"/>
    </row>
    <row r="300" spans="1:32" ht="15.75" thickBot="1" x14ac:dyDescent="0.3">
      <c r="A300" s="83"/>
      <c r="B300" s="47"/>
      <c r="C300" s="28"/>
      <c r="D300" s="27"/>
      <c r="E300" s="875"/>
      <c r="F300" s="875"/>
      <c r="G300" s="874"/>
      <c r="H300" s="410"/>
      <c r="I300" s="644"/>
      <c r="J300" s="1151"/>
      <c r="K300" s="1151"/>
      <c r="L300" s="1151"/>
      <c r="M300" s="49"/>
      <c r="N300" s="49"/>
      <c r="O300" s="890"/>
      <c r="P300" s="890"/>
      <c r="Q300" s="163"/>
      <c r="R300" s="78"/>
      <c r="S300" s="78"/>
      <c r="T300" s="49"/>
      <c r="U300" s="49"/>
      <c r="V300" s="49"/>
      <c r="W300" s="78"/>
      <c r="X300" s="78"/>
      <c r="Y300" s="78"/>
      <c r="Z300" s="78"/>
      <c r="AA300" s="235"/>
      <c r="AB300" s="27"/>
      <c r="AC300" s="56"/>
      <c r="AD300" s="56"/>
      <c r="AE300" s="56"/>
      <c r="AF300" s="56"/>
    </row>
    <row r="301" spans="1:32" s="727" customFormat="1" ht="18" x14ac:dyDescent="0.25">
      <c r="A301" s="1460" t="s">
        <v>220</v>
      </c>
      <c r="B301" s="1461"/>
      <c r="C301" s="1462"/>
      <c r="D301" s="1463"/>
      <c r="E301" s="875"/>
      <c r="F301" s="875"/>
      <c r="G301" s="875"/>
      <c r="H301" s="29"/>
      <c r="I301" s="29"/>
      <c r="J301" s="29"/>
      <c r="K301" s="29"/>
      <c r="L301" s="29"/>
      <c r="M301" s="29"/>
      <c r="N301" s="29"/>
      <c r="O301" s="899"/>
      <c r="P301" s="899"/>
      <c r="Q301" s="980"/>
      <c r="R301" s="143"/>
      <c r="S301" s="29"/>
      <c r="T301" s="29"/>
      <c r="U301" s="29"/>
      <c r="V301" s="29"/>
      <c r="W301" s="429"/>
      <c r="X301" s="429"/>
      <c r="Y301" s="429"/>
      <c r="Z301" s="429"/>
      <c r="AA301" s="29"/>
      <c r="AB301" s="56"/>
      <c r="AC301" s="56"/>
      <c r="AD301" s="56"/>
      <c r="AE301" s="56"/>
      <c r="AF301" s="56"/>
    </row>
    <row r="302" spans="1:32" ht="29.25" customHeight="1" x14ac:dyDescent="0.25">
      <c r="A302" s="1449" t="s">
        <v>316</v>
      </c>
      <c r="B302" s="1450"/>
      <c r="C302" s="1451" t="s">
        <v>222</v>
      </c>
      <c r="D302" s="1452"/>
      <c r="E302" s="875"/>
      <c r="F302" s="875"/>
      <c r="G302" s="29"/>
      <c r="I302" s="295"/>
      <c r="J302" s="295"/>
      <c r="K302" s="295"/>
      <c r="L302" s="295"/>
      <c r="M302" s="29"/>
      <c r="N302" s="29"/>
      <c r="O302" s="899"/>
      <c r="P302" s="899"/>
      <c r="Q302" s="981"/>
      <c r="R302" s="29"/>
      <c r="S302" s="29"/>
      <c r="T302" s="29"/>
      <c r="U302" s="29"/>
      <c r="V302" s="29"/>
      <c r="W302" s="429"/>
      <c r="X302" s="429"/>
      <c r="Y302" s="429"/>
      <c r="Z302" s="429"/>
      <c r="AA302" s="29"/>
      <c r="AB302" s="409"/>
      <c r="AC302" s="409"/>
      <c r="AD302" s="409"/>
      <c r="AE302" s="409"/>
      <c r="AF302" s="409"/>
    </row>
    <row r="303" spans="1:32" ht="25.5" customHeight="1" x14ac:dyDescent="0.25">
      <c r="A303" s="1445" t="s">
        <v>223</v>
      </c>
      <c r="B303" s="1446"/>
      <c r="C303" s="1447" t="s">
        <v>289</v>
      </c>
      <c r="D303" s="1448"/>
      <c r="E303" s="875" t="s">
        <v>221</v>
      </c>
      <c r="F303" s="875"/>
      <c r="G303" s="29"/>
      <c r="H303" s="29" t="s">
        <v>221</v>
      </c>
      <c r="I303" s="29"/>
      <c r="J303" s="1152"/>
      <c r="K303" s="1152"/>
      <c r="L303" s="1152"/>
      <c r="M303" s="29"/>
      <c r="N303" s="29"/>
      <c r="O303" s="899"/>
      <c r="P303" s="899"/>
      <c r="Q303" s="981"/>
      <c r="R303" s="29"/>
      <c r="S303" s="29"/>
      <c r="T303" s="29"/>
      <c r="U303" s="29"/>
      <c r="V303" s="29"/>
      <c r="W303" s="429"/>
      <c r="X303" s="429"/>
      <c r="Y303" s="429"/>
      <c r="AA303" s="826"/>
      <c r="AB303" s="56"/>
      <c r="AC303" s="56"/>
      <c r="AD303" s="56"/>
      <c r="AE303" s="56"/>
      <c r="AF303" s="56"/>
    </row>
    <row r="304" spans="1:32" ht="27" customHeight="1" x14ac:dyDescent="0.25">
      <c r="A304" s="1438" t="s">
        <v>224</v>
      </c>
      <c r="B304" s="1439"/>
      <c r="C304" s="1440" t="s">
        <v>225</v>
      </c>
      <c r="D304" s="1441"/>
      <c r="E304" s="875" t="s">
        <v>221</v>
      </c>
      <c r="F304" s="875"/>
      <c r="G304" s="986"/>
      <c r="H304" s="870"/>
      <c r="I304" s="295"/>
      <c r="J304" s="983"/>
      <c r="K304" s="983" t="s">
        <v>221</v>
      </c>
      <c r="L304" s="983"/>
      <c r="M304" s="78"/>
      <c r="N304" s="78"/>
      <c r="O304" s="78" t="s">
        <v>221</v>
      </c>
      <c r="P304" s="78"/>
      <c r="Q304" s="982"/>
      <c r="R304" s="27"/>
      <c r="S304" s="27"/>
      <c r="T304" s="49"/>
      <c r="U304" s="49"/>
      <c r="V304" s="49"/>
      <c r="W304" s="78"/>
      <c r="X304" s="78"/>
      <c r="Y304" s="78"/>
      <c r="Z304" s="78"/>
      <c r="AA304" s="235" t="s">
        <v>221</v>
      </c>
      <c r="AB304" s="56"/>
      <c r="AC304" s="56"/>
      <c r="AD304" s="56"/>
      <c r="AE304" s="56"/>
      <c r="AF304" s="56"/>
    </row>
    <row r="305" spans="1:32" ht="26.25" customHeight="1" x14ac:dyDescent="0.25">
      <c r="A305" s="1442" t="s">
        <v>862</v>
      </c>
      <c r="B305" s="1443"/>
      <c r="C305" s="1443" t="s">
        <v>226</v>
      </c>
      <c r="D305" s="1444"/>
      <c r="E305" s="875"/>
      <c r="F305" s="875"/>
      <c r="G305" s="29" t="s">
        <v>221</v>
      </c>
      <c r="H305" s="49"/>
      <c r="I305" s="50"/>
      <c r="J305" s="983"/>
      <c r="K305" s="983"/>
      <c r="L305" s="983"/>
      <c r="M305" s="50"/>
      <c r="N305" s="50"/>
      <c r="O305" s="891"/>
      <c r="P305" s="891"/>
      <c r="Q305" s="983"/>
      <c r="R305" s="50"/>
      <c r="S305" s="50"/>
      <c r="T305" s="49"/>
      <c r="U305" s="49"/>
      <c r="V305" s="49"/>
      <c r="W305" s="78"/>
      <c r="X305" s="78"/>
      <c r="Y305" s="78"/>
      <c r="Z305" s="78"/>
      <c r="AA305" s="235"/>
      <c r="AB305" s="56"/>
      <c r="AC305" s="56"/>
      <c r="AD305" s="56"/>
      <c r="AE305" s="56"/>
      <c r="AF305" s="56"/>
    </row>
    <row r="306" spans="1:32" ht="66.75" customHeight="1" thickBot="1" x14ac:dyDescent="0.3">
      <c r="A306" s="1435" t="s">
        <v>315</v>
      </c>
      <c r="B306" s="1436"/>
      <c r="C306" s="1436" t="s">
        <v>861</v>
      </c>
      <c r="D306" s="1437"/>
      <c r="E306" s="875"/>
      <c r="F306" s="875"/>
      <c r="G306" s="29"/>
      <c r="H306" s="49"/>
      <c r="I306" s="50"/>
      <c r="J306" s="983"/>
      <c r="K306" s="983"/>
      <c r="L306" s="983"/>
      <c r="M306" s="78"/>
      <c r="N306" s="78"/>
      <c r="O306" s="78"/>
      <c r="P306" s="78"/>
      <c r="Q306" s="982"/>
      <c r="R306" s="27"/>
      <c r="S306" s="27"/>
      <c r="T306" s="49"/>
      <c r="U306" s="49"/>
      <c r="V306" s="49"/>
      <c r="W306" s="78"/>
      <c r="X306" s="78"/>
      <c r="Y306" s="78"/>
      <c r="Z306" s="78"/>
      <c r="AA306" s="235"/>
      <c r="AB306" s="56"/>
      <c r="AC306" s="56"/>
      <c r="AD306" s="56"/>
      <c r="AE306" s="56"/>
      <c r="AF306" s="56"/>
    </row>
    <row r="307" spans="1:32" ht="60.75" customHeight="1" thickBot="1" x14ac:dyDescent="0.3">
      <c r="A307" s="1432" t="s">
        <v>878</v>
      </c>
      <c r="B307" s="1433"/>
      <c r="C307" s="1433"/>
      <c r="D307" s="1434"/>
      <c r="E307" s="875"/>
      <c r="F307" s="875"/>
      <c r="G307" s="29"/>
      <c r="H307" s="49"/>
      <c r="I307" s="50"/>
      <c r="J307" s="983"/>
      <c r="K307" s="983"/>
      <c r="L307" s="983"/>
      <c r="M307" s="78"/>
      <c r="N307" s="78"/>
      <c r="O307" s="78"/>
      <c r="P307" s="78"/>
      <c r="Q307" s="982"/>
      <c r="R307" s="27"/>
      <c r="S307" s="27"/>
      <c r="T307" s="49"/>
      <c r="U307" s="49"/>
      <c r="V307" s="49"/>
      <c r="W307" s="78"/>
      <c r="X307" s="78"/>
      <c r="Y307" s="78"/>
      <c r="Z307" s="78"/>
      <c r="AA307" s="235"/>
      <c r="AB307" s="56"/>
      <c r="AC307" s="56"/>
      <c r="AD307" s="56"/>
      <c r="AE307" s="56"/>
      <c r="AF307" s="56"/>
    </row>
    <row r="308" spans="1:32" ht="39" customHeight="1" thickBot="1" x14ac:dyDescent="0.3">
      <c r="E308" s="1359" t="s">
        <v>925</v>
      </c>
      <c r="F308" s="835"/>
      <c r="G308" s="876"/>
      <c r="H308" s="836" t="s">
        <v>926</v>
      </c>
      <c r="I308" s="957" t="s">
        <v>841</v>
      </c>
      <c r="J308" s="983"/>
      <c r="K308" s="983"/>
      <c r="L308" s="983"/>
    </row>
    <row r="309" spans="1:32" ht="30" customHeight="1" x14ac:dyDescent="0.25">
      <c r="E309" s="1409" t="s">
        <v>864</v>
      </c>
      <c r="F309" s="1410"/>
      <c r="G309" s="1411"/>
      <c r="H309" s="837">
        <v>709500</v>
      </c>
      <c r="I309" s="958">
        <v>500000</v>
      </c>
      <c r="J309" s="983"/>
      <c r="K309" s="983"/>
      <c r="L309" s="983"/>
    </row>
    <row r="310" spans="1:32" ht="30" customHeight="1" x14ac:dyDescent="0.25">
      <c r="E310" s="1406" t="s">
        <v>865</v>
      </c>
      <c r="F310" s="1407"/>
      <c r="G310" s="1408"/>
      <c r="H310" s="838">
        <v>27231</v>
      </c>
      <c r="I310" s="959"/>
      <c r="J310" s="983"/>
      <c r="K310" s="983"/>
      <c r="L310" s="983"/>
    </row>
    <row r="311" spans="1:32" ht="30" customHeight="1" x14ac:dyDescent="0.25">
      <c r="E311" s="1406" t="s">
        <v>866</v>
      </c>
      <c r="F311" s="1407"/>
      <c r="G311" s="1408"/>
      <c r="H311" s="838">
        <v>54600.337030000002</v>
      </c>
      <c r="I311" s="959"/>
      <c r="J311" s="983"/>
      <c r="K311" s="983"/>
      <c r="L311" s="983"/>
    </row>
    <row r="312" spans="1:32" ht="37.5" customHeight="1" x14ac:dyDescent="0.25">
      <c r="E312" s="1406" t="s">
        <v>867</v>
      </c>
      <c r="F312" s="1407"/>
      <c r="G312" s="1408"/>
      <c r="H312" s="838">
        <v>225000</v>
      </c>
      <c r="I312" s="959"/>
      <c r="J312" s="983"/>
      <c r="K312" s="983"/>
      <c r="L312" s="983"/>
    </row>
    <row r="313" spans="1:32" ht="30" customHeight="1" thickBot="1" x14ac:dyDescent="0.3">
      <c r="A313" s="880"/>
      <c r="B313" s="880"/>
      <c r="C313" s="880"/>
      <c r="E313" s="1415" t="s">
        <v>921</v>
      </c>
      <c r="F313" s="1416"/>
      <c r="G313" s="1417"/>
      <c r="H313" s="1220">
        <v>20000</v>
      </c>
      <c r="I313" s="1221"/>
      <c r="J313" s="983"/>
      <c r="K313" s="983"/>
      <c r="L313" s="983"/>
      <c r="M313" s="880"/>
      <c r="N313" s="880"/>
      <c r="R313" s="880"/>
      <c r="S313" s="880"/>
      <c r="T313" s="880"/>
      <c r="U313" s="880"/>
      <c r="V313" s="880"/>
      <c r="AB313" s="880"/>
      <c r="AC313" s="880"/>
      <c r="AD313" s="880"/>
      <c r="AE313" s="880"/>
      <c r="AF313" s="880"/>
    </row>
    <row r="314" spans="1:32" ht="39" customHeight="1" thickBot="1" x14ac:dyDescent="0.3">
      <c r="E314" s="1401" t="s">
        <v>227</v>
      </c>
      <c r="F314" s="1402"/>
      <c r="G314" s="1403"/>
      <c r="H314" s="839">
        <f>SUM(H309:H313)</f>
        <v>1036331.3370300001</v>
      </c>
      <c r="I314" s="1222">
        <f>SUM(I309:I313)</f>
        <v>500000</v>
      </c>
      <c r="J314" s="983"/>
      <c r="K314" s="983"/>
      <c r="L314" s="983"/>
    </row>
    <row r="315" spans="1:32" ht="15.75" thickBot="1" x14ac:dyDescent="0.3">
      <c r="E315" s="1412"/>
      <c r="F315" s="1413"/>
      <c r="G315" s="1413"/>
      <c r="H315" s="1413"/>
      <c r="I315" s="1414"/>
      <c r="J315" s="983"/>
      <c r="K315" s="983"/>
      <c r="L315" s="983"/>
    </row>
    <row r="316" spans="1:32" ht="39" customHeight="1" thickBot="1" x14ac:dyDescent="0.3">
      <c r="E316" s="1401" t="s">
        <v>1008</v>
      </c>
      <c r="F316" s="1402"/>
      <c r="G316" s="1403"/>
      <c r="H316" s="840">
        <f>Q298</f>
        <v>1315160.3828800004</v>
      </c>
      <c r="I316" s="841">
        <f>Y298</f>
        <v>674256.55833999999</v>
      </c>
      <c r="J316" s="983"/>
      <c r="K316" s="983"/>
      <c r="L316" s="983"/>
    </row>
  </sheetData>
  <autoFilter ref="A4:AF299" xr:uid="{00000000-0009-0000-0000-000000000000}"/>
  <mergeCells count="45">
    <mergeCell ref="AF2:AF3"/>
    <mergeCell ref="AD2:AD3"/>
    <mergeCell ref="AB2:AB3"/>
    <mergeCell ref="AE2:AE3"/>
    <mergeCell ref="T2:V2"/>
    <mergeCell ref="AC2:AC3"/>
    <mergeCell ref="A303:B303"/>
    <mergeCell ref="C303:D303"/>
    <mergeCell ref="A302:B302"/>
    <mergeCell ref="C302:D302"/>
    <mergeCell ref="C2:C3"/>
    <mergeCell ref="D2:D3"/>
    <mergeCell ref="A298:F298"/>
    <mergeCell ref="B2:B3"/>
    <mergeCell ref="E2:E3"/>
    <mergeCell ref="A301:D301"/>
    <mergeCell ref="A2:A3"/>
    <mergeCell ref="F2:F3"/>
    <mergeCell ref="A307:D307"/>
    <mergeCell ref="A306:B306"/>
    <mergeCell ref="C306:D306"/>
    <mergeCell ref="A304:B304"/>
    <mergeCell ref="C304:D304"/>
    <mergeCell ref="A305:B305"/>
    <mergeCell ref="C305:D305"/>
    <mergeCell ref="R2:R3"/>
    <mergeCell ref="AA2:AA3"/>
    <mergeCell ref="L2:L3"/>
    <mergeCell ref="I2:I3"/>
    <mergeCell ref="O2:Q2"/>
    <mergeCell ref="M2:N2"/>
    <mergeCell ref="S2:S3"/>
    <mergeCell ref="W2:Z2"/>
    <mergeCell ref="G2:G3"/>
    <mergeCell ref="H2:H3"/>
    <mergeCell ref="E316:G316"/>
    <mergeCell ref="K2:K3"/>
    <mergeCell ref="E312:G312"/>
    <mergeCell ref="E309:G309"/>
    <mergeCell ref="E311:G311"/>
    <mergeCell ref="E315:I315"/>
    <mergeCell ref="E314:G314"/>
    <mergeCell ref="E310:G310"/>
    <mergeCell ref="J2:J3"/>
    <mergeCell ref="E313:G313"/>
  </mergeCells>
  <pageMargins left="0.25" right="0.25" top="0.75" bottom="0.75" header="0.3" footer="0.3"/>
  <pageSetup paperSize="8" scale="43" fitToHeight="0" orientation="landscape" r:id="rId1"/>
  <headerFooter>
    <oddFooter>&amp;L&amp;D&amp;Cstr.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AKTUÁLNÍ ZI zm. č.4</vt:lpstr>
      <vt:lpstr>'AKTUÁLNÍ ZI zm. č.4'!Názvy_tisku</vt:lpstr>
      <vt:lpstr>'AKTUÁLNÍ ZI zm. č.4'!Oblast_tisku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2021-08-19T10:55:59Z</dcterms:modified>
</cp:coreProperties>
</file>