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xr:revisionPtr revIDLastSave="0" documentId="13_ncr:1_{F5265A7E-89FA-4F5F-BAC8-D53E75272845}" xr6:coauthVersionLast="47" xr6:coauthVersionMax="47" xr10:uidLastSave="{00000000-0000-0000-0000-000000000000}"/>
  <bookViews>
    <workbookView xWindow="-120" yWindow="-120" windowWidth="29040" windowHeight="15840" tabRatio="781" firstSheet="2" activeTab="2" xr2:uid="{00000000-000D-0000-FFFF-FFFF00000000}"/>
  </bookViews>
  <sheets>
    <sheet name="ukončené, zrušené 2019" sheetId="9" r:id="rId1"/>
    <sheet name="ukončené, zrušené-vyřazené 2020" sheetId="39" r:id="rId2"/>
    <sheet name="AKTUÁLNÍ ZI" sheetId="41" r:id="rId3"/>
  </sheets>
  <definedNames>
    <definedName name="_xlnm._FilterDatabase" localSheetId="2" hidden="1">'AKTUÁLNÍ ZI'!$A$4:$AH$273</definedName>
    <definedName name="_xlnm._FilterDatabase" localSheetId="0" hidden="1">'ukončené, zrušené 2019'!$A$4:$BA$262</definedName>
    <definedName name="_xlnm._FilterDatabase" localSheetId="1" hidden="1">'ukončené, zrušené-vyřazené 2020'!$A$9:$CJ$253</definedName>
  </definedNames>
  <calcPr calcId="191029"/>
</workbook>
</file>

<file path=xl/calcChain.xml><?xml version="1.0" encoding="utf-8"?>
<calcChain xmlns="http://schemas.openxmlformats.org/spreadsheetml/2006/main">
  <c r="Z90" i="41" l="1"/>
  <c r="Y90" i="41"/>
  <c r="I287" i="41"/>
  <c r="H287" i="41"/>
  <c r="G286" i="41"/>
  <c r="G285" i="41"/>
  <c r="G287" i="41" s="1"/>
  <c r="AA271" i="41"/>
  <c r="Z271" i="41"/>
  <c r="Y271" i="41"/>
  <c r="X271" i="41"/>
  <c r="W271" i="41"/>
  <c r="V271" i="41"/>
  <c r="U271" i="41"/>
  <c r="T271" i="41"/>
  <c r="S271" i="41"/>
  <c r="R271" i="41"/>
  <c r="Q271" i="41"/>
  <c r="O271" i="41"/>
  <c r="N271" i="41"/>
  <c r="M271" i="41"/>
  <c r="L271" i="41"/>
  <c r="K271" i="41"/>
  <c r="J271" i="41"/>
  <c r="I271" i="41"/>
  <c r="H271" i="41"/>
  <c r="G271" i="41"/>
  <c r="P269" i="41"/>
  <c r="P268" i="41"/>
  <c r="P267" i="41"/>
  <c r="P266" i="41"/>
  <c r="P265" i="41"/>
  <c r="P264" i="41"/>
  <c r="P263" i="41"/>
  <c r="P262" i="41"/>
  <c r="AA261" i="41"/>
  <c r="Z261" i="41"/>
  <c r="Y261" i="41"/>
  <c r="X261" i="41"/>
  <c r="W261" i="41"/>
  <c r="V261" i="41"/>
  <c r="U261" i="41"/>
  <c r="T261" i="41"/>
  <c r="S261" i="41"/>
  <c r="R261" i="41"/>
  <c r="Q261" i="41"/>
  <c r="O261" i="41"/>
  <c r="N261" i="41"/>
  <c r="M261" i="41"/>
  <c r="L261" i="41"/>
  <c r="K261" i="41"/>
  <c r="J261" i="41"/>
  <c r="I261" i="41"/>
  <c r="H261" i="41"/>
  <c r="G261" i="41"/>
  <c r="P259" i="41"/>
  <c r="P258" i="41"/>
  <c r="P257" i="41"/>
  <c r="AA256" i="41"/>
  <c r="Z256" i="41"/>
  <c r="Y256" i="41"/>
  <c r="X256" i="41"/>
  <c r="W256" i="41"/>
  <c r="V256" i="41"/>
  <c r="U256" i="41"/>
  <c r="T256" i="41"/>
  <c r="S256" i="41"/>
  <c r="R256" i="41"/>
  <c r="Q256" i="41"/>
  <c r="O256" i="41"/>
  <c r="N256" i="41"/>
  <c r="M256" i="41"/>
  <c r="L256" i="41"/>
  <c r="K256" i="41"/>
  <c r="J256" i="41"/>
  <c r="I256" i="41"/>
  <c r="H256" i="41"/>
  <c r="P254" i="41"/>
  <c r="P253" i="41"/>
  <c r="P252" i="41"/>
  <c r="P251" i="41"/>
  <c r="P250" i="41"/>
  <c r="P249" i="41"/>
  <c r="P248" i="41"/>
  <c r="P247" i="41"/>
  <c r="P246" i="41"/>
  <c r="P245" i="41"/>
  <c r="P244" i="41"/>
  <c r="P243" i="41"/>
  <c r="P242" i="41"/>
  <c r="P241" i="41"/>
  <c r="G241" i="41"/>
  <c r="P240" i="41"/>
  <c r="P239" i="41"/>
  <c r="P238" i="41"/>
  <c r="P237" i="41"/>
  <c r="G237" i="41"/>
  <c r="P236" i="41"/>
  <c r="P235" i="41"/>
  <c r="P234" i="41"/>
  <c r="P233" i="41"/>
  <c r="P232" i="41"/>
  <c r="P231" i="41"/>
  <c r="G231" i="41"/>
  <c r="P230" i="41"/>
  <c r="P229" i="41"/>
  <c r="G229" i="41"/>
  <c r="P228" i="41"/>
  <c r="P227" i="41"/>
  <c r="P226" i="41"/>
  <c r="P225" i="41"/>
  <c r="P224" i="41"/>
  <c r="AA223" i="41"/>
  <c r="Z223" i="41"/>
  <c r="Y223" i="41"/>
  <c r="X223" i="41"/>
  <c r="W223" i="41"/>
  <c r="V223" i="41"/>
  <c r="U223" i="41"/>
  <c r="T223" i="41"/>
  <c r="S223" i="41"/>
  <c r="R223" i="41"/>
  <c r="Q223" i="41"/>
  <c r="O223" i="41"/>
  <c r="N223" i="41"/>
  <c r="M223" i="41"/>
  <c r="L223" i="41"/>
  <c r="K223" i="41"/>
  <c r="J223" i="41"/>
  <c r="I223" i="41"/>
  <c r="H223" i="41"/>
  <c r="G223" i="41"/>
  <c r="P221" i="41"/>
  <c r="P220" i="41"/>
  <c r="AA219" i="41"/>
  <c r="Z219" i="41"/>
  <c r="Y219" i="41"/>
  <c r="X219" i="41"/>
  <c r="W219" i="41"/>
  <c r="V219" i="41"/>
  <c r="U219" i="41"/>
  <c r="T219" i="41"/>
  <c r="S219" i="41"/>
  <c r="R219" i="41"/>
  <c r="Q219" i="41"/>
  <c r="O219" i="41"/>
  <c r="N219" i="41"/>
  <c r="M219" i="41"/>
  <c r="L219" i="41"/>
  <c r="K219" i="41"/>
  <c r="J219" i="41"/>
  <c r="I219" i="41"/>
  <c r="H219" i="41"/>
  <c r="G219" i="41"/>
  <c r="P217" i="41"/>
  <c r="AA216" i="41"/>
  <c r="Z216" i="41"/>
  <c r="Y216" i="41"/>
  <c r="X216" i="41"/>
  <c r="W216" i="41"/>
  <c r="V216" i="41"/>
  <c r="U216" i="41"/>
  <c r="T216" i="41"/>
  <c r="S216" i="41"/>
  <c r="R216" i="41"/>
  <c r="Q216" i="41"/>
  <c r="O216" i="41"/>
  <c r="N216" i="41"/>
  <c r="M216" i="41"/>
  <c r="L216" i="41"/>
  <c r="K216" i="41"/>
  <c r="J216" i="41"/>
  <c r="I216" i="41"/>
  <c r="H216" i="41"/>
  <c r="G216" i="41"/>
  <c r="P214" i="41"/>
  <c r="AA213" i="41"/>
  <c r="Y213" i="41"/>
  <c r="X213" i="41"/>
  <c r="W213" i="41"/>
  <c r="U213" i="41"/>
  <c r="T213" i="41"/>
  <c r="S213" i="41"/>
  <c r="R213" i="41"/>
  <c r="O213" i="41"/>
  <c r="N213" i="41"/>
  <c r="L213" i="41"/>
  <c r="K213" i="41"/>
  <c r="J213" i="41"/>
  <c r="I213" i="41"/>
  <c r="H213" i="41"/>
  <c r="P211" i="41"/>
  <c r="Q210" i="41"/>
  <c r="P210" i="41"/>
  <c r="P209" i="41"/>
  <c r="P208" i="41"/>
  <c r="P207" i="41"/>
  <c r="P206" i="41"/>
  <c r="P205" i="41"/>
  <c r="G205" i="41"/>
  <c r="G213" i="41" s="1"/>
  <c r="P204" i="41"/>
  <c r="Z203" i="41"/>
  <c r="Z213" i="41" s="1"/>
  <c r="P203" i="41"/>
  <c r="M203" i="41"/>
  <c r="M213" i="41" s="1"/>
  <c r="P202" i="41"/>
  <c r="P201" i="41"/>
  <c r="P200" i="41"/>
  <c r="V199" i="41"/>
  <c r="V213" i="41" s="1"/>
  <c r="Q199" i="41"/>
  <c r="P199" i="41"/>
  <c r="AA198" i="41"/>
  <c r="Z198" i="41"/>
  <c r="Y198" i="41"/>
  <c r="X198" i="41"/>
  <c r="W198" i="41"/>
  <c r="V198" i="41"/>
  <c r="U198" i="41"/>
  <c r="T198" i="41"/>
  <c r="S198" i="41"/>
  <c r="R198" i="41"/>
  <c r="Q198" i="41"/>
  <c r="O198" i="41"/>
  <c r="N198" i="41"/>
  <c r="M198" i="41"/>
  <c r="L198" i="41"/>
  <c r="K198" i="41"/>
  <c r="J198" i="41"/>
  <c r="I198" i="41"/>
  <c r="H198" i="41"/>
  <c r="P196" i="41"/>
  <c r="P195" i="41"/>
  <c r="P194" i="41"/>
  <c r="P193" i="41"/>
  <c r="P192" i="41"/>
  <c r="P191" i="41"/>
  <c r="P190" i="41"/>
  <c r="G190" i="41"/>
  <c r="P189" i="41"/>
  <c r="P188" i="41"/>
  <c r="P187" i="41"/>
  <c r="P186" i="41"/>
  <c r="P185" i="41"/>
  <c r="P184" i="41"/>
  <c r="P183" i="41"/>
  <c r="P182" i="41"/>
  <c r="P181" i="41"/>
  <c r="P180" i="41"/>
  <c r="P179" i="41"/>
  <c r="P178" i="41"/>
  <c r="P177" i="41"/>
  <c r="P176" i="41"/>
  <c r="P175" i="41"/>
  <c r="P174" i="41"/>
  <c r="P173" i="41"/>
  <c r="P172" i="41"/>
  <c r="P171" i="41"/>
  <c r="P170" i="41"/>
  <c r="P169" i="41"/>
  <c r="P168" i="41"/>
  <c r="P167" i="41"/>
  <c r="AA166" i="41"/>
  <c r="Z166" i="41"/>
  <c r="Y166" i="41"/>
  <c r="X166" i="41"/>
  <c r="W166" i="41"/>
  <c r="V166" i="41"/>
  <c r="U166" i="41"/>
  <c r="T166" i="41"/>
  <c r="R166" i="41"/>
  <c r="Q166" i="41"/>
  <c r="N166" i="41"/>
  <c r="L166" i="41"/>
  <c r="K166" i="41"/>
  <c r="I166" i="41"/>
  <c r="H166" i="41"/>
  <c r="P164" i="41"/>
  <c r="P163" i="41"/>
  <c r="P162" i="41"/>
  <c r="P161" i="41"/>
  <c r="P160" i="41"/>
  <c r="P159" i="41"/>
  <c r="P158" i="41"/>
  <c r="O157" i="41"/>
  <c r="O166" i="41" s="1"/>
  <c r="P156" i="41"/>
  <c r="P155" i="41"/>
  <c r="P154" i="41"/>
  <c r="P153" i="41"/>
  <c r="P152" i="41"/>
  <c r="P151" i="41"/>
  <c r="P150" i="41"/>
  <c r="P149" i="41"/>
  <c r="P148" i="41"/>
  <c r="P147" i="41"/>
  <c r="P146" i="41"/>
  <c r="S145" i="41"/>
  <c r="P145" i="41"/>
  <c r="G145" i="41"/>
  <c r="P144" i="41"/>
  <c r="P143" i="41"/>
  <c r="G143" i="41"/>
  <c r="P142" i="41"/>
  <c r="P141" i="41"/>
  <c r="P140" i="41"/>
  <c r="P139" i="41"/>
  <c r="P138" i="41"/>
  <c r="P137" i="41"/>
  <c r="P136" i="41"/>
  <c r="P135" i="41"/>
  <c r="G135" i="41"/>
  <c r="P134" i="41"/>
  <c r="P133" i="41"/>
  <c r="P132" i="41"/>
  <c r="P131" i="41"/>
  <c r="P130" i="41"/>
  <c r="P129" i="41"/>
  <c r="P128" i="41"/>
  <c r="P127" i="41"/>
  <c r="P126" i="41"/>
  <c r="P125" i="41"/>
  <c r="P124" i="41"/>
  <c r="P123" i="41"/>
  <c r="J123" i="41"/>
  <c r="J166" i="41" s="1"/>
  <c r="P122" i="41"/>
  <c r="P121" i="41"/>
  <c r="P120" i="41"/>
  <c r="P119" i="41"/>
  <c r="P117" i="41"/>
  <c r="P116" i="41"/>
  <c r="P115" i="41"/>
  <c r="P114" i="41"/>
  <c r="G114" i="41"/>
  <c r="P113" i="41"/>
  <c r="M113" i="41"/>
  <c r="M166" i="41" s="1"/>
  <c r="P112" i="41"/>
  <c r="P111" i="41"/>
  <c r="P110" i="41"/>
  <c r="P109" i="41"/>
  <c r="P108" i="41"/>
  <c r="G108" i="41"/>
  <c r="P107" i="41"/>
  <c r="P106" i="41"/>
  <c r="G106" i="41"/>
  <c r="P105" i="41"/>
  <c r="AA104" i="41"/>
  <c r="Z104" i="41"/>
  <c r="Y104" i="41"/>
  <c r="X104" i="41"/>
  <c r="W104" i="41"/>
  <c r="U104" i="41"/>
  <c r="T104" i="41"/>
  <c r="S104" i="41"/>
  <c r="R104" i="41"/>
  <c r="N104" i="41"/>
  <c r="J104" i="41"/>
  <c r="I104" i="41"/>
  <c r="H104" i="41"/>
  <c r="P102" i="41"/>
  <c r="O101" i="41"/>
  <c r="P101" i="41" s="1"/>
  <c r="M101" i="41"/>
  <c r="M104" i="41" s="1"/>
  <c r="P100" i="41"/>
  <c r="P99" i="41"/>
  <c r="P98" i="41"/>
  <c r="P97" i="41"/>
  <c r="P96" i="41"/>
  <c r="P95" i="41"/>
  <c r="P94" i="41"/>
  <c r="P93" i="41"/>
  <c r="P92" i="41"/>
  <c r="P91" i="41"/>
  <c r="V90" i="41"/>
  <c r="V104" i="41" s="1"/>
  <c r="Q90" i="41"/>
  <c r="O90" i="41"/>
  <c r="P90" i="41" s="1"/>
  <c r="G90" i="41"/>
  <c r="P89" i="41"/>
  <c r="P88" i="41"/>
  <c r="P87" i="41"/>
  <c r="P86" i="41"/>
  <c r="P85" i="41"/>
  <c r="P84" i="41"/>
  <c r="P83" i="41"/>
  <c r="G83" i="41"/>
  <c r="P82" i="41"/>
  <c r="P81" i="41"/>
  <c r="P80" i="41"/>
  <c r="P79" i="41"/>
  <c r="P78" i="41"/>
  <c r="P77" i="41"/>
  <c r="P76" i="41"/>
  <c r="P75" i="41"/>
  <c r="G75" i="41"/>
  <c r="P74" i="41"/>
  <c r="P73" i="41"/>
  <c r="P72" i="41"/>
  <c r="Q71" i="41"/>
  <c r="O71" i="41"/>
  <c r="P71" i="41" s="1"/>
  <c r="P70" i="41"/>
  <c r="P69" i="41"/>
  <c r="P68" i="41"/>
  <c r="P67" i="41"/>
  <c r="P66" i="41"/>
  <c r="P65" i="41"/>
  <c r="P64" i="41"/>
  <c r="P63" i="41"/>
  <c r="O62" i="41"/>
  <c r="P62" i="41" s="1"/>
  <c r="P61" i="41"/>
  <c r="O60" i="41"/>
  <c r="P60" i="41" s="1"/>
  <c r="P59" i="41"/>
  <c r="G59" i="41"/>
  <c r="P58" i="41"/>
  <c r="G58" i="41"/>
  <c r="P57" i="41"/>
  <c r="G57" i="41"/>
  <c r="P56" i="41"/>
  <c r="P55" i="41"/>
  <c r="G55" i="41"/>
  <c r="P54" i="41"/>
  <c r="P53" i="41"/>
  <c r="P52" i="41"/>
  <c r="P51" i="41"/>
  <c r="P50" i="41"/>
  <c r="P49" i="41"/>
  <c r="K49" i="41"/>
  <c r="K104" i="41" s="1"/>
  <c r="P48" i="41"/>
  <c r="O47" i="41"/>
  <c r="P47" i="41" s="1"/>
  <c r="G47" i="41"/>
  <c r="P46" i="41"/>
  <c r="G46" i="41"/>
  <c r="P45" i="41"/>
  <c r="P44" i="41"/>
  <c r="P43" i="41"/>
  <c r="O42" i="41"/>
  <c r="P42" i="41" s="1"/>
  <c r="G42" i="41"/>
  <c r="O41" i="41"/>
  <c r="G41" i="41"/>
  <c r="P40" i="41"/>
  <c r="P39" i="41"/>
  <c r="L39" i="41"/>
  <c r="P38" i="41"/>
  <c r="P37" i="41"/>
  <c r="P36" i="41"/>
  <c r="P35" i="41"/>
  <c r="G35" i="41"/>
  <c r="P34" i="41"/>
  <c r="G34" i="41"/>
  <c r="AA33" i="41"/>
  <c r="Z33" i="41"/>
  <c r="Y33" i="41"/>
  <c r="X33" i="41"/>
  <c r="W33" i="41"/>
  <c r="V33" i="41"/>
  <c r="U33" i="41"/>
  <c r="T33" i="41"/>
  <c r="S33" i="41"/>
  <c r="R33" i="41"/>
  <c r="Q33" i="41"/>
  <c r="N33" i="41"/>
  <c r="L33" i="41"/>
  <c r="K33" i="41"/>
  <c r="I33" i="41"/>
  <c r="H33" i="41"/>
  <c r="P31" i="41"/>
  <c r="P30" i="41"/>
  <c r="G30" i="41"/>
  <c r="P29" i="41"/>
  <c r="G29" i="41"/>
  <c r="P28" i="41"/>
  <c r="G28" i="41"/>
  <c r="P27" i="41"/>
  <c r="G27" i="41"/>
  <c r="P26" i="41"/>
  <c r="G26" i="41"/>
  <c r="P25" i="41"/>
  <c r="G25" i="41"/>
  <c r="P24" i="41"/>
  <c r="M24" i="41"/>
  <c r="M33" i="41" s="1"/>
  <c r="O23" i="41"/>
  <c r="P23" i="41" s="1"/>
  <c r="J23" i="41"/>
  <c r="J33" i="41" s="1"/>
  <c r="G23" i="41"/>
  <c r="P22" i="41"/>
  <c r="G22" i="41"/>
  <c r="AA21" i="41"/>
  <c r="Z21" i="41"/>
  <c r="Y21" i="41"/>
  <c r="X21" i="41"/>
  <c r="W21" i="41"/>
  <c r="V21" i="41"/>
  <c r="U21" i="41"/>
  <c r="T21" i="41"/>
  <c r="S21" i="41"/>
  <c r="R21" i="41"/>
  <c r="Q21" i="41"/>
  <c r="O21" i="41"/>
  <c r="N21" i="41"/>
  <c r="M21" i="41"/>
  <c r="K21" i="41"/>
  <c r="J21" i="41"/>
  <c r="I21" i="41"/>
  <c r="H21" i="41"/>
  <c r="P19" i="41"/>
  <c r="P18" i="41"/>
  <c r="P17" i="41"/>
  <c r="P16" i="41"/>
  <c r="P15" i="41"/>
  <c r="L15" i="41"/>
  <c r="L21" i="41" s="1"/>
  <c r="G15" i="41"/>
  <c r="P14" i="41"/>
  <c r="P13" i="41"/>
  <c r="G13" i="41"/>
  <c r="P12" i="41"/>
  <c r="G12" i="41"/>
  <c r="P11" i="41"/>
  <c r="P10" i="41"/>
  <c r="P9" i="41"/>
  <c r="P8" i="41"/>
  <c r="P7" i="41"/>
  <c r="G7" i="41"/>
  <c r="P6" i="41"/>
  <c r="G6" i="41"/>
  <c r="P5" i="41"/>
  <c r="P157" i="41" l="1"/>
  <c r="P166" i="41" s="1"/>
  <c r="Q104" i="41"/>
  <c r="Q213" i="41"/>
  <c r="Q272" i="41" s="1"/>
  <c r="Y272" i="41"/>
  <c r="I289" i="41" s="1"/>
  <c r="M272" i="41"/>
  <c r="T272" i="41"/>
  <c r="L104" i="41"/>
  <c r="L272" i="41" s="1"/>
  <c r="G198" i="41"/>
  <c r="U272" i="41"/>
  <c r="G256" i="41"/>
  <c r="P261" i="41"/>
  <c r="G21" i="41"/>
  <c r="I272" i="41"/>
  <c r="X272" i="41"/>
  <c r="O33" i="41"/>
  <c r="K272" i="41"/>
  <c r="AA272" i="41"/>
  <c r="G33" i="41"/>
  <c r="S166" i="41"/>
  <c r="S272" i="41" s="1"/>
  <c r="W272" i="41"/>
  <c r="P213" i="41"/>
  <c r="H272" i="41"/>
  <c r="P21" i="41"/>
  <c r="P33" i="41"/>
  <c r="G166" i="41"/>
  <c r="P216" i="41"/>
  <c r="P223" i="41"/>
  <c r="P271" i="41"/>
  <c r="O104" i="41"/>
  <c r="J272" i="41"/>
  <c r="N272" i="41"/>
  <c r="R272" i="41"/>
  <c r="V272" i="41"/>
  <c r="Z272" i="41"/>
  <c r="G104" i="41"/>
  <c r="P41" i="41"/>
  <c r="P198" i="41"/>
  <c r="P256" i="41"/>
  <c r="P219" i="41"/>
  <c r="O272" i="41" l="1"/>
  <c r="P104" i="41"/>
  <c r="P272" i="41" s="1"/>
  <c r="G272" i="41"/>
  <c r="G289" i="41" l="1"/>
  <c r="H289" i="41" s="1"/>
  <c r="BS240" i="39" l="1"/>
  <c r="AN240" i="39"/>
  <c r="T240" i="39"/>
  <c r="AL240" i="39" s="1"/>
  <c r="BS215" i="39"/>
  <c r="AN215" i="39"/>
  <c r="T215" i="39"/>
  <c r="AK215" i="39" s="1"/>
  <c r="N215" i="39"/>
  <c r="BS207" i="39"/>
  <c r="BS209" i="39" s="1"/>
  <c r="AN207" i="39"/>
  <c r="T207" i="39"/>
  <c r="AL207" i="39" s="1"/>
  <c r="BS153" i="39"/>
  <c r="AN153" i="39"/>
  <c r="T153" i="39"/>
  <c r="AM153" i="39" s="1"/>
  <c r="BS151" i="39"/>
  <c r="AN151" i="39"/>
  <c r="T151" i="39"/>
  <c r="AK151" i="39" s="1"/>
  <c r="AN148" i="39"/>
  <c r="T148" i="39"/>
  <c r="AM148" i="39" s="1"/>
  <c r="AN147" i="39"/>
  <c r="T147" i="39"/>
  <c r="AK147" i="39" s="1"/>
  <c r="BS136" i="39"/>
  <c r="AN136" i="39"/>
  <c r="T136" i="39"/>
  <c r="BS128" i="39"/>
  <c r="AN128" i="39"/>
  <c r="T128" i="39"/>
  <c r="AL128" i="39" s="1"/>
  <c r="BS94" i="39"/>
  <c r="AN94" i="39"/>
  <c r="S94" i="39"/>
  <c r="T94" i="39"/>
  <c r="AM94" i="39" s="1"/>
  <c r="BS70" i="39"/>
  <c r="AN70" i="39"/>
  <c r="T70" i="39"/>
  <c r="N70" i="39"/>
  <c r="BS69" i="39"/>
  <c r="AN69" i="39"/>
  <c r="T69" i="39"/>
  <c r="AK69" i="39" s="1"/>
  <c r="N69" i="39"/>
  <c r="AM69" i="39" s="1"/>
  <c r="BS68" i="39"/>
  <c r="AN68" i="39"/>
  <c r="S68" i="39"/>
  <c r="T68" i="39" s="1"/>
  <c r="N68" i="39"/>
  <c r="CG32" i="39"/>
  <c r="CG102" i="39"/>
  <c r="BS32" i="39"/>
  <c r="AN32" i="39"/>
  <c r="T32" i="39"/>
  <c r="N32" i="39"/>
  <c r="H32" i="39"/>
  <c r="T14" i="39"/>
  <c r="T16" i="39" s="1"/>
  <c r="AN14" i="39"/>
  <c r="BS14" i="39"/>
  <c r="BS16" i="39" s="1"/>
  <c r="BT247" i="39"/>
  <c r="BM247" i="39"/>
  <c r="BM249" i="39" s="1"/>
  <c r="T247" i="39"/>
  <c r="AM247" i="39" s="1"/>
  <c r="BT246" i="39"/>
  <c r="T246" i="39"/>
  <c r="AM246" i="39" s="1"/>
  <c r="BT234" i="39"/>
  <c r="T234" i="39"/>
  <c r="AM234" i="39" s="1"/>
  <c r="BT217" i="39"/>
  <c r="T217" i="39"/>
  <c r="BT183" i="39"/>
  <c r="T183" i="39"/>
  <c r="AK183" i="39" s="1"/>
  <c r="CJ181" i="39"/>
  <c r="BS181" i="39"/>
  <c r="BT181" i="39" s="1"/>
  <c r="T181" i="39"/>
  <c r="BS172" i="39"/>
  <c r="BT172" i="39" s="1"/>
  <c r="BM172" i="39"/>
  <c r="T172" i="39"/>
  <c r="AK172" i="39" s="1"/>
  <c r="BT164" i="39"/>
  <c r="T164" i="39"/>
  <c r="AK164" i="39" s="1"/>
  <c r="BS160" i="39"/>
  <c r="BT160" i="39" s="1"/>
  <c r="T160" i="39"/>
  <c r="AL160" i="39" s="1"/>
  <c r="BT157" i="39"/>
  <c r="BM157" i="39"/>
  <c r="T157" i="39"/>
  <c r="AK157" i="39" s="1"/>
  <c r="BT152" i="39"/>
  <c r="T152" i="39"/>
  <c r="AK152" i="39" s="1"/>
  <c r="BT146" i="39"/>
  <c r="T146" i="39"/>
  <c r="AM146" i="39" s="1"/>
  <c r="BT135" i="39"/>
  <c r="T135" i="39"/>
  <c r="AK135" i="39" s="1"/>
  <c r="BT127" i="39"/>
  <c r="T127" i="39"/>
  <c r="BT126" i="39"/>
  <c r="T126" i="39"/>
  <c r="AK126" i="39" s="1"/>
  <c r="BT95" i="39"/>
  <c r="T95" i="39"/>
  <c r="AM95" i="39" s="1"/>
  <c r="H95" i="39"/>
  <c r="BT80" i="39"/>
  <c r="T80" i="39"/>
  <c r="AL80" i="39" s="1"/>
  <c r="BT76" i="39"/>
  <c r="BM76" i="39"/>
  <c r="BM102" i="39" s="1"/>
  <c r="T76" i="39"/>
  <c r="AM76" i="39" s="1"/>
  <c r="BT41" i="39"/>
  <c r="T41" i="39"/>
  <c r="H41" i="39"/>
  <c r="AK41" i="39" s="1"/>
  <c r="J20" i="39"/>
  <c r="I20" i="39" s="1"/>
  <c r="J21" i="39"/>
  <c r="I21" i="39" s="1"/>
  <c r="J22" i="39"/>
  <c r="I22" i="39" s="1"/>
  <c r="J23" i="39"/>
  <c r="I23" i="39" s="1"/>
  <c r="K23" i="39" s="1"/>
  <c r="L23" i="39" s="1"/>
  <c r="J24" i="39"/>
  <c r="I24" i="39" s="1"/>
  <c r="K24" i="39" s="1"/>
  <c r="L24" i="39" s="1"/>
  <c r="J26" i="39"/>
  <c r="I26" i="39" s="1"/>
  <c r="K26" i="39" s="1"/>
  <c r="L26" i="39" s="1"/>
  <c r="J27" i="39"/>
  <c r="I27" i="39" s="1"/>
  <c r="J28" i="39"/>
  <c r="I28" i="39" s="1"/>
  <c r="J29" i="39"/>
  <c r="I29" i="39" s="1"/>
  <c r="K29" i="39" s="1"/>
  <c r="L29" i="39" s="1"/>
  <c r="J30" i="39"/>
  <c r="I30" i="39" s="1"/>
  <c r="J31" i="39"/>
  <c r="I31" i="39" s="1"/>
  <c r="K31" i="39" s="1"/>
  <c r="L31" i="39" s="1"/>
  <c r="J33" i="39"/>
  <c r="I33" i="39" s="1"/>
  <c r="J34" i="39"/>
  <c r="I34" i="39" s="1"/>
  <c r="K34" i="39" s="1"/>
  <c r="L34" i="39" s="1"/>
  <c r="J35" i="39"/>
  <c r="J36" i="39"/>
  <c r="I36" i="39" s="1"/>
  <c r="J37" i="39"/>
  <c r="J38" i="39"/>
  <c r="I38" i="39" s="1"/>
  <c r="J39" i="39"/>
  <c r="I39" i="39" s="1"/>
  <c r="J40" i="39"/>
  <c r="I40" i="39" s="1"/>
  <c r="J42" i="39"/>
  <c r="I42" i="39" s="1"/>
  <c r="J43" i="39"/>
  <c r="J44" i="39"/>
  <c r="I44" i="39" s="1"/>
  <c r="K44" i="39" s="1"/>
  <c r="L44" i="39" s="1"/>
  <c r="J45" i="39"/>
  <c r="I45" i="39" s="1"/>
  <c r="K45" i="39" s="1"/>
  <c r="L45" i="39" s="1"/>
  <c r="J46" i="39"/>
  <c r="I46" i="39" s="1"/>
  <c r="K46" i="39" s="1"/>
  <c r="L46" i="39" s="1"/>
  <c r="J47" i="39"/>
  <c r="I47" i="39" s="1"/>
  <c r="K47" i="39" s="1"/>
  <c r="L47" i="39" s="1"/>
  <c r="J48" i="39"/>
  <c r="I48" i="39" s="1"/>
  <c r="K48" i="39" s="1"/>
  <c r="L48" i="39" s="1"/>
  <c r="J49" i="39"/>
  <c r="J50" i="39"/>
  <c r="I50" i="39" s="1"/>
  <c r="J51" i="39"/>
  <c r="I51" i="39" s="1"/>
  <c r="J52" i="39"/>
  <c r="I52" i="39" s="1"/>
  <c r="K52" i="39" s="1"/>
  <c r="L52" i="39" s="1"/>
  <c r="J53" i="39"/>
  <c r="I53" i="39" s="1"/>
  <c r="J54" i="39"/>
  <c r="I54" i="39" s="1"/>
  <c r="J55" i="39"/>
  <c r="I55" i="39" s="1"/>
  <c r="K55" i="39" s="1"/>
  <c r="L55" i="39" s="1"/>
  <c r="J56" i="39"/>
  <c r="I56" i="39" s="1"/>
  <c r="J57" i="39"/>
  <c r="J58" i="39"/>
  <c r="J59" i="39"/>
  <c r="I59" i="39" s="1"/>
  <c r="K59" i="39" s="1"/>
  <c r="L59" i="39" s="1"/>
  <c r="J60" i="39"/>
  <c r="I60" i="39" s="1"/>
  <c r="J61" i="39"/>
  <c r="I61" i="39" s="1"/>
  <c r="J62" i="39"/>
  <c r="I62" i="39" s="1"/>
  <c r="K62" i="39" s="1"/>
  <c r="L62" i="39" s="1"/>
  <c r="J63" i="39"/>
  <c r="I63" i="39" s="1"/>
  <c r="K63" i="39" s="1"/>
  <c r="L63" i="39" s="1"/>
  <c r="J64" i="39"/>
  <c r="J65" i="39"/>
  <c r="I65" i="39" s="1"/>
  <c r="K65" i="39" s="1"/>
  <c r="L65" i="39" s="1"/>
  <c r="J66" i="39"/>
  <c r="I66" i="39" s="1"/>
  <c r="K66" i="39" s="1"/>
  <c r="L66" i="39" s="1"/>
  <c r="J67" i="39"/>
  <c r="J71" i="39"/>
  <c r="I71" i="39" s="1"/>
  <c r="J72" i="39"/>
  <c r="I72" i="39" s="1"/>
  <c r="J73" i="39"/>
  <c r="I73" i="39" s="1"/>
  <c r="K73" i="39" s="1"/>
  <c r="L73" i="39" s="1"/>
  <c r="J74" i="39"/>
  <c r="I74" i="39" s="1"/>
  <c r="K74" i="39" s="1"/>
  <c r="L74" i="39" s="1"/>
  <c r="J75" i="39"/>
  <c r="I75" i="39" s="1"/>
  <c r="K75" i="39" s="1"/>
  <c r="L75" i="39" s="1"/>
  <c r="J77" i="39"/>
  <c r="I77" i="39" s="1"/>
  <c r="K77" i="39" s="1"/>
  <c r="L77" i="39" s="1"/>
  <c r="J78" i="39"/>
  <c r="I78" i="39" s="1"/>
  <c r="J79" i="39"/>
  <c r="I79" i="39" s="1"/>
  <c r="J81" i="39"/>
  <c r="J82" i="39"/>
  <c r="J83" i="39"/>
  <c r="I83" i="39" s="1"/>
  <c r="K83" i="39" s="1"/>
  <c r="L83" i="39" s="1"/>
  <c r="J84" i="39"/>
  <c r="I84" i="39" s="1"/>
  <c r="K84" i="39" s="1"/>
  <c r="L84" i="39" s="1"/>
  <c r="J85" i="39"/>
  <c r="I85" i="39" s="1"/>
  <c r="K85" i="39" s="1"/>
  <c r="L85" i="39" s="1"/>
  <c r="J86" i="39"/>
  <c r="J87" i="39"/>
  <c r="J88" i="39"/>
  <c r="I88" i="39" s="1"/>
  <c r="K88" i="39" s="1"/>
  <c r="L88" i="39" s="1"/>
  <c r="J89" i="39"/>
  <c r="I89" i="39" s="1"/>
  <c r="K89" i="39" s="1"/>
  <c r="L89" i="39" s="1"/>
  <c r="J90" i="39"/>
  <c r="I90" i="39" s="1"/>
  <c r="J91" i="39"/>
  <c r="I91" i="39" s="1"/>
  <c r="K91" i="39" s="1"/>
  <c r="L91" i="39" s="1"/>
  <c r="J92" i="39"/>
  <c r="I92" i="39" s="1"/>
  <c r="J93" i="39"/>
  <c r="J96" i="39"/>
  <c r="I96" i="39" s="1"/>
  <c r="J97" i="39"/>
  <c r="I97" i="39" s="1"/>
  <c r="K97" i="39" s="1"/>
  <c r="L97" i="39" s="1"/>
  <c r="J98" i="39"/>
  <c r="I98" i="39" s="1"/>
  <c r="K98" i="39" s="1"/>
  <c r="L98" i="39" s="1"/>
  <c r="J99" i="39"/>
  <c r="I99" i="39" s="1"/>
  <c r="K99" i="39" s="1"/>
  <c r="L99" i="39" s="1"/>
  <c r="J100" i="39"/>
  <c r="I100" i="39" s="1"/>
  <c r="K100" i="39" s="1"/>
  <c r="L100" i="39" s="1"/>
  <c r="J101" i="39"/>
  <c r="I101" i="39" s="1"/>
  <c r="K101" i="39" s="1"/>
  <c r="L101" i="39" s="1"/>
  <c r="J103" i="39"/>
  <c r="I103" i="39" s="1"/>
  <c r="J104" i="39"/>
  <c r="I104" i="39" s="1"/>
  <c r="K104" i="39" s="1"/>
  <c r="L104" i="39" s="1"/>
  <c r="J105" i="39"/>
  <c r="I105" i="39" s="1"/>
  <c r="K105" i="39" s="1"/>
  <c r="L105" i="39" s="1"/>
  <c r="J106" i="39"/>
  <c r="I106" i="39" s="1"/>
  <c r="K106" i="39" s="1"/>
  <c r="L106" i="39" s="1"/>
  <c r="J107" i="39"/>
  <c r="I107" i="39" s="1"/>
  <c r="J108" i="39"/>
  <c r="I108" i="39" s="1"/>
  <c r="K108" i="39" s="1"/>
  <c r="L108" i="39" s="1"/>
  <c r="J109" i="39"/>
  <c r="I109" i="39" s="1"/>
  <c r="J110" i="39"/>
  <c r="J111" i="39"/>
  <c r="J112" i="39"/>
  <c r="I112" i="39" s="1"/>
  <c r="J113" i="39"/>
  <c r="I113" i="39" s="1"/>
  <c r="J114" i="39"/>
  <c r="I114" i="39" s="1"/>
  <c r="K114" i="39" s="1"/>
  <c r="L114" i="39" s="1"/>
  <c r="J115" i="39"/>
  <c r="I115" i="39" s="1"/>
  <c r="K115" i="39" s="1"/>
  <c r="L115" i="39" s="1"/>
  <c r="J116" i="39"/>
  <c r="I116" i="39" s="1"/>
  <c r="J117" i="39"/>
  <c r="I117" i="39" s="1"/>
  <c r="K117" i="39" s="1"/>
  <c r="L117" i="39" s="1"/>
  <c r="J118" i="39"/>
  <c r="I118" i="39" s="1"/>
  <c r="J119" i="39"/>
  <c r="I119" i="39" s="1"/>
  <c r="K119" i="39" s="1"/>
  <c r="L119" i="39" s="1"/>
  <c r="J120" i="39"/>
  <c r="I120" i="39" s="1"/>
  <c r="K120" i="39" s="1"/>
  <c r="L120" i="39" s="1"/>
  <c r="J121" i="39"/>
  <c r="J122" i="39"/>
  <c r="I122" i="39" s="1"/>
  <c r="K122" i="39" s="1"/>
  <c r="L122" i="39" s="1"/>
  <c r="J123" i="39"/>
  <c r="I123" i="39" s="1"/>
  <c r="K123" i="39" s="1"/>
  <c r="L123" i="39" s="1"/>
  <c r="J124" i="39"/>
  <c r="J125" i="39"/>
  <c r="I125" i="39" s="1"/>
  <c r="K125" i="39" s="1"/>
  <c r="L125" i="39" s="1"/>
  <c r="J129" i="39"/>
  <c r="I129" i="39" s="1"/>
  <c r="J130" i="39"/>
  <c r="I130" i="39" s="1"/>
  <c r="J131" i="39"/>
  <c r="I131" i="39" s="1"/>
  <c r="K131" i="39" s="1"/>
  <c r="L131" i="39" s="1"/>
  <c r="J132" i="39"/>
  <c r="I132" i="39" s="1"/>
  <c r="J133" i="39"/>
  <c r="I133" i="39" s="1"/>
  <c r="K133" i="39" s="1"/>
  <c r="L133" i="39" s="1"/>
  <c r="J134" i="39"/>
  <c r="I134" i="39" s="1"/>
  <c r="J137" i="39"/>
  <c r="I137" i="39" s="1"/>
  <c r="K137" i="39" s="1"/>
  <c r="L137" i="39" s="1"/>
  <c r="J138" i="39"/>
  <c r="I138" i="39" s="1"/>
  <c r="K138" i="39" s="1"/>
  <c r="L138" i="39" s="1"/>
  <c r="J139" i="39"/>
  <c r="I139" i="39" s="1"/>
  <c r="J140" i="39"/>
  <c r="I140" i="39" s="1"/>
  <c r="J141" i="39"/>
  <c r="I141" i="39" s="1"/>
  <c r="J142" i="39"/>
  <c r="I142" i="39" s="1"/>
  <c r="K142" i="39" s="1"/>
  <c r="L142" i="39" s="1"/>
  <c r="J143" i="39"/>
  <c r="I143" i="39" s="1"/>
  <c r="K143" i="39" s="1"/>
  <c r="L143" i="39" s="1"/>
  <c r="J144" i="39"/>
  <c r="I144" i="39" s="1"/>
  <c r="J145" i="39"/>
  <c r="J149" i="39"/>
  <c r="I149" i="39" s="1"/>
  <c r="K149" i="39" s="1"/>
  <c r="L149" i="39" s="1"/>
  <c r="J154" i="39"/>
  <c r="I154" i="39" s="1"/>
  <c r="J155" i="39"/>
  <c r="I155" i="39" s="1"/>
  <c r="J156" i="39"/>
  <c r="I156" i="39" s="1"/>
  <c r="J158" i="39"/>
  <c r="I158" i="39" s="1"/>
  <c r="K158" i="39" s="1"/>
  <c r="L158" i="39" s="1"/>
  <c r="J159" i="39"/>
  <c r="I159" i="39" s="1"/>
  <c r="K159" i="39" s="1"/>
  <c r="L159" i="39" s="1"/>
  <c r="J161" i="39"/>
  <c r="I161" i="39" s="1"/>
  <c r="K161" i="39" s="1"/>
  <c r="L161" i="39" s="1"/>
  <c r="J162" i="39"/>
  <c r="J163" i="39"/>
  <c r="I163" i="39" s="1"/>
  <c r="K163" i="39" s="1"/>
  <c r="L163" i="39" s="1"/>
  <c r="J165" i="39"/>
  <c r="I165" i="39" s="1"/>
  <c r="K165" i="39" s="1"/>
  <c r="L165" i="39" s="1"/>
  <c r="J166" i="39"/>
  <c r="I166" i="39" s="1"/>
  <c r="K166" i="39" s="1"/>
  <c r="L166" i="39" s="1"/>
  <c r="J167" i="39"/>
  <c r="I167" i="39" s="1"/>
  <c r="J168" i="39"/>
  <c r="J169" i="39"/>
  <c r="I169" i="39" s="1"/>
  <c r="K169" i="39" s="1"/>
  <c r="L169" i="39" s="1"/>
  <c r="J170" i="39"/>
  <c r="I170" i="39" s="1"/>
  <c r="K170" i="39" s="1"/>
  <c r="L170" i="39" s="1"/>
  <c r="J171" i="39"/>
  <c r="I171" i="39" s="1"/>
  <c r="K171" i="39" s="1"/>
  <c r="L171" i="39" s="1"/>
  <c r="J173" i="39"/>
  <c r="I173" i="39" s="1"/>
  <c r="K173" i="39" s="1"/>
  <c r="L173" i="39" s="1"/>
  <c r="J174" i="39"/>
  <c r="I174" i="39" s="1"/>
  <c r="J175" i="39"/>
  <c r="I175" i="39" s="1"/>
  <c r="K175" i="39" s="1"/>
  <c r="L175" i="39" s="1"/>
  <c r="J177" i="39"/>
  <c r="I177" i="39" s="1"/>
  <c r="K177" i="39" s="1"/>
  <c r="L177" i="39" s="1"/>
  <c r="J178" i="39"/>
  <c r="J179" i="39"/>
  <c r="I179" i="39" s="1"/>
  <c r="J180" i="39"/>
  <c r="I180" i="39" s="1"/>
  <c r="J182" i="39"/>
  <c r="J184" i="39"/>
  <c r="I184" i="39" s="1"/>
  <c r="J185" i="39"/>
  <c r="I185" i="39" s="1"/>
  <c r="K185" i="39" s="1"/>
  <c r="L185" i="39" s="1"/>
  <c r="J186" i="39"/>
  <c r="J187" i="39"/>
  <c r="I187" i="39" s="1"/>
  <c r="J188" i="39"/>
  <c r="J189" i="39"/>
  <c r="I189" i="39" s="1"/>
  <c r="J190" i="39"/>
  <c r="I190" i="39" s="1"/>
  <c r="J191" i="39"/>
  <c r="I191" i="39" s="1"/>
  <c r="J192" i="39"/>
  <c r="J193" i="39"/>
  <c r="I193" i="39" s="1"/>
  <c r="J194" i="39"/>
  <c r="I194" i="39" s="1"/>
  <c r="J195" i="39"/>
  <c r="I195" i="39" s="1"/>
  <c r="J196" i="39"/>
  <c r="J197" i="39"/>
  <c r="I197" i="39" s="1"/>
  <c r="J198" i="39"/>
  <c r="I198" i="39" s="1"/>
  <c r="J199" i="39"/>
  <c r="I199" i="39" s="1"/>
  <c r="J201" i="39"/>
  <c r="J202" i="39"/>
  <c r="I202" i="39" s="1"/>
  <c r="K202" i="39" s="1"/>
  <c r="L202" i="39" s="1"/>
  <c r="J204" i="39"/>
  <c r="I204" i="39" s="1"/>
  <c r="J205" i="39"/>
  <c r="I205" i="39" s="1"/>
  <c r="J208" i="39"/>
  <c r="I208" i="39" s="1"/>
  <c r="K208" i="39" s="1"/>
  <c r="L208" i="39" s="1"/>
  <c r="J210" i="39"/>
  <c r="I210" i="39" s="1"/>
  <c r="J211" i="39"/>
  <c r="I211" i="39" s="1"/>
  <c r="K211" i="39" s="1"/>
  <c r="L211" i="39" s="1"/>
  <c r="J212" i="39"/>
  <c r="I212" i="39" s="1"/>
  <c r="J213" i="39"/>
  <c r="I213" i="39" s="1"/>
  <c r="J214" i="39"/>
  <c r="I214" i="39" s="1"/>
  <c r="K214" i="39" s="1"/>
  <c r="L214" i="39" s="1"/>
  <c r="J216" i="39"/>
  <c r="I216" i="39" s="1"/>
  <c r="K216" i="39" s="1"/>
  <c r="L216" i="39" s="1"/>
  <c r="J218" i="39"/>
  <c r="I218" i="39" s="1"/>
  <c r="J219" i="39"/>
  <c r="I219" i="39" s="1"/>
  <c r="J220" i="39"/>
  <c r="J221" i="39"/>
  <c r="I221" i="39" s="1"/>
  <c r="K221" i="39" s="1"/>
  <c r="L221" i="39" s="1"/>
  <c r="J222" i="39"/>
  <c r="I222" i="39" s="1"/>
  <c r="J223" i="39"/>
  <c r="I223" i="39" s="1"/>
  <c r="K223" i="39" s="1"/>
  <c r="L223" i="39" s="1"/>
  <c r="J224" i="39"/>
  <c r="I224" i="39" s="1"/>
  <c r="J225" i="39"/>
  <c r="I225" i="39" s="1"/>
  <c r="J226" i="39"/>
  <c r="I226" i="39" s="1"/>
  <c r="J227" i="39"/>
  <c r="I227" i="39" s="1"/>
  <c r="K227" i="39" s="1"/>
  <c r="L227" i="39" s="1"/>
  <c r="J228" i="39"/>
  <c r="J229" i="39"/>
  <c r="I229" i="39" s="1"/>
  <c r="K229" i="39" s="1"/>
  <c r="L229" i="39" s="1"/>
  <c r="J230" i="39"/>
  <c r="I230" i="39" s="1"/>
  <c r="K230" i="39" s="1"/>
  <c r="L230" i="39" s="1"/>
  <c r="J231" i="39"/>
  <c r="I231" i="39" s="1"/>
  <c r="K231" i="39" s="1"/>
  <c r="L231" i="39" s="1"/>
  <c r="J232" i="39"/>
  <c r="I232" i="39" s="1"/>
  <c r="K232" i="39" s="1"/>
  <c r="L232" i="39" s="1"/>
  <c r="J233" i="39"/>
  <c r="I233" i="39" s="1"/>
  <c r="K233" i="39" s="1"/>
  <c r="L233" i="39" s="1"/>
  <c r="J235" i="39"/>
  <c r="I235" i="39" s="1"/>
  <c r="K235" i="39" s="1"/>
  <c r="L235" i="39" s="1"/>
  <c r="J236" i="39"/>
  <c r="I236" i="39" s="1"/>
  <c r="K236" i="39" s="1"/>
  <c r="L236" i="39" s="1"/>
  <c r="J237" i="39"/>
  <c r="I237" i="39" s="1"/>
  <c r="K237" i="39" s="1"/>
  <c r="L237" i="39" s="1"/>
  <c r="J238" i="39"/>
  <c r="J239" i="39"/>
  <c r="I239" i="39" s="1"/>
  <c r="K239" i="39" s="1"/>
  <c r="L239" i="39" s="1"/>
  <c r="J241" i="39"/>
  <c r="I241" i="39" s="1"/>
  <c r="J242" i="39"/>
  <c r="I242" i="39" s="1"/>
  <c r="K242" i="39" s="1"/>
  <c r="L242" i="39" s="1"/>
  <c r="J243" i="39"/>
  <c r="I243" i="39" s="1"/>
  <c r="K243" i="39" s="1"/>
  <c r="L243" i="39" s="1"/>
  <c r="J244" i="39"/>
  <c r="I244" i="39" s="1"/>
  <c r="J245" i="39"/>
  <c r="K245" i="39" s="1"/>
  <c r="L245" i="39" s="1"/>
  <c r="J248" i="39"/>
  <c r="K248" i="39" s="1"/>
  <c r="L248" i="39" s="1"/>
  <c r="J250" i="39"/>
  <c r="K250" i="39" s="1"/>
  <c r="L250" i="39" s="1"/>
  <c r="J251" i="39"/>
  <c r="K251" i="39" s="1"/>
  <c r="L251" i="39" s="1"/>
  <c r="J11" i="39"/>
  <c r="J13" i="39"/>
  <c r="I13" i="39" s="1"/>
  <c r="J15" i="39"/>
  <c r="J17" i="39"/>
  <c r="J18" i="39"/>
  <c r="I18" i="39" s="1"/>
  <c r="J19" i="39"/>
  <c r="I19" i="39" s="1"/>
  <c r="J10" i="39"/>
  <c r="BO12" i="39"/>
  <c r="BP12" i="39"/>
  <c r="BQ12" i="39"/>
  <c r="BR12" i="39"/>
  <c r="BS12" i="39"/>
  <c r="BT12" i="39"/>
  <c r="BU12" i="39"/>
  <c r="BV12" i="39"/>
  <c r="BW12" i="39"/>
  <c r="BX12" i="39"/>
  <c r="BY12" i="39"/>
  <c r="BZ12" i="39"/>
  <c r="CA12" i="39"/>
  <c r="CB12" i="39"/>
  <c r="CC12" i="39"/>
  <c r="CD12" i="39"/>
  <c r="CE12" i="39"/>
  <c r="CF12" i="39"/>
  <c r="CG12" i="39"/>
  <c r="CH12" i="39"/>
  <c r="CI12" i="39"/>
  <c r="CJ12" i="39"/>
  <c r="BO16" i="39"/>
  <c r="BP16" i="39"/>
  <c r="BQ16" i="39"/>
  <c r="BR16" i="39"/>
  <c r="BT16" i="39"/>
  <c r="BU16" i="39"/>
  <c r="BV16" i="39"/>
  <c r="BW16" i="39"/>
  <c r="BX16" i="39"/>
  <c r="BY16" i="39"/>
  <c r="BZ16" i="39"/>
  <c r="CA16" i="39"/>
  <c r="CB16" i="39"/>
  <c r="CC16" i="39"/>
  <c r="CD16" i="39"/>
  <c r="CE16" i="39"/>
  <c r="CF16" i="39"/>
  <c r="CG16" i="39"/>
  <c r="CH16" i="39"/>
  <c r="CI16" i="39"/>
  <c r="CJ16" i="39"/>
  <c r="BO25" i="39"/>
  <c r="BP25" i="39"/>
  <c r="BQ25" i="39"/>
  <c r="BR25" i="39"/>
  <c r="BS25" i="39"/>
  <c r="BT25" i="39"/>
  <c r="BU25" i="39"/>
  <c r="BV25" i="39"/>
  <c r="BW25" i="39"/>
  <c r="BX25" i="39"/>
  <c r="BY25" i="39"/>
  <c r="BZ25" i="39"/>
  <c r="CA25" i="39"/>
  <c r="CB25" i="39"/>
  <c r="CC25" i="39"/>
  <c r="CD25" i="39"/>
  <c r="CE25" i="39"/>
  <c r="CF25" i="39"/>
  <c r="CG25" i="39"/>
  <c r="CH25" i="39"/>
  <c r="CI25" i="39"/>
  <c r="CJ25" i="39"/>
  <c r="BO102" i="39"/>
  <c r="BP102" i="39"/>
  <c r="BQ102" i="39"/>
  <c r="BR102" i="39"/>
  <c r="BU102" i="39"/>
  <c r="BV102" i="39"/>
  <c r="BW102" i="39"/>
  <c r="BX102" i="39"/>
  <c r="BY102" i="39"/>
  <c r="BZ102" i="39"/>
  <c r="CA102" i="39"/>
  <c r="CB102" i="39"/>
  <c r="CC102" i="39"/>
  <c r="CD102" i="39"/>
  <c r="CE102" i="39"/>
  <c r="CF102" i="39"/>
  <c r="CH102" i="39"/>
  <c r="CI102" i="39"/>
  <c r="CJ102" i="39"/>
  <c r="BO150" i="39"/>
  <c r="BP150" i="39"/>
  <c r="BQ150" i="39"/>
  <c r="BR150" i="39"/>
  <c r="BU150" i="39"/>
  <c r="BV150" i="39"/>
  <c r="BW150" i="39"/>
  <c r="BX150" i="39"/>
  <c r="BY150" i="39"/>
  <c r="BZ150" i="39"/>
  <c r="CA150" i="39"/>
  <c r="CB150" i="39"/>
  <c r="CC150" i="39"/>
  <c r="CD150" i="39"/>
  <c r="CE150" i="39"/>
  <c r="CF150" i="39"/>
  <c r="CG150" i="39"/>
  <c r="CH150" i="39"/>
  <c r="CI150" i="39"/>
  <c r="CJ150" i="39"/>
  <c r="BO176" i="39"/>
  <c r="BP176" i="39"/>
  <c r="BQ176" i="39"/>
  <c r="BR176" i="39"/>
  <c r="BU176" i="39"/>
  <c r="BV176" i="39"/>
  <c r="BW176" i="39"/>
  <c r="BX176" i="39"/>
  <c r="BY176" i="39"/>
  <c r="BZ176" i="39"/>
  <c r="CA176" i="39"/>
  <c r="CB176" i="39"/>
  <c r="CC176" i="39"/>
  <c r="CD176" i="39"/>
  <c r="CE176" i="39"/>
  <c r="CF176" i="39"/>
  <c r="CG176" i="39"/>
  <c r="CH176" i="39"/>
  <c r="CI176" i="39"/>
  <c r="CJ176" i="39"/>
  <c r="BO200" i="39"/>
  <c r="BP200" i="39"/>
  <c r="BQ200" i="39"/>
  <c r="BR200" i="39"/>
  <c r="BU200" i="39"/>
  <c r="BV200" i="39"/>
  <c r="BW200" i="39"/>
  <c r="BX200" i="39"/>
  <c r="BY200" i="39"/>
  <c r="BZ200" i="39"/>
  <c r="CA200" i="39"/>
  <c r="CB200" i="39"/>
  <c r="CC200" i="39"/>
  <c r="CD200" i="39"/>
  <c r="CE200" i="39"/>
  <c r="CF200" i="39"/>
  <c r="CG200" i="39"/>
  <c r="CH200" i="39"/>
  <c r="CI200" i="39"/>
  <c r="BO203" i="39"/>
  <c r="BP203" i="39"/>
  <c r="BQ203" i="39"/>
  <c r="BR203" i="39"/>
  <c r="BS203" i="39"/>
  <c r="BT203" i="39"/>
  <c r="BU203" i="39"/>
  <c r="BV203" i="39"/>
  <c r="BW203" i="39"/>
  <c r="BX203" i="39"/>
  <c r="BY203" i="39"/>
  <c r="BZ203" i="39"/>
  <c r="CA203" i="39"/>
  <c r="CB203" i="39"/>
  <c r="CC203" i="39"/>
  <c r="CD203" i="39"/>
  <c r="CE203" i="39"/>
  <c r="CF203" i="39"/>
  <c r="CG203" i="39"/>
  <c r="CH203" i="39"/>
  <c r="CI203" i="39"/>
  <c r="BO206" i="39"/>
  <c r="BP206" i="39"/>
  <c r="BQ206" i="39"/>
  <c r="BR206" i="39"/>
  <c r="BS206" i="39"/>
  <c r="BT206" i="39"/>
  <c r="BU206" i="39"/>
  <c r="BV206" i="39"/>
  <c r="BW206" i="39"/>
  <c r="BX206" i="39"/>
  <c r="BY206" i="39"/>
  <c r="BZ206" i="39"/>
  <c r="CA206" i="39"/>
  <c r="CB206" i="39"/>
  <c r="CC206" i="39"/>
  <c r="CD206" i="39"/>
  <c r="CE206" i="39"/>
  <c r="CF206" i="39"/>
  <c r="CG206" i="39"/>
  <c r="CH206" i="39"/>
  <c r="CI206" i="39"/>
  <c r="CJ206" i="39"/>
  <c r="BO209" i="39"/>
  <c r="BP209" i="39"/>
  <c r="BQ209" i="39"/>
  <c r="BR209" i="39"/>
  <c r="BT209" i="39"/>
  <c r="BU209" i="39"/>
  <c r="BV209" i="39"/>
  <c r="BW209" i="39"/>
  <c r="BX209" i="39"/>
  <c r="BY209" i="39"/>
  <c r="BZ209" i="39"/>
  <c r="CA209" i="39"/>
  <c r="CB209" i="39"/>
  <c r="CC209" i="39"/>
  <c r="CD209" i="39"/>
  <c r="CE209" i="39"/>
  <c r="CF209" i="39"/>
  <c r="CG209" i="39"/>
  <c r="CH209" i="39"/>
  <c r="CI209" i="39"/>
  <c r="CJ209" i="39"/>
  <c r="BO249" i="39"/>
  <c r="BP249" i="39"/>
  <c r="BQ249" i="39"/>
  <c r="BR249" i="39"/>
  <c r="BU249" i="39"/>
  <c r="BV249" i="39"/>
  <c r="BW249" i="39"/>
  <c r="BX249" i="39"/>
  <c r="BY249" i="39"/>
  <c r="BZ249" i="39"/>
  <c r="CA249" i="39"/>
  <c r="CB249" i="39"/>
  <c r="CC249" i="39"/>
  <c r="CD249" i="39"/>
  <c r="CE249" i="39"/>
  <c r="CF249" i="39"/>
  <c r="CG249" i="39"/>
  <c r="CH249" i="39"/>
  <c r="CI249" i="39"/>
  <c r="CJ249" i="39"/>
  <c r="BO252" i="39"/>
  <c r="BP252" i="39"/>
  <c r="BQ252" i="39"/>
  <c r="BR252" i="39"/>
  <c r="BS252" i="39"/>
  <c r="BT252" i="39"/>
  <c r="BU252" i="39"/>
  <c r="BV252" i="39"/>
  <c r="BW252" i="39"/>
  <c r="BX252" i="39"/>
  <c r="BY252" i="39"/>
  <c r="BZ252" i="39"/>
  <c r="CA252" i="39"/>
  <c r="CB252" i="39"/>
  <c r="CC252" i="39"/>
  <c r="CD252" i="39"/>
  <c r="CE252" i="39"/>
  <c r="CF252" i="39"/>
  <c r="CG252" i="39"/>
  <c r="CH252" i="39"/>
  <c r="CI252" i="39"/>
  <c r="CJ252" i="39"/>
  <c r="BT245" i="39"/>
  <c r="T245" i="39"/>
  <c r="AK245" i="39" s="1"/>
  <c r="BL252" i="39"/>
  <c r="BN252" i="39"/>
  <c r="BM252" i="39"/>
  <c r="N252" i="39"/>
  <c r="O252" i="39"/>
  <c r="P252" i="39"/>
  <c r="Q252" i="39"/>
  <c r="R252" i="39"/>
  <c r="S252" i="39"/>
  <c r="T252" i="39"/>
  <c r="AA252" i="39"/>
  <c r="AB252" i="39"/>
  <c r="Y252" i="39"/>
  <c r="Z252" i="39"/>
  <c r="H252" i="39"/>
  <c r="BL249" i="39"/>
  <c r="J249" i="39" s="1"/>
  <c r="K249" i="39" s="1"/>
  <c r="BN249" i="39"/>
  <c r="O249" i="39"/>
  <c r="P249" i="39"/>
  <c r="Q249" i="39"/>
  <c r="R249" i="39"/>
  <c r="S249" i="39"/>
  <c r="AA249" i="39"/>
  <c r="AB249" i="39"/>
  <c r="Y249" i="39"/>
  <c r="Z249" i="39"/>
  <c r="H249" i="39"/>
  <c r="BL209" i="39"/>
  <c r="BN209" i="39"/>
  <c r="BM209" i="39"/>
  <c r="N209" i="39"/>
  <c r="O209" i="39"/>
  <c r="P209" i="39"/>
  <c r="Q209" i="39"/>
  <c r="R209" i="39"/>
  <c r="S209" i="39"/>
  <c r="AA209" i="39"/>
  <c r="AB209" i="39"/>
  <c r="Y209" i="39"/>
  <c r="Z209" i="39"/>
  <c r="H209" i="39"/>
  <c r="BL206" i="39"/>
  <c r="BN206" i="39"/>
  <c r="BM206" i="39"/>
  <c r="N206" i="39"/>
  <c r="O206" i="39"/>
  <c r="P206" i="39"/>
  <c r="Q206" i="39"/>
  <c r="R206" i="39"/>
  <c r="S206" i="39"/>
  <c r="T206" i="39"/>
  <c r="AA206" i="39"/>
  <c r="AB206" i="39"/>
  <c r="Y206" i="39"/>
  <c r="Z206" i="39"/>
  <c r="H206" i="39"/>
  <c r="BL203" i="39"/>
  <c r="BN203" i="39"/>
  <c r="BM203" i="39"/>
  <c r="N203" i="39"/>
  <c r="O203" i="39"/>
  <c r="P203" i="39"/>
  <c r="Q203" i="39"/>
  <c r="R203" i="39"/>
  <c r="S203" i="39"/>
  <c r="T203" i="39"/>
  <c r="AA203" i="39"/>
  <c r="AB203" i="39"/>
  <c r="Y203" i="39"/>
  <c r="Z203" i="39"/>
  <c r="H203" i="39"/>
  <c r="BL200" i="39"/>
  <c r="BN200" i="39"/>
  <c r="BM200" i="39"/>
  <c r="N200" i="39"/>
  <c r="O200" i="39"/>
  <c r="P200" i="39"/>
  <c r="Q200" i="39"/>
  <c r="R200" i="39"/>
  <c r="S200" i="39"/>
  <c r="AA200" i="39"/>
  <c r="AB200" i="39"/>
  <c r="Y200" i="39"/>
  <c r="Z200" i="39"/>
  <c r="H200" i="39"/>
  <c r="H176" i="39"/>
  <c r="BL176" i="39"/>
  <c r="BN176" i="39"/>
  <c r="N176" i="39"/>
  <c r="O176" i="39"/>
  <c r="P176" i="39"/>
  <c r="Q176" i="39"/>
  <c r="R176" i="39"/>
  <c r="S176" i="39"/>
  <c r="AA176" i="39"/>
  <c r="AB176" i="39"/>
  <c r="Y176" i="39"/>
  <c r="Z176" i="39"/>
  <c r="BL150" i="39"/>
  <c r="BN150" i="39"/>
  <c r="BM150" i="39"/>
  <c r="N150" i="39"/>
  <c r="O150" i="39"/>
  <c r="P150" i="39"/>
  <c r="Q150" i="39"/>
  <c r="R150" i="39"/>
  <c r="S150" i="39"/>
  <c r="AA150" i="39"/>
  <c r="AB150" i="39"/>
  <c r="Y150" i="39"/>
  <c r="Z150" i="39"/>
  <c r="H150" i="39"/>
  <c r="BL102" i="39"/>
  <c r="BN102" i="39"/>
  <c r="O102" i="39"/>
  <c r="P102" i="39"/>
  <c r="Q102" i="39"/>
  <c r="R102" i="39"/>
  <c r="AA102" i="39"/>
  <c r="AB102" i="39"/>
  <c r="Y102" i="39"/>
  <c r="Z102" i="39"/>
  <c r="H25" i="39"/>
  <c r="BL25" i="39"/>
  <c r="BN25" i="39"/>
  <c r="BM25" i="39"/>
  <c r="N25" i="39"/>
  <c r="O25" i="39"/>
  <c r="P25" i="39"/>
  <c r="Q25" i="39"/>
  <c r="R25" i="39"/>
  <c r="S25" i="39"/>
  <c r="T25" i="39"/>
  <c r="AA25" i="39"/>
  <c r="AB25" i="39"/>
  <c r="Y25" i="39"/>
  <c r="Z25" i="39"/>
  <c r="BL16" i="39"/>
  <c r="BN16" i="39"/>
  <c r="BM16" i="39"/>
  <c r="N16" i="39"/>
  <c r="O16" i="39"/>
  <c r="P16" i="39"/>
  <c r="Q16" i="39"/>
  <c r="R16" i="39"/>
  <c r="S16" i="39"/>
  <c r="AA16" i="39"/>
  <c r="AB16" i="39"/>
  <c r="Y16" i="39"/>
  <c r="Z16" i="39"/>
  <c r="H16" i="39"/>
  <c r="BL12" i="39"/>
  <c r="BN12" i="39"/>
  <c r="BM12" i="39"/>
  <c r="N12" i="39"/>
  <c r="O12" i="39"/>
  <c r="P12" i="39"/>
  <c r="Q12" i="39"/>
  <c r="R12" i="39"/>
  <c r="S12" i="39"/>
  <c r="T12" i="39"/>
  <c r="AA12" i="39"/>
  <c r="AB12" i="39"/>
  <c r="Y12" i="39"/>
  <c r="Z12" i="39"/>
  <c r="H12" i="39"/>
  <c r="R65" i="9"/>
  <c r="AI65" i="9" s="1"/>
  <c r="R36" i="9"/>
  <c r="AK36" i="9" s="1"/>
  <c r="H36" i="9"/>
  <c r="H59" i="9" s="1"/>
  <c r="R28" i="9"/>
  <c r="AJ28" i="9" s="1"/>
  <c r="R95" i="9"/>
  <c r="AI95" i="9" s="1"/>
  <c r="R93" i="9"/>
  <c r="AJ93" i="9" s="1"/>
  <c r="R86" i="9"/>
  <c r="R74" i="9"/>
  <c r="AK74" i="9" s="1"/>
  <c r="R72" i="9"/>
  <c r="AH72" i="9" s="1"/>
  <c r="R62" i="9"/>
  <c r="AH62" i="9" s="1"/>
  <c r="T35" i="9"/>
  <c r="T59" i="9" s="1"/>
  <c r="R35" i="9"/>
  <c r="R30" i="9"/>
  <c r="R29" i="9"/>
  <c r="R251" i="9"/>
  <c r="AK251" i="9" s="1"/>
  <c r="R250" i="9"/>
  <c r="R249" i="9"/>
  <c r="AJ249" i="9"/>
  <c r="R248" i="9"/>
  <c r="R247" i="9"/>
  <c r="AK247" i="9" s="1"/>
  <c r="R246" i="9"/>
  <c r="AK246" i="9" s="1"/>
  <c r="R245" i="9"/>
  <c r="AJ245" i="9" s="1"/>
  <c r="R244" i="9"/>
  <c r="R243" i="9"/>
  <c r="AK243" i="9" s="1"/>
  <c r="R204" i="9"/>
  <c r="AH204" i="9" s="1"/>
  <c r="R190" i="9"/>
  <c r="AK190" i="9" s="1"/>
  <c r="R189" i="9"/>
  <c r="AJ189" i="9" s="1"/>
  <c r="R188" i="9"/>
  <c r="AJ188" i="9" s="1"/>
  <c r="R187" i="9"/>
  <c r="AJ187" i="9" s="1"/>
  <c r="R186" i="9"/>
  <c r="R185" i="9"/>
  <c r="AK185" i="9" s="1"/>
  <c r="R184" i="9"/>
  <c r="AI184" i="9" s="1"/>
  <c r="R183" i="9"/>
  <c r="R182" i="9"/>
  <c r="R181" i="9"/>
  <c r="AK181" i="9" s="1"/>
  <c r="R180" i="9"/>
  <c r="R179" i="9"/>
  <c r="R178" i="9"/>
  <c r="R177" i="9"/>
  <c r="AI177" i="9" s="1"/>
  <c r="R176" i="9"/>
  <c r="AI176" i="9" s="1"/>
  <c r="R175" i="9"/>
  <c r="R174" i="9"/>
  <c r="AK174" i="9" s="1"/>
  <c r="R173" i="9"/>
  <c r="AH173" i="9"/>
  <c r="R172" i="9"/>
  <c r="AJ172" i="9" s="1"/>
  <c r="R171" i="9"/>
  <c r="R170" i="9"/>
  <c r="AK170" i="9"/>
  <c r="R169" i="9"/>
  <c r="AH169" i="9" s="1"/>
  <c r="R168" i="9"/>
  <c r="R167" i="9"/>
  <c r="AH167" i="9" s="1"/>
  <c r="R166" i="9"/>
  <c r="AI166" i="9" s="1"/>
  <c r="R165" i="9"/>
  <c r="R164" i="9"/>
  <c r="AK164" i="9" s="1"/>
  <c r="R163" i="9"/>
  <c r="R162" i="9"/>
  <c r="R161" i="9"/>
  <c r="R160" i="9"/>
  <c r="R159" i="9"/>
  <c r="AJ159" i="9" s="1"/>
  <c r="R158" i="9"/>
  <c r="R157" i="9"/>
  <c r="AH157" i="9" s="1"/>
  <c r="R156" i="9"/>
  <c r="AI156" i="9" s="1"/>
  <c r="R155" i="9"/>
  <c r="R154" i="9"/>
  <c r="AH154" i="9" s="1"/>
  <c r="R153" i="9"/>
  <c r="AI153" i="9" s="1"/>
  <c r="R152" i="9"/>
  <c r="AJ152" i="9" s="1"/>
  <c r="R151" i="9"/>
  <c r="AJ151" i="9" s="1"/>
  <c r="R150" i="9"/>
  <c r="R149" i="9"/>
  <c r="AK149" i="9" s="1"/>
  <c r="R148" i="9"/>
  <c r="R147" i="9"/>
  <c r="AH147" i="9" s="1"/>
  <c r="R146" i="9"/>
  <c r="AH146" i="9" s="1"/>
  <c r="R145" i="9"/>
  <c r="AJ145" i="9" s="1"/>
  <c r="R144" i="9"/>
  <c r="AJ144" i="9" s="1"/>
  <c r="R143" i="9"/>
  <c r="AK143" i="9" s="1"/>
  <c r="R142" i="9"/>
  <c r="AH142" i="9" s="1"/>
  <c r="R141" i="9"/>
  <c r="AH141" i="9" s="1"/>
  <c r="R140" i="9"/>
  <c r="AJ140" i="9" s="1"/>
  <c r="R139" i="9"/>
  <c r="AJ139" i="9" s="1"/>
  <c r="R138" i="9"/>
  <c r="AH138" i="9" s="1"/>
  <c r="R137" i="9"/>
  <c r="R136" i="9"/>
  <c r="R135" i="9"/>
  <c r="R134" i="9"/>
  <c r="AH134" i="9" s="1"/>
  <c r="R133" i="9"/>
  <c r="R132" i="9"/>
  <c r="AI132" i="9" s="1"/>
  <c r="R131" i="9"/>
  <c r="AK131" i="9" s="1"/>
  <c r="R130" i="9"/>
  <c r="R129" i="9"/>
  <c r="AJ129" i="9" s="1"/>
  <c r="R128" i="9"/>
  <c r="AJ128" i="9" s="1"/>
  <c r="R127" i="9"/>
  <c r="AK127" i="9" s="1"/>
  <c r="R126" i="9"/>
  <c r="AH126" i="9" s="1"/>
  <c r="R97" i="9"/>
  <c r="AI97" i="9" s="1"/>
  <c r="R94" i="9"/>
  <c r="AK94" i="9" s="1"/>
  <c r="R92" i="9"/>
  <c r="R90" i="9"/>
  <c r="R81" i="9"/>
  <c r="AI81" i="9" s="1"/>
  <c r="R79" i="9"/>
  <c r="AK79" i="9" s="1"/>
  <c r="R78" i="9"/>
  <c r="AH78" i="9" s="1"/>
  <c r="R73" i="9"/>
  <c r="AH6" i="9"/>
  <c r="AH8" i="9"/>
  <c r="AH9" i="9"/>
  <c r="AH12" i="9"/>
  <c r="AH13" i="9"/>
  <c r="AH15" i="9"/>
  <c r="AH31" i="9"/>
  <c r="AH58" i="9"/>
  <c r="AH75" i="9"/>
  <c r="AH77" i="9"/>
  <c r="AH191" i="9"/>
  <c r="AH193" i="9"/>
  <c r="AH194" i="9"/>
  <c r="AH196" i="9"/>
  <c r="AH197" i="9"/>
  <c r="AH199" i="9"/>
  <c r="AH200" i="9"/>
  <c r="AH253" i="9"/>
  <c r="AH255" i="9"/>
  <c r="AH256" i="9"/>
  <c r="AH260" i="9"/>
  <c r="AH5" i="9"/>
  <c r="J257" i="9"/>
  <c r="K257" i="9"/>
  <c r="L257" i="9"/>
  <c r="M257" i="9"/>
  <c r="N257" i="9"/>
  <c r="O257" i="9"/>
  <c r="P257" i="9"/>
  <c r="Q257" i="9"/>
  <c r="R257" i="9"/>
  <c r="S257" i="9"/>
  <c r="T257" i="9"/>
  <c r="U257" i="9"/>
  <c r="X257" i="9"/>
  <c r="Y257" i="9"/>
  <c r="Z257" i="9"/>
  <c r="H257" i="9"/>
  <c r="J254" i="9"/>
  <c r="K254" i="9"/>
  <c r="L254" i="9"/>
  <c r="M254" i="9"/>
  <c r="N254" i="9"/>
  <c r="O254" i="9"/>
  <c r="P254" i="9"/>
  <c r="Q254" i="9"/>
  <c r="S254" i="9"/>
  <c r="T254" i="9"/>
  <c r="U254" i="9"/>
  <c r="X254" i="9"/>
  <c r="Y254" i="9"/>
  <c r="Z254" i="9"/>
  <c r="H254" i="9"/>
  <c r="J201" i="9"/>
  <c r="K201" i="9"/>
  <c r="L201" i="9"/>
  <c r="M201" i="9"/>
  <c r="N201" i="9"/>
  <c r="O201" i="9"/>
  <c r="P201" i="9"/>
  <c r="Q201" i="9"/>
  <c r="R201" i="9"/>
  <c r="S201" i="9"/>
  <c r="T201" i="9"/>
  <c r="U201" i="9"/>
  <c r="X201" i="9"/>
  <c r="Y201" i="9"/>
  <c r="Z201" i="9"/>
  <c r="H201" i="9"/>
  <c r="J198" i="9"/>
  <c r="K198" i="9"/>
  <c r="L198" i="9"/>
  <c r="M198" i="9"/>
  <c r="N198" i="9"/>
  <c r="O198" i="9"/>
  <c r="P198" i="9"/>
  <c r="Q198" i="9"/>
  <c r="R198" i="9"/>
  <c r="S198" i="9"/>
  <c r="T198" i="9"/>
  <c r="U198" i="9"/>
  <c r="X198" i="9"/>
  <c r="Y198" i="9"/>
  <c r="Z198" i="9"/>
  <c r="H198" i="9"/>
  <c r="J195" i="9"/>
  <c r="K195" i="9"/>
  <c r="L195" i="9"/>
  <c r="M195" i="9"/>
  <c r="N195" i="9"/>
  <c r="O195" i="9"/>
  <c r="P195" i="9"/>
  <c r="Q195" i="9"/>
  <c r="R195" i="9"/>
  <c r="S195" i="9"/>
  <c r="T195" i="9"/>
  <c r="U195" i="9"/>
  <c r="X195" i="9"/>
  <c r="Y195" i="9"/>
  <c r="Z195" i="9"/>
  <c r="H195" i="9"/>
  <c r="J192" i="9"/>
  <c r="K192" i="9"/>
  <c r="L192" i="9"/>
  <c r="M192" i="9"/>
  <c r="N192" i="9"/>
  <c r="O192" i="9"/>
  <c r="P192" i="9"/>
  <c r="Q192" i="9"/>
  <c r="S192" i="9"/>
  <c r="T192" i="9"/>
  <c r="U192" i="9"/>
  <c r="X192" i="9"/>
  <c r="Y192" i="9"/>
  <c r="Z192" i="9"/>
  <c r="H192" i="9"/>
  <c r="J76" i="9"/>
  <c r="K76" i="9"/>
  <c r="L76" i="9"/>
  <c r="M76" i="9"/>
  <c r="N76" i="9"/>
  <c r="O76" i="9"/>
  <c r="P76" i="9"/>
  <c r="Q76" i="9"/>
  <c r="S76" i="9"/>
  <c r="T76" i="9"/>
  <c r="U76" i="9"/>
  <c r="X76" i="9"/>
  <c r="Y76" i="9"/>
  <c r="Z76" i="9"/>
  <c r="H76" i="9"/>
  <c r="Z10" i="9"/>
  <c r="J7" i="9"/>
  <c r="K7" i="9"/>
  <c r="L7" i="9"/>
  <c r="M7" i="9"/>
  <c r="N7" i="9"/>
  <c r="O7" i="9"/>
  <c r="P7" i="9"/>
  <c r="Q7" i="9"/>
  <c r="R7" i="9"/>
  <c r="S7" i="9"/>
  <c r="T7" i="9"/>
  <c r="U7" i="9"/>
  <c r="X7" i="9"/>
  <c r="Y7" i="9"/>
  <c r="Z7" i="9"/>
  <c r="H7" i="9"/>
  <c r="H10" i="9"/>
  <c r="J10" i="9"/>
  <c r="K10" i="9"/>
  <c r="L10" i="9"/>
  <c r="M10" i="9"/>
  <c r="N10" i="9"/>
  <c r="O10" i="9"/>
  <c r="P10" i="9"/>
  <c r="Q10" i="9"/>
  <c r="R10" i="9"/>
  <c r="S10" i="9"/>
  <c r="T10" i="9"/>
  <c r="U10" i="9"/>
  <c r="X10" i="9"/>
  <c r="Y10" i="9"/>
  <c r="K14" i="9"/>
  <c r="L14" i="9"/>
  <c r="M14" i="9"/>
  <c r="N14" i="9"/>
  <c r="O14" i="9"/>
  <c r="P14" i="9"/>
  <c r="Q14" i="9"/>
  <c r="S14" i="9"/>
  <c r="T14" i="9"/>
  <c r="U14" i="9"/>
  <c r="X14" i="9"/>
  <c r="Y14" i="9"/>
  <c r="Z14" i="9"/>
  <c r="J32" i="9"/>
  <c r="K32" i="9"/>
  <c r="L32" i="9"/>
  <c r="M32" i="9"/>
  <c r="N32" i="9"/>
  <c r="O32" i="9"/>
  <c r="P32" i="9"/>
  <c r="Q32" i="9"/>
  <c r="S32" i="9"/>
  <c r="T32" i="9"/>
  <c r="U32" i="9"/>
  <c r="X32" i="9"/>
  <c r="X258" i="9" s="1"/>
  <c r="X261" i="9" s="1"/>
  <c r="Y32" i="9"/>
  <c r="Z32" i="9"/>
  <c r="H32" i="9"/>
  <c r="N59" i="9"/>
  <c r="O59" i="9"/>
  <c r="P59" i="9"/>
  <c r="Q59" i="9"/>
  <c r="S59" i="9"/>
  <c r="U59" i="9"/>
  <c r="X59" i="9"/>
  <c r="Y59" i="9"/>
  <c r="Z59" i="9"/>
  <c r="J59" i="9"/>
  <c r="K59" i="9"/>
  <c r="L59" i="9"/>
  <c r="M59" i="9"/>
  <c r="R57" i="9"/>
  <c r="AH57" i="9" s="1"/>
  <c r="R56" i="9"/>
  <c r="AH56" i="9" s="1"/>
  <c r="R55" i="9"/>
  <c r="AJ55" i="9" s="1"/>
  <c r="R54" i="9"/>
  <c r="AI54" i="9" s="1"/>
  <c r="R53" i="9"/>
  <c r="AI53" i="9" s="1"/>
  <c r="R52" i="9"/>
  <c r="AK52" i="9" s="1"/>
  <c r="R50" i="9"/>
  <c r="R42" i="9"/>
  <c r="AH42" i="9" s="1"/>
  <c r="R40" i="9"/>
  <c r="AI40" i="9" s="1"/>
  <c r="R39" i="9"/>
  <c r="AH39" i="9" s="1"/>
  <c r="R38" i="9"/>
  <c r="R259" i="9"/>
  <c r="R44" i="9"/>
  <c r="AK44" i="9" s="1"/>
  <c r="R25" i="9"/>
  <c r="R19" i="9"/>
  <c r="AJ19" i="9" s="1"/>
  <c r="R18" i="9"/>
  <c r="AK18" i="9" s="1"/>
  <c r="AK8" i="9"/>
  <c r="AK12" i="9"/>
  <c r="AK15" i="9"/>
  <c r="AK75" i="9"/>
  <c r="AK77" i="9"/>
  <c r="AK193" i="9"/>
  <c r="AK196" i="9"/>
  <c r="AK199" i="9"/>
  <c r="AK255" i="9"/>
  <c r="AK5" i="9"/>
  <c r="AJ5" i="9"/>
  <c r="AJ8" i="9"/>
  <c r="AJ12" i="9"/>
  <c r="AJ15" i="9"/>
  <c r="AJ75" i="9"/>
  <c r="AJ77" i="9"/>
  <c r="AJ193" i="9"/>
  <c r="AJ196" i="9"/>
  <c r="AJ199" i="9"/>
  <c r="AJ255" i="9"/>
  <c r="AI5" i="9"/>
  <c r="AI8" i="9"/>
  <c r="AI12" i="9"/>
  <c r="AI15" i="9"/>
  <c r="AI75" i="9"/>
  <c r="AI77" i="9"/>
  <c r="AI193" i="9"/>
  <c r="AI196" i="9"/>
  <c r="AI199" i="9"/>
  <c r="AI255" i="9"/>
  <c r="R71" i="9"/>
  <c r="AI71" i="9" s="1"/>
  <c r="R242" i="9"/>
  <c r="R241" i="9"/>
  <c r="R240" i="9"/>
  <c r="AK240" i="9" s="1"/>
  <c r="R239" i="9"/>
  <c r="R238" i="9"/>
  <c r="AH238" i="9" s="1"/>
  <c r="R237" i="9"/>
  <c r="R236" i="9"/>
  <c r="AJ236" i="9" s="1"/>
  <c r="R235" i="9"/>
  <c r="R234" i="9"/>
  <c r="AH234" i="9" s="1"/>
  <c r="R233" i="9"/>
  <c r="AI233" i="9" s="1"/>
  <c r="R232" i="9"/>
  <c r="AI232" i="9" s="1"/>
  <c r="R231" i="9"/>
  <c r="AI231" i="9" s="1"/>
  <c r="R230" i="9"/>
  <c r="R229" i="9"/>
  <c r="AI229" i="9" s="1"/>
  <c r="R228" i="9"/>
  <c r="AJ228" i="9" s="1"/>
  <c r="R227" i="9"/>
  <c r="AI227" i="9" s="1"/>
  <c r="R226" i="9"/>
  <c r="AI226" i="9" s="1"/>
  <c r="AH226" i="9"/>
  <c r="R225" i="9"/>
  <c r="R224" i="9"/>
  <c r="AH224" i="9" s="1"/>
  <c r="R223" i="9"/>
  <c r="R222" i="9"/>
  <c r="AJ222" i="9" s="1"/>
  <c r="R221" i="9"/>
  <c r="AK221" i="9" s="1"/>
  <c r="R220" i="9"/>
  <c r="AK220" i="9" s="1"/>
  <c r="R219" i="9"/>
  <c r="R218" i="9"/>
  <c r="R217" i="9"/>
  <c r="AI217" i="9" s="1"/>
  <c r="R216" i="9"/>
  <c r="R215" i="9"/>
  <c r="AJ215" i="9" s="1"/>
  <c r="R214" i="9"/>
  <c r="AK214" i="9" s="1"/>
  <c r="R213" i="9"/>
  <c r="AJ213" i="9" s="1"/>
  <c r="R212" i="9"/>
  <c r="AH212" i="9" s="1"/>
  <c r="R211" i="9"/>
  <c r="AK211" i="9" s="1"/>
  <c r="R210" i="9"/>
  <c r="AH210" i="9" s="1"/>
  <c r="R209" i="9"/>
  <c r="R208" i="9"/>
  <c r="R207" i="9"/>
  <c r="R206" i="9"/>
  <c r="AH206" i="9" s="1"/>
  <c r="R205" i="9"/>
  <c r="AJ205" i="9" s="1"/>
  <c r="R203" i="9"/>
  <c r="AH203" i="9"/>
  <c r="R202" i="9"/>
  <c r="R125" i="9"/>
  <c r="AI125" i="9" s="1"/>
  <c r="R124" i="9"/>
  <c r="R123" i="9"/>
  <c r="AI123" i="9" s="1"/>
  <c r="R122" i="9"/>
  <c r="R121" i="9"/>
  <c r="R120" i="9"/>
  <c r="R119" i="9"/>
  <c r="AJ119" i="9" s="1"/>
  <c r="R118" i="9"/>
  <c r="AJ118" i="9" s="1"/>
  <c r="R117" i="9"/>
  <c r="AH117" i="9" s="1"/>
  <c r="R116" i="9"/>
  <c r="R115" i="9"/>
  <c r="R114" i="9"/>
  <c r="AI114" i="9" s="1"/>
  <c r="R113" i="9"/>
  <c r="AH113" i="9" s="1"/>
  <c r="R112" i="9"/>
  <c r="AJ112" i="9" s="1"/>
  <c r="R111" i="9"/>
  <c r="AJ111" i="9" s="1"/>
  <c r="R110" i="9"/>
  <c r="AK110" i="9" s="1"/>
  <c r="R109" i="9"/>
  <c r="AH109" i="9" s="1"/>
  <c r="R108" i="9"/>
  <c r="R107" i="9"/>
  <c r="AH107" i="9" s="1"/>
  <c r="R106" i="9"/>
  <c r="R105" i="9"/>
  <c r="AK105" i="9" s="1"/>
  <c r="R104" i="9"/>
  <c r="AI104" i="9" s="1"/>
  <c r="R103" i="9"/>
  <c r="AH103" i="9" s="1"/>
  <c r="R102" i="9"/>
  <c r="R101" i="9"/>
  <c r="AH101" i="9" s="1"/>
  <c r="R100" i="9"/>
  <c r="R99" i="9"/>
  <c r="AK99" i="9" s="1"/>
  <c r="R98" i="9"/>
  <c r="AJ98" i="9" s="1"/>
  <c r="R96" i="9"/>
  <c r="AH96" i="9" s="1"/>
  <c r="R91" i="9"/>
  <c r="R89" i="9"/>
  <c r="R88" i="9"/>
  <c r="AH88" i="9" s="1"/>
  <c r="R87" i="9"/>
  <c r="R85" i="9"/>
  <c r="AJ85" i="9" s="1"/>
  <c r="R84" i="9"/>
  <c r="R83" i="9"/>
  <c r="AJ83" i="9" s="1"/>
  <c r="R82" i="9"/>
  <c r="R80" i="9"/>
  <c r="AK80" i="9" s="1"/>
  <c r="R70" i="9"/>
  <c r="AK70" i="9" s="1"/>
  <c r="R69" i="9"/>
  <c r="AJ69" i="9" s="1"/>
  <c r="R68" i="9"/>
  <c r="R67" i="9"/>
  <c r="AH67" i="9" s="1"/>
  <c r="AI67" i="9"/>
  <c r="R66" i="9"/>
  <c r="AH66" i="9" s="1"/>
  <c r="R64" i="9"/>
  <c r="AK64" i="9" s="1"/>
  <c r="R63" i="9"/>
  <c r="AI63" i="9" s="1"/>
  <c r="R61" i="9"/>
  <c r="R60" i="9"/>
  <c r="AJ60" i="9" s="1"/>
  <c r="R51" i="9"/>
  <c r="AH51" i="9" s="1"/>
  <c r="R49" i="9"/>
  <c r="AJ49" i="9" s="1"/>
  <c r="R48" i="9"/>
  <c r="AI48" i="9" s="1"/>
  <c r="R47" i="9"/>
  <c r="R46" i="9"/>
  <c r="AI46" i="9" s="1"/>
  <c r="R45" i="9"/>
  <c r="AI45" i="9" s="1"/>
  <c r="R43" i="9"/>
  <c r="R41" i="9"/>
  <c r="AH41" i="9" s="1"/>
  <c r="R37" i="9"/>
  <c r="R34" i="9"/>
  <c r="AH34" i="9" s="1"/>
  <c r="R33" i="9"/>
  <c r="AI33" i="9" s="1"/>
  <c r="R27" i="9"/>
  <c r="AI27" i="9" s="1"/>
  <c r="AJ27" i="9"/>
  <c r="R26" i="9"/>
  <c r="AJ26" i="9" s="1"/>
  <c r="R24" i="9"/>
  <c r="AH24" i="9"/>
  <c r="R23" i="9"/>
  <c r="AJ23" i="9" s="1"/>
  <c r="R22" i="9"/>
  <c r="R21" i="9"/>
  <c r="AK21" i="9"/>
  <c r="R20" i="9"/>
  <c r="AK20" i="9" s="1"/>
  <c r="R17" i="9"/>
  <c r="AI17" i="9" s="1"/>
  <c r="R16" i="9"/>
  <c r="AH16" i="9" s="1"/>
  <c r="R11" i="9"/>
  <c r="J11" i="9"/>
  <c r="J14" i="9" s="1"/>
  <c r="H11" i="9"/>
  <c r="H14" i="9" s="1"/>
  <c r="H280" i="9"/>
  <c r="H285" i="9"/>
  <c r="AH245" i="9"/>
  <c r="AM126" i="39"/>
  <c r="AJ204" i="9"/>
  <c r="AK218" i="9"/>
  <c r="S102" i="39"/>
  <c r="BS200" i="39"/>
  <c r="AJ153" i="9"/>
  <c r="AJ97" i="9"/>
  <c r="AK142" i="9"/>
  <c r="AJ238" i="9"/>
  <c r="AI96" i="9"/>
  <c r="AJ42" i="9"/>
  <c r="AI126" i="9"/>
  <c r="AI107" i="9"/>
  <c r="AK212" i="9"/>
  <c r="AH27" i="9"/>
  <c r="AI34" i="9"/>
  <c r="AK24" i="9"/>
  <c r="AK228" i="9"/>
  <c r="AK96" i="9"/>
  <c r="AI93" i="9"/>
  <c r="AJ41" i="9"/>
  <c r="AK101" i="9"/>
  <c r="AJ96" i="9"/>
  <c r="AK126" i="9"/>
  <c r="AH160" i="9"/>
  <c r="AI41" i="9"/>
  <c r="AI112" i="9"/>
  <c r="AK41" i="9"/>
  <c r="AI216" i="9"/>
  <c r="AJ101" i="9"/>
  <c r="AJ142" i="9"/>
  <c r="AH53" i="9"/>
  <c r="AK238" i="9"/>
  <c r="AI238" i="9"/>
  <c r="AK89" i="9"/>
  <c r="AI39" i="9"/>
  <c r="AI190" i="9"/>
  <c r="AK189" i="9"/>
  <c r="AJ92" i="9"/>
  <c r="AH92" i="9"/>
  <c r="AI92" i="9"/>
  <c r="AH150" i="9"/>
  <c r="AJ150" i="9"/>
  <c r="AJ210" i="9"/>
  <c r="AK210" i="9"/>
  <c r="AH232" i="9"/>
  <c r="AK232" i="9"/>
  <c r="AI221" i="9"/>
  <c r="AJ221" i="9"/>
  <c r="AK150" i="9"/>
  <c r="AI131" i="9"/>
  <c r="AK248" i="9"/>
  <c r="AH248" i="9"/>
  <c r="AH121" i="9"/>
  <c r="AH166" i="9"/>
  <c r="AJ232" i="9"/>
  <c r="AH49" i="9"/>
  <c r="AH82" i="9"/>
  <c r="AH87" i="9"/>
  <c r="AK103" i="9"/>
  <c r="AJ103" i="9"/>
  <c r="AH115" i="9"/>
  <c r="AK115" i="9"/>
  <c r="AK122" i="9"/>
  <c r="AH189" i="9"/>
  <c r="AH251" i="9"/>
  <c r="AK42" i="9"/>
  <c r="AJ240" i="9"/>
  <c r="AJ203" i="9"/>
  <c r="AH176" i="9"/>
  <c r="I64" i="39"/>
  <c r="AK85" i="9"/>
  <c r="AI203" i="9"/>
  <c r="AK109" i="9"/>
  <c r="AK34" i="9"/>
  <c r="AH94" i="9"/>
  <c r="AK144" i="9"/>
  <c r="AK169" i="9"/>
  <c r="AK188" i="9"/>
  <c r="AJ147" i="9"/>
  <c r="AI251" i="9"/>
  <c r="AJ94" i="9"/>
  <c r="AJ184" i="9"/>
  <c r="AK203" i="9"/>
  <c r="AH79" i="9"/>
  <c r="AJ126" i="9"/>
  <c r="AJ251" i="9"/>
  <c r="AH93" i="9"/>
  <c r="AK123" i="9"/>
  <c r="AI99" i="9"/>
  <c r="AI236" i="9"/>
  <c r="AI212" i="9"/>
  <c r="AI117" i="9"/>
  <c r="AK97" i="9"/>
  <c r="AK147" i="9"/>
  <c r="AJ65" i="9"/>
  <c r="I57" i="39"/>
  <c r="K57" i="39" s="1"/>
  <c r="L57" i="39" s="1"/>
  <c r="AK236" i="9"/>
  <c r="AJ212" i="9"/>
  <c r="AH99" i="9"/>
  <c r="AH105" i="9"/>
  <c r="AH123" i="9"/>
  <c r="AH236" i="9"/>
  <c r="AJ52" i="9"/>
  <c r="AK92" i="9"/>
  <c r="AK139" i="9"/>
  <c r="AJ109" i="9"/>
  <c r="AH228" i="9"/>
  <c r="AH240" i="9"/>
  <c r="AJ163" i="9"/>
  <c r="AK93" i="9"/>
  <c r="AK60" i="9"/>
  <c r="AH128" i="9"/>
  <c r="AI134" i="9"/>
  <c r="AK173" i="9"/>
  <c r="AI243" i="9"/>
  <c r="AJ74" i="9"/>
  <c r="AK68" i="39"/>
  <c r="AM151" i="39"/>
  <c r="AK224" i="9"/>
  <c r="AI208" i="9"/>
  <c r="AK125" i="9"/>
  <c r="AJ105" i="9"/>
  <c r="AK11" i="9"/>
  <c r="AK49" i="9"/>
  <c r="AK134" i="9"/>
  <c r="AK128" i="9"/>
  <c r="AJ182" i="9"/>
  <c r="AJ201" i="9"/>
  <c r="AI257" i="9"/>
  <c r="AH95" i="9"/>
  <c r="AJ224" i="9"/>
  <c r="AK234" i="9"/>
  <c r="AJ115" i="9"/>
  <c r="AI109" i="9"/>
  <c r="AI49" i="9"/>
  <c r="AJ73" i="9"/>
  <c r="AJ134" i="9"/>
  <c r="AK54" i="9"/>
  <c r="AJ167" i="9"/>
  <c r="AL126" i="39"/>
  <c r="BS249" i="39"/>
  <c r="AK56" i="9"/>
  <c r="AI56" i="9"/>
  <c r="AK178" i="9"/>
  <c r="AJ178" i="9"/>
  <c r="AI86" i="9"/>
  <c r="AH86" i="9"/>
  <c r="AJ86" i="9"/>
  <c r="K205" i="39"/>
  <c r="L205" i="39" s="1"/>
  <c r="I111" i="39"/>
  <c r="K111" i="39" s="1"/>
  <c r="L111" i="39" s="1"/>
  <c r="AI137" i="9"/>
  <c r="AK137" i="9"/>
  <c r="AH151" i="9"/>
  <c r="AI172" i="9"/>
  <c r="AK62" i="9"/>
  <c r="AI62" i="9"/>
  <c r="AJ62" i="9"/>
  <c r="AJ234" i="9"/>
  <c r="AI222" i="9"/>
  <c r="AK107" i="9"/>
  <c r="AJ125" i="9"/>
  <c r="AK113" i="9"/>
  <c r="AH140" i="9"/>
  <c r="AJ50" i="9"/>
  <c r="AK50" i="9"/>
  <c r="AK244" i="9"/>
  <c r="AI244" i="9"/>
  <c r="AI230" i="9"/>
  <c r="AK226" i="9"/>
  <c r="AI210" i="9"/>
  <c r="AI115" i="9"/>
  <c r="AJ99" i="9"/>
  <c r="AK66" i="9"/>
  <c r="AI240" i="9"/>
  <c r="AI224" i="9"/>
  <c r="AJ208" i="9"/>
  <c r="AK117" i="9"/>
  <c r="AJ113" i="9"/>
  <c r="AI105" i="9"/>
  <c r="AI101" i="9"/>
  <c r="AI82" i="9"/>
  <c r="AJ68" i="9"/>
  <c r="AJ34" i="9"/>
  <c r="AJ71" i="9"/>
  <c r="AH71" i="9"/>
  <c r="AI154" i="9"/>
  <c r="AH127" i="9"/>
  <c r="AH178" i="9"/>
  <c r="AH170" i="9"/>
  <c r="AH81" i="9"/>
  <c r="AK81" i="9"/>
  <c r="AH153" i="9"/>
  <c r="AK153" i="9"/>
  <c r="AK162" i="9"/>
  <c r="AJ162" i="9"/>
  <c r="AI188" i="9"/>
  <c r="AK204" i="9"/>
  <c r="AK245" i="9"/>
  <c r="AI245" i="9"/>
  <c r="K218" i="39"/>
  <c r="L218" i="39" s="1"/>
  <c r="AH259" i="9"/>
  <c r="AI259" i="9"/>
  <c r="AK201" i="9"/>
  <c r="AK39" i="9"/>
  <c r="AJ39" i="9"/>
  <c r="AI129" i="9"/>
  <c r="AK129" i="9"/>
  <c r="AH129" i="9"/>
  <c r="AJ132" i="9"/>
  <c r="AH132" i="9"/>
  <c r="AK132" i="9"/>
  <c r="AI161" i="9"/>
  <c r="AH161" i="9"/>
  <c r="AI164" i="9"/>
  <c r="AJ164" i="9"/>
  <c r="AJ30" i="9"/>
  <c r="AK30" i="9"/>
  <c r="AJ116" i="9"/>
  <c r="AI234" i="9"/>
  <c r="AJ226" i="9"/>
  <c r="AJ107" i="9"/>
  <c r="AJ216" i="9"/>
  <c r="AJ117" i="9"/>
  <c r="AI87" i="9"/>
  <c r="AK63" i="9"/>
  <c r="AI140" i="9"/>
  <c r="AK175" i="9"/>
  <c r="AK78" i="9"/>
  <c r="AJ90" i="9"/>
  <c r="AI145" i="9"/>
  <c r="AK145" i="9"/>
  <c r="AH148" i="9"/>
  <c r="AI148" i="9"/>
  <c r="AK151" i="9"/>
  <c r="AH177" i="9"/>
  <c r="AI180" i="9"/>
  <c r="AK180" i="9"/>
  <c r="AK186" i="9"/>
  <c r="AH186" i="9"/>
  <c r="AI186" i="9"/>
  <c r="K92" i="39"/>
  <c r="L92" i="39" s="1"/>
  <c r="BS176" i="39"/>
  <c r="BT249" i="39"/>
  <c r="AL152" i="39"/>
  <c r="AM152" i="39"/>
  <c r="AK32" i="39"/>
  <c r="AH61" i="9"/>
  <c r="AK61" i="9"/>
  <c r="AK91" i="9"/>
  <c r="AH91" i="9"/>
  <c r="AJ120" i="9"/>
  <c r="AK205" i="9"/>
  <c r="AH205" i="9"/>
  <c r="AI205" i="9"/>
  <c r="AH229" i="9"/>
  <c r="AJ21" i="9"/>
  <c r="AH21" i="9"/>
  <c r="AH69" i="9"/>
  <c r="AI69" i="9"/>
  <c r="AH110" i="9"/>
  <c r="AJ110" i="9"/>
  <c r="AI110" i="9"/>
  <c r="AJ211" i="9"/>
  <c r="AH211" i="9"/>
  <c r="AJ227" i="9"/>
  <c r="AH227" i="9"/>
  <c r="AH235" i="9"/>
  <c r="AK57" i="9"/>
  <c r="AJ57" i="9"/>
  <c r="I178" i="39"/>
  <c r="K178" i="39" s="1"/>
  <c r="L178" i="39" s="1"/>
  <c r="AJ80" i="9"/>
  <c r="AH80" i="9"/>
  <c r="AK237" i="9"/>
  <c r="AI91" i="9"/>
  <c r="AH37" i="9"/>
  <c r="AJ37" i="9"/>
  <c r="AK88" i="9"/>
  <c r="AI88" i="9"/>
  <c r="AI102" i="9"/>
  <c r="AI118" i="9"/>
  <c r="AH118" i="9"/>
  <c r="AK118" i="9"/>
  <c r="AI239" i="9"/>
  <c r="AK227" i="9"/>
  <c r="AI211" i="9"/>
  <c r="AJ91" i="9"/>
  <c r="AI80" i="9"/>
  <c r="AI61" i="9"/>
  <c r="AJ229" i="9"/>
  <c r="AJ88" i="9"/>
  <c r="AK69" i="9"/>
  <c r="AI21" i="9"/>
  <c r="AK17" i="9"/>
  <c r="AH17" i="9"/>
  <c r="AK33" i="9"/>
  <c r="AH33" i="9"/>
  <c r="AJ33" i="9"/>
  <c r="AH48" i="9"/>
  <c r="AK48" i="9"/>
  <c r="AJ67" i="9"/>
  <c r="AI85" i="9"/>
  <c r="AH85" i="9"/>
  <c r="AI108" i="9"/>
  <c r="AH124" i="9"/>
  <c r="AJ209" i="9"/>
  <c r="AI209" i="9"/>
  <c r="AH217" i="9"/>
  <c r="AJ217" i="9"/>
  <c r="AJ225" i="9"/>
  <c r="AH225" i="9"/>
  <c r="AK225" i="9"/>
  <c r="AI225" i="9"/>
  <c r="AH233" i="9"/>
  <c r="AK233" i="9"/>
  <c r="AJ233" i="9"/>
  <c r="AH241" i="9"/>
  <c r="AK241" i="9"/>
  <c r="AI57" i="9"/>
  <c r="AI38" i="9"/>
  <c r="AH38" i="9"/>
  <c r="AK55" i="9"/>
  <c r="AH55" i="9"/>
  <c r="AI55" i="9"/>
  <c r="AH23" i="9"/>
  <c r="AJ104" i="9"/>
  <c r="AH104" i="9"/>
  <c r="AK112" i="9"/>
  <c r="AH112" i="9"/>
  <c r="AI213" i="9"/>
  <c r="AH213" i="9"/>
  <c r="AK213" i="9"/>
  <c r="AH221" i="9"/>
  <c r="AI50" i="9"/>
  <c r="AH50" i="9"/>
  <c r="AJ61" i="9"/>
  <c r="AI237" i="9"/>
  <c r="AK229" i="9"/>
  <c r="AI26" i="9"/>
  <c r="AH26" i="9"/>
  <c r="AK26" i="9"/>
  <c r="AJ46" i="9"/>
  <c r="AH46" i="9"/>
  <c r="AK46" i="9"/>
  <c r="AI64" i="9"/>
  <c r="AH64" i="9"/>
  <c r="AJ64" i="9"/>
  <c r="AH83" i="9"/>
  <c r="AK83" i="9"/>
  <c r="AI98" i="9"/>
  <c r="AH98" i="9"/>
  <c r="AK98" i="9"/>
  <c r="AK106" i="9"/>
  <c r="AJ114" i="9"/>
  <c r="AH114" i="9"/>
  <c r="AH122" i="9"/>
  <c r="AI215" i="9"/>
  <c r="AH215" i="9"/>
  <c r="AH231" i="9"/>
  <c r="AH44" i="9"/>
  <c r="AJ44" i="9"/>
  <c r="AK53" i="9"/>
  <c r="AJ53" i="9"/>
  <c r="AI73" i="9"/>
  <c r="AI79" i="9"/>
  <c r="AI90" i="9"/>
  <c r="AI94" i="9"/>
  <c r="AK154" i="9"/>
  <c r="AK146" i="9"/>
  <c r="AK138" i="9"/>
  <c r="AJ154" i="9"/>
  <c r="AJ146" i="9"/>
  <c r="AJ138" i="9"/>
  <c r="AK140" i="9"/>
  <c r="AK176" i="9"/>
  <c r="AI130" i="9"/>
  <c r="AH180" i="9"/>
  <c r="AH172" i="9"/>
  <c r="AJ166" i="9"/>
  <c r="AH156" i="9"/>
  <c r="AI146" i="9"/>
  <c r="AK184" i="9"/>
  <c r="AJ186" i="9"/>
  <c r="AJ176" i="9"/>
  <c r="AJ156" i="9"/>
  <c r="AJ168" i="9"/>
  <c r="AJ180" i="9"/>
  <c r="AJ160" i="9"/>
  <c r="AI170" i="9"/>
  <c r="AI162" i="9"/>
  <c r="AH249" i="9"/>
  <c r="AI247" i="9"/>
  <c r="AI7" i="9"/>
  <c r="AH7" i="9"/>
  <c r="AJ72" i="9"/>
  <c r="AI72" i="9"/>
  <c r="I238" i="39"/>
  <c r="K238" i="39" s="1"/>
  <c r="L238" i="39" s="1"/>
  <c r="I86" i="39"/>
  <c r="K86" i="39" s="1"/>
  <c r="L86" i="39" s="1"/>
  <c r="I49" i="39"/>
  <c r="K49" i="39" s="1"/>
  <c r="L49" i="39" s="1"/>
  <c r="AJ79" i="9"/>
  <c r="AI152" i="9"/>
  <c r="AI144" i="9"/>
  <c r="AI128" i="9"/>
  <c r="AH152" i="9"/>
  <c r="AH144" i="9"/>
  <c r="AH136" i="9"/>
  <c r="AJ130" i="9"/>
  <c r="AK152" i="9"/>
  <c r="AK136" i="9"/>
  <c r="AI142" i="9"/>
  <c r="AK172" i="9"/>
  <c r="AK156" i="9"/>
  <c r="AJ170" i="9"/>
  <c r="AH164" i="9"/>
  <c r="AI138" i="9"/>
  <c r="AJ174" i="9"/>
  <c r="AI150" i="9"/>
  <c r="AH184" i="9"/>
  <c r="AI174" i="9"/>
  <c r="AH174" i="9"/>
  <c r="AH162" i="9"/>
  <c r="AI178" i="9"/>
  <c r="AH190" i="9"/>
  <c r="AJ243" i="9"/>
  <c r="AI249" i="9"/>
  <c r="AK249" i="9"/>
  <c r="AH243" i="9"/>
  <c r="AJ247" i="9"/>
  <c r="AK72" i="9"/>
  <c r="AK86" i="9"/>
  <c r="AH36" i="9"/>
  <c r="AI36" i="9"/>
  <c r="AJ36" i="9"/>
  <c r="I168" i="39"/>
  <c r="K168" i="39" s="1"/>
  <c r="L168" i="39" s="1"/>
  <c r="AL135" i="39"/>
  <c r="AM135" i="39"/>
  <c r="BM176" i="39"/>
  <c r="J176" i="39" s="1"/>
  <c r="I176" i="39" s="1"/>
  <c r="K176" i="39" s="1"/>
  <c r="L176" i="39" s="1"/>
  <c r="I35" i="39"/>
  <c r="K35" i="39" s="1"/>
  <c r="L35" i="39" s="1"/>
  <c r="AM41" i="39"/>
  <c r="AL41" i="39"/>
  <c r="AK70" i="39"/>
  <c r="AL70" i="39"/>
  <c r="AL147" i="39"/>
  <c r="K90" i="39"/>
  <c r="L90" i="39" s="1"/>
  <c r="K72" i="39"/>
  <c r="L72" i="39" s="1"/>
  <c r="AM136" i="39"/>
  <c r="AK136" i="39"/>
  <c r="AL136" i="39"/>
  <c r="AI201" i="9"/>
  <c r="AH201" i="9"/>
  <c r="AH143" i="9"/>
  <c r="AI143" i="9"/>
  <c r="AK159" i="9"/>
  <c r="AH159" i="9"/>
  <c r="AK167" i="9"/>
  <c r="AI167" i="9"/>
  <c r="AJ169" i="9"/>
  <c r="AI169" i="9"/>
  <c r="AJ173" i="9"/>
  <c r="AI173" i="9"/>
  <c r="AH181" i="9"/>
  <c r="AJ181" i="9"/>
  <c r="AJ185" i="9"/>
  <c r="AI185" i="9"/>
  <c r="AH185" i="9"/>
  <c r="AH246" i="9"/>
  <c r="AJ246" i="9"/>
  <c r="AI248" i="9"/>
  <c r="AJ248" i="9"/>
  <c r="AJ10" i="9"/>
  <c r="AK25" i="9"/>
  <c r="AH19" i="9"/>
  <c r="AK19" i="9"/>
  <c r="AK259" i="9"/>
  <c r="AI52" i="9"/>
  <c r="AJ81" i="9"/>
  <c r="AI147" i="9"/>
  <c r="AH149" i="9"/>
  <c r="AJ137" i="9"/>
  <c r="AH175" i="9"/>
  <c r="AH137" i="9"/>
  <c r="AK177" i="9"/>
  <c r="AI171" i="9"/>
  <c r="AI159" i="9"/>
  <c r="AJ143" i="9"/>
  <c r="AK179" i="9"/>
  <c r="AH183" i="9"/>
  <c r="AI189" i="9"/>
  <c r="AI246" i="9"/>
  <c r="AI35" i="9"/>
  <c r="AK35" i="9"/>
  <c r="AI28" i="9"/>
  <c r="AK28" i="9"/>
  <c r="AH28" i="9"/>
  <c r="AM164" i="39"/>
  <c r="AL164" i="39"/>
  <c r="AK217" i="39"/>
  <c r="AM217" i="39"/>
  <c r="AL217" i="39"/>
  <c r="K258" i="9"/>
  <c r="K261" i="9" s="1"/>
  <c r="AI10" i="9"/>
  <c r="AI198" i="9"/>
  <c r="AI78" i="9"/>
  <c r="AJ78" i="9"/>
  <c r="R192" i="9"/>
  <c r="AH192" i="9" s="1"/>
  <c r="AJ127" i="9"/>
  <c r="AI127" i="9"/>
  <c r="AH131" i="9"/>
  <c r="AJ131" i="9"/>
  <c r="AH135" i="9"/>
  <c r="AJ135" i="9"/>
  <c r="AJ141" i="9"/>
  <c r="AI141" i="9"/>
  <c r="AJ155" i="9"/>
  <c r="AH155" i="9"/>
  <c r="AK157" i="9"/>
  <c r="AJ157" i="9"/>
  <c r="AI157" i="9"/>
  <c r="AK161" i="9"/>
  <c r="AJ161" i="9"/>
  <c r="AH163" i="9"/>
  <c r="AK187" i="9"/>
  <c r="AH187" i="9"/>
  <c r="AI187" i="9"/>
  <c r="I121" i="39"/>
  <c r="K121" i="39" s="1"/>
  <c r="L121" i="39" s="1"/>
  <c r="AJ7" i="9"/>
  <c r="AJ198" i="9"/>
  <c r="AK195" i="9"/>
  <c r="R76" i="9"/>
  <c r="AK71" i="9"/>
  <c r="AJ25" i="9"/>
  <c r="AJ259" i="9"/>
  <c r="AI42" i="9"/>
  <c r="AJ56" i="9"/>
  <c r="AH52" i="9"/>
  <c r="AH97" i="9"/>
  <c r="AI151" i="9"/>
  <c r="AI139" i="9"/>
  <c r="AK165" i="9"/>
  <c r="AH145" i="9"/>
  <c r="AJ149" i="9"/>
  <c r="AI204" i="9"/>
  <c r="AK29" i="9"/>
  <c r="AH29" i="9"/>
  <c r="AJ95" i="9"/>
  <c r="AK95" i="9"/>
  <c r="AK65" i="9"/>
  <c r="AH65" i="9"/>
  <c r="AK127" i="39"/>
  <c r="AL215" i="39"/>
  <c r="AM157" i="39"/>
  <c r="AL76" i="39"/>
  <c r="AL246" i="39"/>
  <c r="AL68" i="39"/>
  <c r="AL32" i="39"/>
  <c r="AM32" i="39"/>
  <c r="AK246" i="39"/>
  <c r="AL69" i="39"/>
  <c r="AI76" i="9"/>
  <c r="K27" i="39"/>
  <c r="L27" i="39" s="1"/>
  <c r="AJ106" i="9"/>
  <c r="AJ24" i="9"/>
  <c r="AI24" i="9"/>
  <c r="K225" i="39"/>
  <c r="L225" i="39" s="1"/>
  <c r="K222" i="39"/>
  <c r="L222" i="39" s="1"/>
  <c r="K212" i="39"/>
  <c r="L212" i="39" s="1"/>
  <c r="K116" i="39"/>
  <c r="L116" i="39" s="1"/>
  <c r="K61" i="39"/>
  <c r="L61" i="39" s="1"/>
  <c r="AJ100" i="9"/>
  <c r="AI60" i="9"/>
  <c r="AJ124" i="9"/>
  <c r="AK104" i="9"/>
  <c r="K21" i="39"/>
  <c r="L21" i="39" s="1"/>
  <c r="AH111" i="9"/>
  <c r="AI111" i="9"/>
  <c r="AI175" i="9"/>
  <c r="AJ175" i="9"/>
  <c r="AK47" i="9"/>
  <c r="AH47" i="9"/>
  <c r="AH84" i="9"/>
  <c r="AJ84" i="9"/>
  <c r="AJ231" i="9"/>
  <c r="L258" i="9"/>
  <c r="L261" i="9" s="1"/>
  <c r="AI135" i="9"/>
  <c r="AK135" i="9"/>
  <c r="AK155" i="9"/>
  <c r="AI155" i="9"/>
  <c r="AK84" i="9"/>
  <c r="AI113" i="9"/>
  <c r="AI84" i="9"/>
  <c r="AH45" i="9"/>
  <c r="AK45" i="9"/>
  <c r="AK82" i="9"/>
  <c r="AJ82" i="9"/>
  <c r="AH222" i="9"/>
  <c r="AK222" i="9"/>
  <c r="AI133" i="9"/>
  <c r="AK133" i="9"/>
  <c r="AJ133" i="9"/>
  <c r="AH133" i="9"/>
  <c r="R14" i="9"/>
  <c r="AI14" i="9" s="1"/>
  <c r="AH22" i="9"/>
  <c r="I58" i="39"/>
  <c r="K58" i="39" s="1"/>
  <c r="L58" i="39" s="1"/>
  <c r="I124" i="39"/>
  <c r="AI228" i="9" l="1"/>
  <c r="AI149" i="9"/>
  <c r="Q258" i="9"/>
  <c r="Q261" i="9" s="1"/>
  <c r="AK192" i="9"/>
  <c r="BT200" i="39"/>
  <c r="AI192" i="9"/>
  <c r="AM70" i="39"/>
  <c r="AK217" i="9"/>
  <c r="AI44" i="9"/>
  <c r="AI19" i="9"/>
  <c r="AH10" i="9"/>
  <c r="AJ257" i="9"/>
  <c r="AJ123" i="9"/>
  <c r="AK114" i="9"/>
  <c r="AI103" i="9"/>
  <c r="AH63" i="9"/>
  <c r="AI83" i="9"/>
  <c r="AK119" i="9"/>
  <c r="AH125" i="9"/>
  <c r="AK215" i="9"/>
  <c r="N102" i="39"/>
  <c r="AH14" i="9"/>
  <c r="AJ45" i="9"/>
  <c r="AJ48" i="9"/>
  <c r="AH60" i="9"/>
  <c r="AH54" i="9"/>
  <c r="AK10" i="9"/>
  <c r="AK7" i="9"/>
  <c r="J258" i="9"/>
  <c r="J261" i="9" s="1"/>
  <c r="AH195" i="9"/>
  <c r="U258" i="9"/>
  <c r="U261" i="9" s="1"/>
  <c r="AI195" i="9"/>
  <c r="AH198" i="9"/>
  <c r="AH139" i="9"/>
  <c r="AK141" i="9"/>
  <c r="K39" i="39"/>
  <c r="L39" i="39" s="1"/>
  <c r="M258" i="9"/>
  <c r="M261" i="9" s="1"/>
  <c r="AK14" i="9"/>
  <c r="AJ14" i="9"/>
  <c r="AJ202" i="9"/>
  <c r="R254" i="9"/>
  <c r="AJ219" i="9"/>
  <c r="AI219" i="9"/>
  <c r="AK219" i="9"/>
  <c r="AH219" i="9"/>
  <c r="AK202" i="9"/>
  <c r="AK23" i="9"/>
  <c r="AI23" i="9"/>
  <c r="AH202" i="9"/>
  <c r="AI11" i="9"/>
  <c r="AJ11" i="9"/>
  <c r="AH11" i="9"/>
  <c r="AK124" i="9"/>
  <c r="AI124" i="9"/>
  <c r="AH179" i="9"/>
  <c r="AJ179" i="9"/>
  <c r="AI179" i="9"/>
  <c r="AK183" i="9"/>
  <c r="AJ183" i="9"/>
  <c r="AI183" i="9"/>
  <c r="AH20" i="9"/>
  <c r="AJ20" i="9"/>
  <c r="AH242" i="9"/>
  <c r="AJ242" i="9"/>
  <c r="AJ206" i="9"/>
  <c r="AI206" i="9"/>
  <c r="O258" i="9"/>
  <c r="O261" i="9" s="1"/>
  <c r="AK40" i="9"/>
  <c r="AI202" i="9"/>
  <c r="AI20" i="9"/>
  <c r="AM68" i="39"/>
  <c r="AI242" i="9"/>
  <c r="AI43" i="9"/>
  <c r="AH43" i="9"/>
  <c r="AJ43" i="9"/>
  <c r="AK43" i="9"/>
  <c r="AJ47" i="9"/>
  <c r="AI47" i="9"/>
  <c r="AJ87" i="9"/>
  <c r="AK87" i="9"/>
  <c r="AJ102" i="9"/>
  <c r="AK102" i="9"/>
  <c r="AH102" i="9"/>
  <c r="AI116" i="9"/>
  <c r="AH116" i="9"/>
  <c r="AK116" i="9"/>
  <c r="AI122" i="9"/>
  <c r="AJ122" i="9"/>
  <c r="AK206" i="9"/>
  <c r="AK231" i="9"/>
  <c r="R59" i="9"/>
  <c r="AH59" i="9" s="1"/>
  <c r="AJ18" i="9"/>
  <c r="AK242" i="9"/>
  <c r="AH130" i="9"/>
  <c r="AK130" i="9"/>
  <c r="AJ136" i="9"/>
  <c r="AI136" i="9"/>
  <c r="AJ250" i="9"/>
  <c r="AK250" i="9"/>
  <c r="AI250" i="9"/>
  <c r="AH250" i="9"/>
  <c r="AI30" i="9"/>
  <c r="AH30" i="9"/>
  <c r="AH100" i="9"/>
  <c r="AK100" i="9"/>
  <c r="AK108" i="9"/>
  <c r="AJ108" i="9"/>
  <c r="AH237" i="9"/>
  <c r="AJ237" i="9"/>
  <c r="N258" i="9"/>
  <c r="N261" i="9" s="1"/>
  <c r="AH73" i="9"/>
  <c r="AK73" i="9"/>
  <c r="AJ244" i="9"/>
  <c r="AH244" i="9"/>
  <c r="AK27" i="9"/>
  <c r="AK67" i="9"/>
  <c r="AI100" i="9"/>
  <c r="AK166" i="9"/>
  <c r="AJ17" i="9"/>
  <c r="AH106" i="9"/>
  <c r="AI106" i="9"/>
  <c r="AH208" i="9"/>
  <c r="AK208" i="9"/>
  <c r="AI235" i="9"/>
  <c r="AK235" i="9"/>
  <c r="AK111" i="9"/>
  <c r="AI16" i="9"/>
  <c r="AH119" i="9"/>
  <c r="AI119" i="9"/>
  <c r="AK121" i="9"/>
  <c r="AJ121" i="9"/>
  <c r="AK198" i="9"/>
  <c r="AJ29" i="9"/>
  <c r="AI29" i="9"/>
  <c r="Z258" i="9"/>
  <c r="Z261" i="9" s="1"/>
  <c r="T258" i="9"/>
  <c r="T261" i="9" s="1"/>
  <c r="AJ195" i="9"/>
  <c r="AJ177" i="9"/>
  <c r="BS150" i="39"/>
  <c r="Y258" i="9"/>
  <c r="Y261" i="9" s="1"/>
  <c r="S258" i="9"/>
  <c r="AL234" i="39"/>
  <c r="J102" i="39"/>
  <c r="CD253" i="39"/>
  <c r="K139" i="39"/>
  <c r="L139" i="39" s="1"/>
  <c r="K71" i="39"/>
  <c r="L71" i="39" s="1"/>
  <c r="K54" i="39"/>
  <c r="L54" i="39" s="1"/>
  <c r="K187" i="39"/>
  <c r="L187" i="39" s="1"/>
  <c r="J252" i="39"/>
  <c r="K252" i="39" s="1"/>
  <c r="L252" i="39" s="1"/>
  <c r="AL94" i="39"/>
  <c r="K36" i="39"/>
  <c r="L36" i="39" s="1"/>
  <c r="K194" i="39"/>
  <c r="L194" i="39" s="1"/>
  <c r="K191" i="39"/>
  <c r="L191" i="39" s="1"/>
  <c r="K78" i="39"/>
  <c r="L78" i="39" s="1"/>
  <c r="K241" i="39"/>
  <c r="L241" i="39" s="1"/>
  <c r="AL148" i="39"/>
  <c r="AM245" i="39"/>
  <c r="K244" i="39"/>
  <c r="L244" i="39" s="1"/>
  <c r="Q253" i="39"/>
  <c r="AK80" i="39"/>
  <c r="T150" i="39"/>
  <c r="BT176" i="39"/>
  <c r="K141" i="39"/>
  <c r="L141" i="39" s="1"/>
  <c r="AK148" i="39"/>
  <c r="AL245" i="39"/>
  <c r="AM128" i="39"/>
  <c r="Y253" i="39"/>
  <c r="J150" i="39"/>
  <c r="I150" i="39" s="1"/>
  <c r="K150" i="39" s="1"/>
  <c r="L150" i="39" s="1"/>
  <c r="J203" i="39"/>
  <c r="I203" i="39" s="1"/>
  <c r="K203" i="39" s="1"/>
  <c r="L203" i="39" s="1"/>
  <c r="BR253" i="39"/>
  <c r="CF253" i="39"/>
  <c r="BX253" i="39"/>
  <c r="K134" i="39"/>
  <c r="L134" i="39" s="1"/>
  <c r="T102" i="39"/>
  <c r="BT102" i="39"/>
  <c r="K224" i="39"/>
  <c r="L224" i="39" s="1"/>
  <c r="K18" i="39"/>
  <c r="L18" i="39" s="1"/>
  <c r="K156" i="39"/>
  <c r="L156" i="39" s="1"/>
  <c r="AK240" i="39"/>
  <c r="K132" i="39"/>
  <c r="L132" i="39" s="1"/>
  <c r="AL183" i="39"/>
  <c r="AK128" i="39"/>
  <c r="K30" i="39"/>
  <c r="L30" i="39" s="1"/>
  <c r="K167" i="39"/>
  <c r="L167" i="39" s="1"/>
  <c r="J12" i="39"/>
  <c r="K12" i="39" s="1"/>
  <c r="L12" i="39" s="1"/>
  <c r="J16" i="39"/>
  <c r="I16" i="39" s="1"/>
  <c r="K16" i="39" s="1"/>
  <c r="L16" i="39" s="1"/>
  <c r="J25" i="39"/>
  <c r="I25" i="39" s="1"/>
  <c r="J200" i="39"/>
  <c r="I200" i="39" s="1"/>
  <c r="K200" i="39" s="1"/>
  <c r="L200" i="39" s="1"/>
  <c r="J206" i="39"/>
  <c r="I206" i="39" s="1"/>
  <c r="K206" i="39" s="1"/>
  <c r="L206" i="39" s="1"/>
  <c r="J209" i="39"/>
  <c r="L249" i="39"/>
  <c r="K180" i="39"/>
  <c r="L180" i="39" s="1"/>
  <c r="BQ253" i="39"/>
  <c r="BO253" i="39"/>
  <c r="K33" i="39"/>
  <c r="L33" i="39" s="1"/>
  <c r="AL157" i="39"/>
  <c r="AK234" i="39"/>
  <c r="O253" i="39"/>
  <c r="AB253" i="39"/>
  <c r="AA253" i="39"/>
  <c r="Z253" i="39"/>
  <c r="I209" i="39"/>
  <c r="K209" i="39" s="1"/>
  <c r="L209" i="39" s="1"/>
  <c r="K155" i="39"/>
  <c r="L155" i="39" s="1"/>
  <c r="K213" i="39"/>
  <c r="L213" i="39" s="1"/>
  <c r="AK94" i="39"/>
  <c r="AM80" i="39"/>
  <c r="T176" i="39"/>
  <c r="AM183" i="39"/>
  <c r="AK76" i="39"/>
  <c r="AK247" i="39"/>
  <c r="I81" i="39"/>
  <c r="K81" i="39" s="1"/>
  <c r="L81" i="39" s="1"/>
  <c r="K174" i="39"/>
  <c r="L174" i="39" s="1"/>
  <c r="CH253" i="39"/>
  <c r="BV253" i="39"/>
  <c r="CA253" i="39"/>
  <c r="AL146" i="39"/>
  <c r="AL247" i="39"/>
  <c r="P253" i="39"/>
  <c r="R253" i="39"/>
  <c r="K226" i="39"/>
  <c r="L226" i="39" s="1"/>
  <c r="AM14" i="39"/>
  <c r="AK146" i="39"/>
  <c r="K140" i="39"/>
  <c r="L140" i="39" s="1"/>
  <c r="AM207" i="39"/>
  <c r="I17" i="39"/>
  <c r="K17" i="39" s="1"/>
  <c r="L17" i="39" s="1"/>
  <c r="K199" i="39"/>
  <c r="L199" i="39" s="1"/>
  <c r="K193" i="39"/>
  <c r="L193" i="39" s="1"/>
  <c r="K184" i="39"/>
  <c r="L184" i="39" s="1"/>
  <c r="K109" i="39"/>
  <c r="L109" i="39" s="1"/>
  <c r="K40" i="39"/>
  <c r="L40" i="39" s="1"/>
  <c r="BT150" i="39"/>
  <c r="T200" i="39"/>
  <c r="CC253" i="39"/>
  <c r="BY253" i="39"/>
  <c r="CJ253" i="39"/>
  <c r="CB253" i="39"/>
  <c r="BS102" i="39"/>
  <c r="BS253" i="39" s="1"/>
  <c r="K124" i="39"/>
  <c r="L124" i="39" s="1"/>
  <c r="K204" i="39"/>
  <c r="L204" i="39" s="1"/>
  <c r="K210" i="39"/>
  <c r="L210" i="39" s="1"/>
  <c r="K56" i="39"/>
  <c r="L56" i="39" s="1"/>
  <c r="AM240" i="39"/>
  <c r="AK14" i="39"/>
  <c r="AM181" i="39"/>
  <c r="T249" i="39"/>
  <c r="K28" i="39"/>
  <c r="L28" i="39" s="1"/>
  <c r="AM147" i="39"/>
  <c r="AL95" i="39"/>
  <c r="AK207" i="39"/>
  <c r="AL151" i="39"/>
  <c r="K53" i="39"/>
  <c r="L53" i="39" s="1"/>
  <c r="K20" i="39"/>
  <c r="L20" i="39" s="1"/>
  <c r="BN253" i="39"/>
  <c r="K197" i="39"/>
  <c r="L197" i="39" s="1"/>
  <c r="K195" i="39"/>
  <c r="L195" i="39" s="1"/>
  <c r="K190" i="39"/>
  <c r="L190" i="39" s="1"/>
  <c r="K179" i="39"/>
  <c r="L179" i="39" s="1"/>
  <c r="K144" i="39"/>
  <c r="L144" i="39" s="1"/>
  <c r="K42" i="39"/>
  <c r="L42" i="39" s="1"/>
  <c r="K50" i="39"/>
  <c r="L50" i="39" s="1"/>
  <c r="K107" i="39"/>
  <c r="L107" i="39" s="1"/>
  <c r="K154" i="39"/>
  <c r="L154" i="39" s="1"/>
  <c r="K13" i="39"/>
  <c r="L13" i="39" s="1"/>
  <c r="K79" i="39"/>
  <c r="L79" i="39" s="1"/>
  <c r="AL181" i="39"/>
  <c r="AM127" i="39"/>
  <c r="K113" i="39"/>
  <c r="L113" i="39" s="1"/>
  <c r="K38" i="39"/>
  <c r="L38" i="39" s="1"/>
  <c r="K22" i="39"/>
  <c r="L22" i="39" s="1"/>
  <c r="AK153" i="39"/>
  <c r="BL253" i="39"/>
  <c r="T209" i="39"/>
  <c r="K130" i="39"/>
  <c r="L130" i="39" s="1"/>
  <c r="K112" i="39"/>
  <c r="L112" i="39" s="1"/>
  <c r="K118" i="39"/>
  <c r="L118" i="39" s="1"/>
  <c r="BM253" i="39"/>
  <c r="AL127" i="39"/>
  <c r="AL153" i="39"/>
  <c r="AK181" i="39"/>
  <c r="AL14" i="39"/>
  <c r="K198" i="39"/>
  <c r="L198" i="39" s="1"/>
  <c r="K189" i="39"/>
  <c r="L189" i="39" s="1"/>
  <c r="AJ22" i="9"/>
  <c r="AK22" i="9"/>
  <c r="AI22" i="9"/>
  <c r="AH89" i="9"/>
  <c r="AJ89" i="9"/>
  <c r="AI89" i="9"/>
  <c r="AH216" i="9"/>
  <c r="AK216" i="9"/>
  <c r="AH230" i="9"/>
  <c r="AK230" i="9"/>
  <c r="AJ230" i="9"/>
  <c r="AJ239" i="9"/>
  <c r="AK239" i="9"/>
  <c r="AI25" i="9"/>
  <c r="AH25" i="9"/>
  <c r="AI165" i="9"/>
  <c r="AJ165" i="9"/>
  <c r="I188" i="39"/>
  <c r="K188" i="39" s="1"/>
  <c r="L188" i="39" s="1"/>
  <c r="N249" i="39"/>
  <c r="N253" i="39" s="1"/>
  <c r="AM215" i="39"/>
  <c r="AJ66" i="9"/>
  <c r="AI51" i="9"/>
  <c r="AJ51" i="9"/>
  <c r="AK51" i="9"/>
  <c r="AI214" i="9"/>
  <c r="AJ214" i="9"/>
  <c r="AH214" i="9"/>
  <c r="AH223" i="9"/>
  <c r="AK223" i="9"/>
  <c r="AI223" i="9"/>
  <c r="AJ223" i="9"/>
  <c r="AH18" i="9"/>
  <c r="AI18" i="9"/>
  <c r="AK148" i="9"/>
  <c r="AJ148" i="9"/>
  <c r="AK163" i="9"/>
  <c r="AI163" i="9"/>
  <c r="AK182" i="9"/>
  <c r="AI182" i="9"/>
  <c r="AH182" i="9"/>
  <c r="I15" i="39"/>
  <c r="K15" i="39" s="1"/>
  <c r="L15" i="39" s="1"/>
  <c r="I201" i="39"/>
  <c r="K201" i="39" s="1"/>
  <c r="L201" i="39" s="1"/>
  <c r="K96" i="39"/>
  <c r="L96" i="39" s="1"/>
  <c r="I37" i="39"/>
  <c r="K37" i="39" s="1"/>
  <c r="L37" i="39" s="1"/>
  <c r="AK95" i="39"/>
  <c r="H102" i="39"/>
  <c r="AK76" i="9"/>
  <c r="AJ76" i="9"/>
  <c r="AJ16" i="9"/>
  <c r="R32" i="9"/>
  <c r="AK16" i="9"/>
  <c r="AK37" i="9"/>
  <c r="AI37" i="9"/>
  <c r="AI70" i="9"/>
  <c r="AH70" i="9"/>
  <c r="AJ70" i="9"/>
  <c r="AK209" i="9"/>
  <c r="AH209" i="9"/>
  <c r="AH220" i="9"/>
  <c r="AJ220" i="9"/>
  <c r="AI220" i="9"/>
  <c r="AH40" i="9"/>
  <c r="AJ40" i="9"/>
  <c r="H258" i="9"/>
  <c r="AH90" i="9"/>
  <c r="AK90" i="9"/>
  <c r="AI160" i="9"/>
  <c r="AK160" i="9"/>
  <c r="BZ253" i="39"/>
  <c r="CG253" i="39"/>
  <c r="BU253" i="39"/>
  <c r="CE253" i="39"/>
  <c r="BW253" i="39"/>
  <c r="BP253" i="39"/>
  <c r="I228" i="39"/>
  <c r="K228" i="39" s="1"/>
  <c r="L228" i="39" s="1"/>
  <c r="I196" i="39"/>
  <c r="K196" i="39" s="1"/>
  <c r="L196" i="39" s="1"/>
  <c r="I186" i="39"/>
  <c r="K186" i="39" s="1"/>
  <c r="L186" i="39" s="1"/>
  <c r="I145" i="39"/>
  <c r="K145" i="39" s="1"/>
  <c r="L145" i="39" s="1"/>
  <c r="I110" i="39"/>
  <c r="K110" i="39" s="1"/>
  <c r="L110" i="39" s="1"/>
  <c r="I93" i="39"/>
  <c r="K93" i="39" s="1"/>
  <c r="L93" i="39" s="1"/>
  <c r="I87" i="39"/>
  <c r="K87" i="39" s="1"/>
  <c r="L87" i="39" s="1"/>
  <c r="I82" i="39"/>
  <c r="K82" i="39" s="1"/>
  <c r="L82" i="39" s="1"/>
  <c r="AM160" i="39"/>
  <c r="AK160" i="39"/>
  <c r="AM172" i="39"/>
  <c r="AL172" i="39"/>
  <c r="AH76" i="9"/>
  <c r="K25" i="39"/>
  <c r="L25" i="39" s="1"/>
  <c r="AI66" i="9"/>
  <c r="AH165" i="9"/>
  <c r="AH239" i="9"/>
  <c r="AJ190" i="9"/>
  <c r="AH68" i="9"/>
  <c r="AK68" i="9"/>
  <c r="AI68" i="9"/>
  <c r="AI120" i="9"/>
  <c r="AH120" i="9"/>
  <c r="AK120" i="9"/>
  <c r="AH207" i="9"/>
  <c r="AJ207" i="9"/>
  <c r="AI207" i="9"/>
  <c r="AK207" i="9"/>
  <c r="AH218" i="9"/>
  <c r="AI218" i="9"/>
  <c r="AJ218" i="9"/>
  <c r="AI241" i="9"/>
  <c r="AJ241" i="9"/>
  <c r="AJ38" i="9"/>
  <c r="AK38" i="9"/>
  <c r="P258" i="9"/>
  <c r="P261" i="9" s="1"/>
  <c r="AJ192" i="9"/>
  <c r="AK257" i="9"/>
  <c r="AH257" i="9"/>
  <c r="AK158" i="9"/>
  <c r="AJ158" i="9"/>
  <c r="AI158" i="9"/>
  <c r="AH158" i="9"/>
  <c r="AI168" i="9"/>
  <c r="AH168" i="9"/>
  <c r="AK168" i="9"/>
  <c r="AK171" i="9"/>
  <c r="AH171" i="9"/>
  <c r="AJ171" i="9"/>
  <c r="AJ35" i="9"/>
  <c r="AH35" i="9"/>
  <c r="S253" i="39"/>
  <c r="CI253" i="39"/>
  <c r="I220" i="39"/>
  <c r="K220" i="39" s="1"/>
  <c r="L220" i="39" s="1"/>
  <c r="I192" i="39"/>
  <c r="K192" i="39" s="1"/>
  <c r="L192" i="39" s="1"/>
  <c r="I182" i="39"/>
  <c r="K182" i="39" s="1"/>
  <c r="L182" i="39" s="1"/>
  <c r="I162" i="39"/>
  <c r="K162" i="39" s="1"/>
  <c r="L162" i="39" s="1"/>
  <c r="I67" i="39"/>
  <c r="K67" i="39" s="1"/>
  <c r="L67" i="39" s="1"/>
  <c r="K64" i="39"/>
  <c r="L64" i="39" s="1"/>
  <c r="K60" i="39"/>
  <c r="L60" i="39" s="1"/>
  <c r="I43" i="39"/>
  <c r="K43" i="39" s="1"/>
  <c r="L43" i="39" s="1"/>
  <c r="K129" i="39"/>
  <c r="L129" i="39" s="1"/>
  <c r="K51" i="39"/>
  <c r="L51" i="39" s="1"/>
  <c r="AH108" i="9"/>
  <c r="AJ235" i="9"/>
  <c r="AH247" i="9"/>
  <c r="AJ63" i="9"/>
  <c r="AH188" i="9"/>
  <c r="AI121" i="9"/>
  <c r="AH74" i="9"/>
  <c r="AJ54" i="9"/>
  <c r="AI74" i="9"/>
  <c r="AI181" i="9"/>
  <c r="K19" i="39"/>
  <c r="L19" i="39" s="1"/>
  <c r="K219" i="39"/>
  <c r="L219" i="39" s="1"/>
  <c r="K103" i="39"/>
  <c r="L103" i="39" s="1"/>
  <c r="AI254" i="9" l="1"/>
  <c r="AJ254" i="9"/>
  <c r="AH254" i="9"/>
  <c r="AK254" i="9"/>
  <c r="S261" i="9"/>
  <c r="H284" i="9"/>
  <c r="AJ59" i="9"/>
  <c r="AK59" i="9"/>
  <c r="AI59" i="9"/>
  <c r="BT253" i="39"/>
  <c r="J253" i="39"/>
  <c r="K253" i="39" s="1"/>
  <c r="T253" i="39"/>
  <c r="H261" i="9"/>
  <c r="AH32" i="9"/>
  <c r="AK32" i="9"/>
  <c r="AI32" i="9"/>
  <c r="AJ32" i="9"/>
  <c r="R258" i="9"/>
  <c r="H253" i="39"/>
  <c r="I102" i="39"/>
  <c r="K102" i="39" s="1"/>
  <c r="L102" i="39" s="1"/>
  <c r="L253" i="39" l="1"/>
  <c r="AI258" i="9"/>
  <c r="AK258" i="9"/>
  <c r="H283" i="9"/>
  <c r="H286" i="9" s="1"/>
  <c r="AJ258" i="9"/>
  <c r="R261" i="9"/>
  <c r="AH258" i="9"/>
  <c r="AI261" i="9" l="1"/>
  <c r="AK261" i="9"/>
  <c r="R262" i="9"/>
  <c r="AJ261" i="9"/>
  <c r="AH26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C2" authorId="0" shapeId="0" xr:uid="{00000000-0006-0000-0000-000001000000}">
      <text>
        <r>
          <rPr>
            <b/>
            <sz val="9"/>
            <color indexed="81"/>
            <rFont val="Tahoma"/>
            <family val="2"/>
            <charset val="238"/>
          </rPr>
          <t>Autor:
formát text  3/2019</t>
        </r>
        <r>
          <rPr>
            <sz val="9"/>
            <color indexed="81"/>
            <rFont val="Tahoma"/>
            <family val="2"/>
            <charset val="238"/>
          </rPr>
          <t xml:space="preserve">
</t>
        </r>
      </text>
    </comment>
    <comment ref="BK2" authorId="0" shapeId="0" xr:uid="{00000000-0006-0000-0000-000002000000}">
      <text>
        <r>
          <rPr>
            <b/>
            <sz val="9"/>
            <color indexed="81"/>
            <rFont val="Tahoma"/>
            <family val="2"/>
            <charset val="238"/>
          </rPr>
          <t>Autor:</t>
        </r>
        <r>
          <rPr>
            <sz val="9"/>
            <color indexed="81"/>
            <rFont val="Tahoma"/>
            <family val="2"/>
            <charset val="238"/>
          </rPr>
          <t xml:space="preserve">
měsíc, kdy se asi vyčerpá</t>
        </r>
      </text>
    </comment>
    <comment ref="AQ81" authorId="0" shapeId="0" xr:uid="{00000000-0006-0000-0000-000003000000}">
      <text>
        <r>
          <rPr>
            <b/>
            <sz val="9"/>
            <color indexed="81"/>
            <rFont val="Tahoma"/>
            <family val="2"/>
            <charset val="238"/>
          </rPr>
          <t>Autor:</t>
        </r>
        <r>
          <rPr>
            <sz val="9"/>
            <color indexed="81"/>
            <rFont val="Tahoma"/>
            <family val="2"/>
            <charset val="238"/>
          </rPr>
          <t xml:space="preserve">
bylo čerpání v r. 2018, proto ukončeno, a ne zrušeno</t>
        </r>
      </text>
    </comment>
    <comment ref="AQ90" authorId="0" shapeId="0" xr:uid="{00000000-0006-0000-0000-000004000000}">
      <text>
        <r>
          <rPr>
            <b/>
            <sz val="9"/>
            <color indexed="81"/>
            <rFont val="Tahoma"/>
            <family val="2"/>
            <charset val="238"/>
          </rPr>
          <t>Autor:</t>
        </r>
        <r>
          <rPr>
            <sz val="9"/>
            <color indexed="81"/>
            <rFont val="Tahoma"/>
            <family val="2"/>
            <charset val="238"/>
          </rPr>
          <t xml:space="preserve">
bylo čerpání v r. 2018, proto ukončeno, a ne zrušeno</t>
        </r>
      </text>
    </comment>
    <comment ref="AQ92" authorId="0" shapeId="0" xr:uid="{00000000-0006-0000-0000-000005000000}">
      <text>
        <r>
          <rPr>
            <b/>
            <sz val="9"/>
            <color indexed="81"/>
            <rFont val="Tahoma"/>
            <family val="2"/>
            <charset val="238"/>
          </rPr>
          <t>Autor:</t>
        </r>
        <r>
          <rPr>
            <sz val="9"/>
            <color indexed="81"/>
            <rFont val="Tahoma"/>
            <family val="2"/>
            <charset val="238"/>
          </rPr>
          <t xml:space="preserve">
bylo čerpání v r. 2018, proto ukončeno, a ne zrušeno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H6" authorId="0" shapeId="0" xr:uid="{00000000-0006-0000-0100-000001000000}">
      <text>
        <r>
          <rPr>
            <b/>
            <sz val="9"/>
            <color indexed="81"/>
            <rFont val="Tahoma"/>
            <family val="2"/>
            <charset val="238"/>
          </rPr>
          <t>Autor:</t>
        </r>
        <r>
          <rPr>
            <sz val="9"/>
            <color indexed="81"/>
            <rFont val="Tahoma"/>
            <family val="2"/>
            <charset val="238"/>
          </rPr>
          <t xml:space="preserve">
1-Rakovník
2-Kladno
3-Mělník
4-Mladá Boleslav
5-Beroun
6-Praha-západ
7-Praha-východ
8-Nymburk
9-Kolín
10-Příbram
11-Benešov
12-Kutná hora</t>
        </r>
      </text>
    </comment>
    <comment ref="BS6" authorId="0" shapeId="0" xr:uid="{00000000-0006-0000-0100-000002000000}">
      <text>
        <r>
          <rPr>
            <b/>
            <sz val="9"/>
            <color indexed="81"/>
            <rFont val="Tahoma"/>
            <family val="2"/>
            <charset val="238"/>
          </rPr>
          <t>Autor:</t>
        </r>
        <r>
          <rPr>
            <sz val="9"/>
            <color indexed="81"/>
            <rFont val="Tahoma"/>
            <family val="2"/>
            <charset val="238"/>
          </rPr>
          <t xml:space="preserve">
nedoplněno 130 mil. Kč z 6.1.</t>
        </r>
      </text>
    </comment>
    <comment ref="CF6" authorId="0" shapeId="0" xr:uid="{00000000-0006-0000-0100-000003000000}">
      <text>
        <r>
          <rPr>
            <b/>
            <sz val="9"/>
            <color indexed="81"/>
            <rFont val="Tahoma"/>
            <family val="2"/>
            <charset val="238"/>
          </rPr>
          <t>Autor:</t>
        </r>
        <r>
          <rPr>
            <sz val="9"/>
            <color indexed="81"/>
            <rFont val="Tahoma"/>
            <family val="2"/>
            <charset val="238"/>
          </rPr>
          <t xml:space="preserve">
měsíc, kdy se asi vyčerpá</t>
        </r>
      </text>
    </comment>
    <comment ref="AQ7" authorId="0" shapeId="0" xr:uid="{00000000-0006-0000-0100-000004000000}">
      <text>
        <r>
          <rPr>
            <b/>
            <sz val="9"/>
            <color indexed="81"/>
            <rFont val="Tahoma"/>
            <family val="2"/>
            <charset val="238"/>
          </rPr>
          <t>Autor:</t>
        </r>
        <r>
          <rPr>
            <sz val="9"/>
            <color indexed="81"/>
            <rFont val="Tahoma"/>
            <family val="2"/>
            <charset val="238"/>
          </rPr>
          <t xml:space="preserve">
zelená - mám nakopírovanou novou verzi</t>
        </r>
      </text>
    </comment>
    <comment ref="AT7" authorId="0" shapeId="0" xr:uid="{00000000-0006-0000-0100-000005000000}">
      <text>
        <r>
          <rPr>
            <b/>
            <sz val="9"/>
            <color indexed="81"/>
            <rFont val="Tahoma"/>
            <family val="2"/>
            <charset val="238"/>
          </rPr>
          <t>Autor:</t>
        </r>
        <r>
          <rPr>
            <sz val="9"/>
            <color indexed="81"/>
            <rFont val="Tahoma"/>
            <family val="2"/>
            <charset val="238"/>
          </rPr>
          <t xml:space="preserve">
zelená - nechat dovyhodnocení roku 2020 (bylo čerpání)
červená - vyndat ihned do archívu (nebylo čerpání v r. 2020)
1-5 - ZI 2019
6 - ZI 2020 zm. č.1
7 - ZI 2020 zm. č.2
8 - ZI 2020 zm. č.3</t>
        </r>
      </text>
    </comment>
    <comment ref="AU7" authorId="0" shapeId="0" xr:uid="{00000000-0006-0000-0100-000006000000}">
      <text>
        <r>
          <rPr>
            <b/>
            <sz val="9"/>
            <color indexed="81"/>
            <rFont val="Tahoma"/>
            <family val="2"/>
            <charset val="238"/>
          </rPr>
          <t>1 - změna financování
2 - změna způsobu financování
3 - akce sloučené, přejmenované, změna     
     realizátora</t>
        </r>
      </text>
    </comment>
  </commentList>
</comments>
</file>

<file path=xl/sharedStrings.xml><?xml version="1.0" encoding="utf-8"?>
<sst xmlns="http://schemas.openxmlformats.org/spreadsheetml/2006/main" count="11310" uniqueCount="3331">
  <si>
    <t>v tis. Kč</t>
  </si>
  <si>
    <t>Poř. č.</t>
  </si>
  <si>
    <t>Číslo akce ADA</t>
  </si>
  <si>
    <t>Zařazeno do Plánu investic usnesením RK/ZK</t>
  </si>
  <si>
    <t>Realizátor akce (zadavatel)</t>
  </si>
  <si>
    <t>Organizace</t>
  </si>
  <si>
    <t>Název akce</t>
  </si>
  <si>
    <t xml:space="preserve">Celkové náklady </t>
  </si>
  <si>
    <t>Jiné zdroje</t>
  </si>
  <si>
    <t>Předpoklad v roce 2020</t>
  </si>
  <si>
    <t>Poznámka</t>
  </si>
  <si>
    <t>kontrolní součty</t>
  </si>
  <si>
    <t>filtry</t>
  </si>
  <si>
    <t xml:space="preserve"> do 31.3.2019</t>
  </si>
  <si>
    <t xml:space="preserve"> do 30.6.2019</t>
  </si>
  <si>
    <t xml:space="preserve"> do 30.9.2019</t>
  </si>
  <si>
    <t xml:space="preserve"> do 31.12.2019</t>
  </si>
  <si>
    <t>Změna č. 1</t>
  </si>
  <si>
    <t>Odložené financování na rok 2019</t>
  </si>
  <si>
    <t>zbývá rozplánovat (musí být rovno nule)</t>
  </si>
  <si>
    <t>formální kontrola (musí být rovno nule)</t>
  </si>
  <si>
    <t>součty</t>
  </si>
  <si>
    <t xml:space="preserve"> VPO</t>
  </si>
  <si>
    <t>č.  VPO</t>
  </si>
  <si>
    <t>0003475</t>
  </si>
  <si>
    <t>082-15/2016/RK ze dne 21.4.2016        012-22/2016/ZK ze dne 25.4.2016</t>
  </si>
  <si>
    <t>SK</t>
  </si>
  <si>
    <t xml:space="preserve">Materiální a technické vybavení pracoviště krizového řízení, zajištění komunikačních prostředků a informační podpory pro krizové řízení v kraji </t>
  </si>
  <si>
    <t>PROBÍHÁ VZ</t>
  </si>
  <si>
    <t>KHT</t>
  </si>
  <si>
    <t>Projekt výcvikového areálu pro zvládání rizik</t>
  </si>
  <si>
    <t>0001911</t>
  </si>
  <si>
    <t>Výměna oken v budově KÚ</t>
  </si>
  <si>
    <t>PŘÍPRAVA VZ</t>
  </si>
  <si>
    <t>2/2019</t>
  </si>
  <si>
    <t>OŘÚ</t>
  </si>
  <si>
    <t>0001513</t>
  </si>
  <si>
    <t>10/2019</t>
  </si>
  <si>
    <t>0003151</t>
  </si>
  <si>
    <t xml:space="preserve">038-19/2015/RK ze dne 1.6.2015                   008-17/2015/ZK ze dne 22.6.2015 </t>
  </si>
  <si>
    <t>068-39/2015/RK ze dne 9.11.15        006-20/2015/ZK ze dne 7.12.15</t>
  </si>
  <si>
    <t>0001514</t>
  </si>
  <si>
    <t>Investiční software dle konkrétních požadavků odborů</t>
  </si>
  <si>
    <t>REALIZACE</t>
  </si>
  <si>
    <t>IKT</t>
  </si>
  <si>
    <t>0001803</t>
  </si>
  <si>
    <t>Výpočetní technika</t>
  </si>
  <si>
    <t>Dokončuje se vyhodnocení poslední VZ v rámci akce, která je před podpisem smlouvy.</t>
  </si>
  <si>
    <t>0002821</t>
  </si>
  <si>
    <t>008-08/2013/RK ze dne 25.02.13           004-03/2013/ZK ze dne 11.03.13</t>
  </si>
  <si>
    <t>Software pro Informační systém KÚ</t>
  </si>
  <si>
    <t>4/2019/IKT</t>
  </si>
  <si>
    <t>0002822</t>
  </si>
  <si>
    <t>Modernizace zasedacích místností</t>
  </si>
  <si>
    <t>0004972</t>
  </si>
  <si>
    <t>Obnova technologických center kraje - Praha a Kladno (TCK)</t>
  </si>
  <si>
    <t>0004971</t>
  </si>
  <si>
    <t>Zvýšení kybernetické bezpečnosti informačního systému KÚ</t>
  </si>
  <si>
    <t>7/2019/IKT</t>
  </si>
  <si>
    <t>0004966</t>
  </si>
  <si>
    <t>Destinační web pro Středočeskou centrálu turistického ruchu</t>
  </si>
  <si>
    <t>Akce dokončena k 31.10.2018</t>
  </si>
  <si>
    <t>Datové sklady pro příspěvkové organizace</t>
  </si>
  <si>
    <t>Rozšíření hostované spisové služby o modul eIDAS</t>
  </si>
  <si>
    <t>Rozšíření hostované spisové služby pro krajské školy, v návaznosti na nařízení EU. Požadavek KÚ v rámci realizace projektů eGovernmentu. Předpoklad dočerpání do 30.6.2019</t>
  </si>
  <si>
    <t xml:space="preserve">Zavedení enterprise architektury do řízení eGovernmentu na úrovni krajského úřadu </t>
  </si>
  <si>
    <t>Požadavek vychází z povinností dle Informační koncepce České republiky ze dne 20. 9. 2018, cíle 5.3. Zavedení principů a postupů „Enterprise architektury“ do řízení eGovernmentu všech úrovní.</t>
  </si>
  <si>
    <t>Přechod IS GINIS na verzi Enterprise</t>
  </si>
  <si>
    <t>Bez přechodu na verzi Enterprise nebude možné realizovat zakázkové úpravy modulů IS GINIS</t>
  </si>
  <si>
    <t>Rozšíření IS GINIS o Mobilní EPK a EPK nad příjmy</t>
  </si>
  <si>
    <t>Rozšíření IS GINIS na žádost FIN a vedení KÚ v souvislosti s elektronizací dokumentů Rady SčK</t>
  </si>
  <si>
    <t>Rozšíření IS GINIS o Dokumentový konverzní server</t>
  </si>
  <si>
    <t>Důvodem rozšíření je zajištění konverze dokumentů Word na .pdf/A k elektronickému podepisování dokumentů v IS GINIS z důvodu kompatibility a přechodu na verzi IS GINIS 3.82</t>
  </si>
  <si>
    <t>0000120</t>
  </si>
  <si>
    <t>DOP</t>
  </si>
  <si>
    <t>0000121</t>
  </si>
  <si>
    <t>Příprava a zabezpečení staveb silnic II. a III. třídy a drážní stavby pro lehká kolejová vozidla-tramvaje</t>
  </si>
  <si>
    <t>4/2019/DOP</t>
  </si>
  <si>
    <t>0004300</t>
  </si>
  <si>
    <t>040-23/2017/RK ze dne 15.6.17   038-07/2017/ZK ze dne 27.6.2017</t>
  </si>
  <si>
    <t>KSÚS</t>
  </si>
  <si>
    <t>III/3377 Kutná Hora - zajištění stability tělesa komunikace v Kremnické ulici  II.etapa</t>
  </si>
  <si>
    <t>0003947</t>
  </si>
  <si>
    <t>IDSK</t>
  </si>
  <si>
    <t>IDSK - vybavení IT technika</t>
  </si>
  <si>
    <t>8/2019/DOP</t>
  </si>
  <si>
    <t>0004298</t>
  </si>
  <si>
    <t>Stacionární meteostanice</t>
  </si>
  <si>
    <t>9/2019/DOP</t>
  </si>
  <si>
    <t>0004619</t>
  </si>
  <si>
    <t>044-36/2017/RK ze dne 12.10.17; 009-10/2017/ZK ze dne 24.10.2017</t>
  </si>
  <si>
    <t>II/272 Kounice - Bříství, rekonstrukce</t>
  </si>
  <si>
    <t>11/2019/DOP</t>
  </si>
  <si>
    <t>0004621</t>
  </si>
  <si>
    <t>II/104 a III/1052  Jílové u Prahy, rekonstrukce silnice</t>
  </si>
  <si>
    <t>14/2019/DOP</t>
  </si>
  <si>
    <t>II/105 Všetice, most ev. č. 105-013</t>
  </si>
  <si>
    <t>15/2019/DOP</t>
  </si>
  <si>
    <t>0004009</t>
  </si>
  <si>
    <t>Automatické sčítače cyklistů</t>
  </si>
  <si>
    <t>17/2019/DOP</t>
  </si>
  <si>
    <t>045-24/2018/RK ze dne 6.8.2018
041-15/2018/ZK ze dne 27.8.2018</t>
  </si>
  <si>
    <t>III/00712 Knovíz, havarijní oprava mostu ev.č.00712-6</t>
  </si>
  <si>
    <t>18/2019/DOP</t>
  </si>
  <si>
    <t>II/330 Poříčany, úprava křižovatky s III/3308</t>
  </si>
  <si>
    <t>21/2019/DOP</t>
  </si>
  <si>
    <t>III/33329 Toušice, oprava mostu ev.č.33329-1</t>
  </si>
  <si>
    <t>22/2019/DOP</t>
  </si>
  <si>
    <t>III/10226 Nečín - Bělohrad</t>
  </si>
  <si>
    <t>23/2019/DOP</t>
  </si>
  <si>
    <t>III/00513 Chrášťany - Chýně, havarijní stav silničního tělesa</t>
  </si>
  <si>
    <t>24/2019/DOP</t>
  </si>
  <si>
    <t>III/0069 a III/10138 Pletený Újezd, oprava silnice</t>
  </si>
  <si>
    <t>25/2019/DOP</t>
  </si>
  <si>
    <t>II/101 Říčany, mobilní protihluková stěna</t>
  </si>
  <si>
    <t>26/2019/DOP</t>
  </si>
  <si>
    <t>III/01013 Nepřevázka - most ev.č.01013-1</t>
  </si>
  <si>
    <t>27/2019/DOP</t>
  </si>
  <si>
    <t>II/121 rekonstrukce opěrné zdi v Prčici</t>
  </si>
  <si>
    <t>28/2019/DOP</t>
  </si>
  <si>
    <t>29/2019/DOP</t>
  </si>
  <si>
    <t>III/3297 Plaňany</t>
  </si>
  <si>
    <t>30/2019/DOP</t>
  </si>
  <si>
    <t>II/605 Rudná, zvýšení bezpečnosti</t>
  </si>
  <si>
    <t>31/2019/DOP</t>
  </si>
  <si>
    <t>Zvýšení bezpečnosti chodců na 3 přechodech pro pěší v obcích Libeň a Libeř</t>
  </si>
  <si>
    <t>32/2019/DOP</t>
  </si>
  <si>
    <t>BESIP III/10163 Horoušany - úprava křižovatky</t>
  </si>
  <si>
    <t>Obec Postřižín - rekonstrukce povrchů komunikací včetně chodníků</t>
  </si>
  <si>
    <t>37/2019/DOP</t>
  </si>
  <si>
    <t>III/32924 Všechlapy</t>
  </si>
  <si>
    <t>38/2019/DOP</t>
  </si>
  <si>
    <t>III/1304 Vlkaneč - hr.kraje</t>
  </si>
  <si>
    <t>39/2019/DOP</t>
  </si>
  <si>
    <t>II/125 Vlašim, Vlasákova ul. (mezi OK a mostem 125-019)</t>
  </si>
  <si>
    <t>42/2019/DOP</t>
  </si>
  <si>
    <t>Protihlukové opatření Přestavlky</t>
  </si>
  <si>
    <t>II/125 Kamberk, svodidla</t>
  </si>
  <si>
    <t>47/2019/DOP</t>
  </si>
  <si>
    <t>III/0075 Dolany - Hostouň</t>
  </si>
  <si>
    <t>48/2019/DOP</t>
  </si>
  <si>
    <t>III/3392 - křiž.II/339 Červené Janovice - Zhoř</t>
  </si>
  <si>
    <t>49/2019/DOP</t>
  </si>
  <si>
    <t>III/39911 Klipec po křižovatku III/32912</t>
  </si>
  <si>
    <t>52/2019/DOP</t>
  </si>
  <si>
    <t>III/10126, III/10125 Mezouň</t>
  </si>
  <si>
    <t>53/2019/DOP</t>
  </si>
  <si>
    <t>II/115 Hostomice</t>
  </si>
  <si>
    <t>54/2019/DOP</t>
  </si>
  <si>
    <t>II/114, III/03013 Lochovice</t>
  </si>
  <si>
    <t>55/2019/DOP</t>
  </si>
  <si>
    <t>III/23637 Ledce</t>
  </si>
  <si>
    <t>63/2019/DOP</t>
  </si>
  <si>
    <t>III/10163, III/10170, III/1137, III/1135 Přišimasy</t>
  </si>
  <si>
    <t>67/2019/DOP</t>
  </si>
  <si>
    <t>Ii/107 Všechromy</t>
  </si>
  <si>
    <t>75/2019/DOP</t>
  </si>
  <si>
    <t>III/00410 Starosedlský Hrádek</t>
  </si>
  <si>
    <t>79/2019/DOP</t>
  </si>
  <si>
    <t>III/00331 Slavkov, most ev.č. 00331-5</t>
  </si>
  <si>
    <t>2427-1 Most přes strouhu před obcí Klíčany</t>
  </si>
  <si>
    <t>82/2019/DOP</t>
  </si>
  <si>
    <t>III/23314  Broumy,  Rekonstrukce mostu ev.č. 23314– 4 , most přes potok před obcí Karlov</t>
  </si>
  <si>
    <t>83/2019/DOP</t>
  </si>
  <si>
    <t>III/27612-1, Husí Lhota, most ev.č.27612-1 přes meliorační sběrač</t>
  </si>
  <si>
    <t>84/2019/DOP</t>
  </si>
  <si>
    <t>III/12550 Červené Pečky, most ev.č. 12550-3, havarijní oprava</t>
  </si>
  <si>
    <t>85/2019/DOP</t>
  </si>
  <si>
    <t>III/1182 Zaječov, most ev.č.1182 přes Mourový potok v obci Zaječov</t>
  </si>
  <si>
    <t>86/2019/DOP</t>
  </si>
  <si>
    <t>BESIP svodidla obl.Kutná Hora 2018</t>
  </si>
  <si>
    <t>87/2019/DOP</t>
  </si>
  <si>
    <t>Mobilní váhy pro kamióny</t>
  </si>
  <si>
    <t>0003388</t>
  </si>
  <si>
    <t>SOŠ a SOU Hořovice</t>
  </si>
  <si>
    <t>Rekonstrukce staré budovy výukového centra Tlustice 2.etapa</t>
  </si>
  <si>
    <t>0003389</t>
  </si>
  <si>
    <t>SOŠ a SOU řemesel Kutná Hora</t>
  </si>
  <si>
    <t>Rekonstrukce dílen SOŠ a SOU řemesel (stavební práce, strojní vybavení, software)</t>
  </si>
  <si>
    <t>0003709</t>
  </si>
  <si>
    <t>Gymnázium Říčany, Komenského 1280</t>
  </si>
  <si>
    <t>Výstavba nové tělocvičny u Gymnázia Říčany</t>
  </si>
  <si>
    <t xml:space="preserve">016-06/2017/RK ze dne 16.2.2017 022-04/2017/ZK ze dne 7.3.2017     </t>
  </si>
  <si>
    <t>0003844</t>
  </si>
  <si>
    <t>VOŠ a SZeŠ Benešov</t>
  </si>
  <si>
    <t>Energetické úspory VOŠ a SZeŠ Benešov</t>
  </si>
  <si>
    <t>0003847</t>
  </si>
  <si>
    <t>0003848</t>
  </si>
  <si>
    <t>Gymnázium Benešov</t>
  </si>
  <si>
    <t>Výstavba tělocvičny Gymnázia Benešov</t>
  </si>
  <si>
    <t>0004086</t>
  </si>
  <si>
    <t>Obchodní akademie, Střední pedagogická škola a Jazyková škola s právem státní jazykové zkoušky, Beroun, U Stadionu 486</t>
  </si>
  <si>
    <t>9/2019/ŠKO</t>
  </si>
  <si>
    <t>0004071</t>
  </si>
  <si>
    <t>Střední průmyslová škola stavební a Obchodní akademie, Kladno, Cyrila Boudy 2954</t>
  </si>
  <si>
    <t>Celková rekonstrukce atletického hřiště</t>
  </si>
  <si>
    <t>0004075</t>
  </si>
  <si>
    <t>Střední škola designu a řemesel Kladno</t>
  </si>
  <si>
    <t>Změna centrálního vytápění na plynovou kotelnu</t>
  </si>
  <si>
    <t>0004076</t>
  </si>
  <si>
    <t xml:space="preserve">Střední zdravotnická škola a Vyšší odborná škola zdravotnická, Kolín, Karoliny Světlé 135 </t>
  </si>
  <si>
    <t>0004054</t>
  </si>
  <si>
    <t>Rekonstrukce výměníkové stanice</t>
  </si>
  <si>
    <t>0004055</t>
  </si>
  <si>
    <t>Základní škola a Praktická škola, Český Brod, Žitomířská 1359</t>
  </si>
  <si>
    <t>15/2019/ŠKO</t>
  </si>
  <si>
    <t>0004056</t>
  </si>
  <si>
    <t>Vybavení odborných učeben</t>
  </si>
  <si>
    <t>0004091</t>
  </si>
  <si>
    <t>Vyšší odborná škola, Střední průmyslová škola a Jazyková škola s právem státní jazykové zkoušky, Kutná Hora, Masarykova 197</t>
  </si>
  <si>
    <t>Výměna kotlů, rekonstrukce kotelny a nový rozvod tepla</t>
  </si>
  <si>
    <t>0004093</t>
  </si>
  <si>
    <t>Střední odborná škola a Střední odborné učiliště řemesel, Kutná Hora, Čáslavská 202</t>
  </si>
  <si>
    <t>0004063</t>
  </si>
  <si>
    <t>Základní škola speciální, Mladá Boleslav, Václavkova 950</t>
  </si>
  <si>
    <t>0004064</t>
  </si>
  <si>
    <t>Střední odborná škola a Střední odborné učiliště, Horky nad Jizerou 35</t>
  </si>
  <si>
    <t>PD - změna vytápění budovy školy - zámek</t>
  </si>
  <si>
    <t>0004066</t>
  </si>
  <si>
    <t>Základní umělecká škola B. M. Černohorského, Nymburk, Palackého třída 574</t>
  </si>
  <si>
    <t>Stavební úpravy v podkroví budovy ZUŠ Nymburk</t>
  </si>
  <si>
    <t>0004096</t>
  </si>
  <si>
    <t>Střední zemědělská škola, Brandýs nad Labem - Stará Boleslav, Zápská 302</t>
  </si>
  <si>
    <t>PD a zateplení budovy</t>
  </si>
  <si>
    <t>0004686</t>
  </si>
  <si>
    <t>051-39/2017/RK ze dne 13.11.17; 028-11/2017/ZK ze dne 5.12.17</t>
  </si>
  <si>
    <t>Dům dětí a mládeže Beroun</t>
  </si>
  <si>
    <t>Rekonstrukce objektu bývalého internátu</t>
  </si>
  <si>
    <t>041-02/2018/RK ze dne 15.1.2018; 015-12/2018/ZK ze dne 29.1.2018</t>
  </si>
  <si>
    <t>Vyšší odborná škola a Střední zemědělská škola, Benešov, Mendelova 131</t>
  </si>
  <si>
    <t>24/2019/ŠKO</t>
  </si>
  <si>
    <t>0004798</t>
  </si>
  <si>
    <t>Střední odborná škola a Střední odborné učiliště, Hořovice, Palackého náměstí 100</t>
  </si>
  <si>
    <t>Rekonstrukce kotelny</t>
  </si>
  <si>
    <t>0004799</t>
  </si>
  <si>
    <t>Rekonstrukce kotelny školy</t>
  </si>
  <si>
    <t>0004747</t>
  </si>
  <si>
    <t>Střední lesnická škola a Střední odborné učiliště, Křivoklát, Písky 181</t>
  </si>
  <si>
    <t>Výstavba centrální kotelny</t>
  </si>
  <si>
    <t>28/2019/ŠKO</t>
  </si>
  <si>
    <t>0004775</t>
  </si>
  <si>
    <t>Rekonstrukce výtahu - havarijní stav</t>
  </si>
  <si>
    <t>29/2019/ŠKO</t>
  </si>
  <si>
    <t>0004776</t>
  </si>
  <si>
    <t>Střední odborné učiliště potravinářské, Jílové u Prahy, Šenflukova 220</t>
  </si>
  <si>
    <t xml:space="preserve">Rekonstrukce kotelny - změna elektrokotelny na kotelnu na spalování štěpky </t>
  </si>
  <si>
    <t>30/2019/ŠKO</t>
  </si>
  <si>
    <t>0004965</t>
  </si>
  <si>
    <t>053-12/2018/Rk ze dne 6.4.2018         033-13/2018/ZK ze dne 26.4.2018</t>
  </si>
  <si>
    <t>Střední odborná škola a Střední odborné učiličtě, Nymburk, V Kolonii 1804</t>
  </si>
  <si>
    <t>Výměna výtahů</t>
  </si>
  <si>
    <t>0004988</t>
  </si>
  <si>
    <t>Komplexní rekonstrukce kanalizace v celém areálu školy</t>
  </si>
  <si>
    <t>32/2019/ŠKO</t>
  </si>
  <si>
    <t>0004989</t>
  </si>
  <si>
    <t>Základní škola a Dětský domov Sedlec-Prčice, Přestavlky 1, příspěvková organizace</t>
  </si>
  <si>
    <t>Osobní automobil - minibus - 9 míst</t>
  </si>
  <si>
    <t>0004990</t>
  </si>
  <si>
    <t>Dětský domov a Školní jídelna, Pyšely, Senohrabská 112</t>
  </si>
  <si>
    <t>0004937</t>
  </si>
  <si>
    <t>Základní umělecká škola Josefa Slavíka, Hořovice, Palackého náměstí 253</t>
  </si>
  <si>
    <t>Výstavba a rekonstrukce sociálního zařízení v budově ZUŠ</t>
  </si>
  <si>
    <t>35/2019/ŠKO</t>
  </si>
  <si>
    <t>0004967</t>
  </si>
  <si>
    <t>Dům dětí a mládeže „OSTROV“, Slaný, Šultysova 518</t>
  </si>
  <si>
    <t>Zavedení elektřiny - rekreační chata Bilichov</t>
  </si>
  <si>
    <t>36/2019/ŠKO</t>
  </si>
  <si>
    <t>0004959</t>
  </si>
  <si>
    <t>Střední odborná škola, Český Brod - Liblice, Školní 145</t>
  </si>
  <si>
    <t>Bezbariérové WC</t>
  </si>
  <si>
    <t>0004960</t>
  </si>
  <si>
    <t>Základní škola, Mateřská škola a Praktická škola Kolín, příspěvková organizace</t>
  </si>
  <si>
    <t>Bezbarierový přístup do školní jídelny</t>
  </si>
  <si>
    <t>0004961</t>
  </si>
  <si>
    <t>Gymnázium Františka Palackého, Neratovice, Masarykova 450</t>
  </si>
  <si>
    <t>0004962</t>
  </si>
  <si>
    <t>Střední škola oděvního a grafického designu, Lysá nad Labem, Stržiště 475</t>
  </si>
  <si>
    <t>Sociální zařízení v budově školy (č.p. 475)</t>
  </si>
  <si>
    <t>40/2019/ŠKO</t>
  </si>
  <si>
    <t>Školní statek Středočeského kraje, příspěvková organizace</t>
  </si>
  <si>
    <t>Obnova vinice v areálu školního statku</t>
  </si>
  <si>
    <t>0004969</t>
  </si>
  <si>
    <t>Rekonstrukce školního zařízení</t>
  </si>
  <si>
    <t>0005176</t>
  </si>
  <si>
    <t>058-19/2018/RK ze dne 4.6.2018       035-14/2018/ZK ze dne 25.6.2018</t>
  </si>
  <si>
    <t xml:space="preserve">Střední odborné učiliště, Nové Strašecí, Sportovní 1135 </t>
  </si>
  <si>
    <t>Oprava a zateplení fasády školy</t>
  </si>
  <si>
    <t>44/2019/ŠKO</t>
  </si>
  <si>
    <t>0005148</t>
  </si>
  <si>
    <t xml:space="preserve">Integrovaná střední škola, Mladá Boleslav, Na Karmeli 206 </t>
  </si>
  <si>
    <t>Stroj na výrobu cukroví a pečiva</t>
  </si>
  <si>
    <t>0005150</t>
  </si>
  <si>
    <t xml:space="preserve">Obchodní akademie, Vlašim, V Sadě 1565 </t>
  </si>
  <si>
    <t>Zateplení objektu</t>
  </si>
  <si>
    <t>46/2019/ŠKO</t>
  </si>
  <si>
    <t>0005149</t>
  </si>
  <si>
    <t xml:space="preserve">Dětský domov, Praktická škola, Základní škola a Mateřská škola Nymburk, příspěvková organizace </t>
  </si>
  <si>
    <t>Nákup vozidla pro dětský domov</t>
  </si>
  <si>
    <t>47/2019/ŠKO</t>
  </si>
  <si>
    <t>0005175</t>
  </si>
  <si>
    <t>Střední odborné učiliště, Hluboš 178</t>
  </si>
  <si>
    <t>Pořízení dvou serverů</t>
  </si>
  <si>
    <t>48/2019/ŠKO</t>
  </si>
  <si>
    <t>0005151</t>
  </si>
  <si>
    <t>Střední odborná škola a Střední odborné učiliště, Vlašim, Zámek 1</t>
  </si>
  <si>
    <t>Koupě pozemků pod areálem odloučeného pracoviště SOŠ a SOU Vlašim v obci Tehov</t>
  </si>
  <si>
    <t>BEZ VZ</t>
  </si>
  <si>
    <t xml:space="preserve">Střední průmyslová škola, Vlašim, Komenského 41 </t>
  </si>
  <si>
    <t xml:space="preserve">Olepovačka hran </t>
  </si>
  <si>
    <t xml:space="preserve">Workoutové streetové hřiště </t>
  </si>
  <si>
    <t>Fotbalová miniaréna – tělesná výchova a sport</t>
  </si>
  <si>
    <t xml:space="preserve">Dětský domov a Školní jídelna, Pyšely, Senohrabská 112  </t>
  </si>
  <si>
    <t xml:space="preserve">Osobní automobil 9 míst </t>
  </si>
  <si>
    <t xml:space="preserve">Dům dětí a mládeže „Na Výstavišti“, Mladá Boleslav, Husova 201  </t>
  </si>
  <si>
    <t>Celková obnova chatek a klubovny v Bezdědicích</t>
  </si>
  <si>
    <t xml:space="preserve">Střední odborná škola a Střední odborné učiliště, Horky nad Jizerou 35 </t>
  </si>
  <si>
    <t>Work out – sportovní zařízení pro školní zahradu</t>
  </si>
  <si>
    <t xml:space="preserve">Střední zdravotnická škola a Vyšší odborná škola zdravotnická, Nymburk, Soudní 20 </t>
  </si>
  <si>
    <t>Střední odborná škola a Střední odborné učiliště, Městec Králové, T. G. Masaryka 4</t>
  </si>
  <si>
    <t>Soustruh</t>
  </si>
  <si>
    <t>59/2019/ŠKO</t>
  </si>
  <si>
    <t xml:space="preserve">Střední odborná škola a Střední odborné učiliště, Městec Králové, T. G. Masaryka 4 </t>
  </si>
  <si>
    <t xml:space="preserve">Zhotovení Work out hřiště </t>
  </si>
  <si>
    <t>Střední průmyslová škola a Vyšší odborná škola, Kladno, Jana Palacha 1840</t>
  </si>
  <si>
    <t>Zhotovení Work out hřiště</t>
  </si>
  <si>
    <t>Dětský domov a Školní jídelna, Nové Strašecí, Okružní 647</t>
  </si>
  <si>
    <t>Modernizace a rekonstrukce fyzikálního areálu školy</t>
  </si>
  <si>
    <t>63/2019/ŠKO</t>
  </si>
  <si>
    <t>PD na rekonstrukci dílny OV na svařovnu</t>
  </si>
  <si>
    <t>Odkoupení pozemku (vinice Mělník)</t>
  </si>
  <si>
    <t>65/2019/ŠKO</t>
  </si>
  <si>
    <t>Střední průmyslová škola, Vlašim, Komenského 41</t>
  </si>
  <si>
    <t>Automobil</t>
  </si>
  <si>
    <t>Gymnázium Joachima Barranda, Beroun, Talichova 824</t>
  </si>
  <si>
    <t>Tělocvična pro Gymnázium Joachima Barranda</t>
  </si>
  <si>
    <t>0001913</t>
  </si>
  <si>
    <t>Oblastní  muzeum Praha - východ</t>
  </si>
  <si>
    <t>Památník národního útlaku a odboje Panenské Břežany - III. etapa zahrada</t>
  </si>
  <si>
    <t>KUL</t>
  </si>
  <si>
    <t>2/2019/KUL</t>
  </si>
  <si>
    <t>0002405</t>
  </si>
  <si>
    <t>008-08/2013/RK ze dne 25.02.13                004-03/2013/ZK ze dne 11.03.13</t>
  </si>
  <si>
    <t>Muzeum Mladoboleslavska</t>
  </si>
  <si>
    <t>Letecké muzeum Metoděje Vlacha - ozvučení</t>
  </si>
  <si>
    <t>Akce ukončena</t>
  </si>
  <si>
    <t>3/2019/KUL</t>
  </si>
  <si>
    <t>0003338</t>
  </si>
  <si>
    <t>Galerie Středočeského kraje</t>
  </si>
  <si>
    <t>Fixace nohou venkovního pódia</t>
  </si>
  <si>
    <t>4/2019/KUL</t>
  </si>
  <si>
    <t>0003401</t>
  </si>
  <si>
    <t>Rabasova galerie Rakovník</t>
  </si>
  <si>
    <t>Stavební úpravy a dostavba galerie - nákup rodinného domu č.p. 98</t>
  </si>
  <si>
    <t>České muzeum stříbra Kutná Hora</t>
  </si>
  <si>
    <t>Regionální muzeum v Kolíně</t>
  </si>
  <si>
    <t>12/2019</t>
  </si>
  <si>
    <t>Středočeské muzeum v Roztokách u Prahy</t>
  </si>
  <si>
    <t>12/2020</t>
  </si>
  <si>
    <t>0004013</t>
  </si>
  <si>
    <t>Galerie středočeského kraje</t>
  </si>
  <si>
    <t>Vybudování kongresového centra v budově parkovacího domu</t>
  </si>
  <si>
    <t>9/2019/KUL</t>
  </si>
  <si>
    <t>0004358</t>
  </si>
  <si>
    <t>060-26/2017/RK ze dne 20.7.2017; 044-36/2017/RK ze dne 12.10.17; 009-10/2017/ZK ze dne 24.10.2017</t>
  </si>
  <si>
    <t>Umístění poutače vojenského letounu před Letecké muzeum Metoděje Vlacha</t>
  </si>
  <si>
    <t>Oblastní muzeum Praha-východ</t>
  </si>
  <si>
    <t>11/2019/KUL</t>
  </si>
  <si>
    <t>0004363</t>
  </si>
  <si>
    <t>Výstavba schodiště z chodby na půdu v Arnoldinovském domě</t>
  </si>
  <si>
    <t>6/2019</t>
  </si>
  <si>
    <t>12/2019/KUL</t>
  </si>
  <si>
    <t>0004357</t>
  </si>
  <si>
    <t>Nákup pozemku v areálu Muzea lidových staveb v Kouřimi</t>
  </si>
  <si>
    <t>13/2019/KUL</t>
  </si>
  <si>
    <t>0004463</t>
  </si>
  <si>
    <t>Památník Karla Čapka ve Staré Huti u Dobříše</t>
  </si>
  <si>
    <t>Výstavba čistírny odpadních vod</t>
  </si>
  <si>
    <t>14/2019/KUL</t>
  </si>
  <si>
    <t>0004466</t>
  </si>
  <si>
    <t>Výměna kotlů na vytápění ústředního topení v Arnoldinovském domě</t>
  </si>
  <si>
    <t>15/2019/KUL</t>
  </si>
  <si>
    <t>0004468</t>
  </si>
  <si>
    <t>Muzeum Českého krasu</t>
  </si>
  <si>
    <t>Projektová příprava rekonstrukce</t>
  </si>
  <si>
    <t>3/2019</t>
  </si>
  <si>
    <t>16/2019/KUL</t>
  </si>
  <si>
    <t>0004609</t>
  </si>
  <si>
    <t>017-34/2017/RK ze dne 21. 9. 17; 051-39/2017/RK ze dne 13.11.17; 028-11/2017/ZK ze dne 5.12.17</t>
  </si>
  <si>
    <t>Ústav archeologické a památkové péče středních Čech</t>
  </si>
  <si>
    <t>Pořízení 3 služebních vozu pro Ústav archeologické a památkové péče středních Čech</t>
  </si>
  <si>
    <t>17/2019/KUL</t>
  </si>
  <si>
    <t>0004612</t>
  </si>
  <si>
    <t xml:space="preserve">Polabské muzeum </t>
  </si>
  <si>
    <t>Pořízení služebního vozu pro Polabské muzeum</t>
  </si>
  <si>
    <t>18/2019/KUL</t>
  </si>
  <si>
    <t>0004615</t>
  </si>
  <si>
    <t>Památník A. Dvořáka ve Vysoké u Příbrami</t>
  </si>
  <si>
    <t>Pořízení služebního vozu pro Památník A. Dvořáka ve Vysoké u Příbrami</t>
  </si>
  <si>
    <t>Sbírkotvorná činnost příspěvkových organizací - rozšiřování sbírek nákupem předmětů</t>
  </si>
  <si>
    <t>0005086</t>
  </si>
  <si>
    <t>21/2019/KUL</t>
  </si>
  <si>
    <t>0005152</t>
  </si>
  <si>
    <t>Polabské muzeum</t>
  </si>
  <si>
    <t>Rekonstrukce sociálního zařízení pro návštěvníky v areálu Polabského národopisného muzea v Přerově nad Labem</t>
  </si>
  <si>
    <t>22/2019/KUL</t>
  </si>
  <si>
    <t>0005153</t>
  </si>
  <si>
    <t>Regionální muzeum v Jílovém u Prahy</t>
  </si>
  <si>
    <t>Nákup pozemku v areálu Regionálního muzea v Jílovém u Prahy, p. o.</t>
  </si>
  <si>
    <t>Snížení celkových nákladů</t>
  </si>
  <si>
    <t>23/2019/KUL</t>
  </si>
  <si>
    <t>0005185</t>
  </si>
  <si>
    <t>Úprava prostoru pokladny muzea včetně nového vybavení</t>
  </si>
  <si>
    <t>24/2019/KUL</t>
  </si>
  <si>
    <t>0005186</t>
  </si>
  <si>
    <t>Statické zajištění stodoly v areálu Polabského národopisného muzea Přerov nad Labem</t>
  </si>
  <si>
    <t>Hornické muzeum Příbram</t>
  </si>
  <si>
    <t xml:space="preserve">Sládečkovo vlastivědné muzeum v Kladně </t>
  </si>
  <si>
    <t>27/2019/KUL</t>
  </si>
  <si>
    <t>0005456</t>
  </si>
  <si>
    <t xml:space="preserve">Doplnění nábytkových sestav pro návštěvníky </t>
  </si>
  <si>
    <t>28/2019/KUL</t>
  </si>
  <si>
    <t>0005457</t>
  </si>
  <si>
    <t>České muzeum stříbra</t>
  </si>
  <si>
    <t>Výměna venkovního schodiště u východu z dolu</t>
  </si>
  <si>
    <t>0005458</t>
  </si>
  <si>
    <t>31/2019/KUL</t>
  </si>
  <si>
    <t>0005463</t>
  </si>
  <si>
    <t>Nákup pozemku v průmyslové zóně pro centrální depozitář Kolín</t>
  </si>
  <si>
    <t>0005464</t>
  </si>
  <si>
    <t>33/2019/KUL</t>
  </si>
  <si>
    <t>Rekonstrukce sociálního zařízení a úprava technického zázemí v Památníku Josefa Lady a jeho dcery v Hrusicích</t>
  </si>
  <si>
    <t>34/2019/KUL</t>
  </si>
  <si>
    <t>Workoutové hřiště u Leteckého muzea Metoděje Vlacha v MB</t>
  </si>
  <si>
    <t>35/2019/KUL</t>
  </si>
  <si>
    <t xml:space="preserve">Rekonstrukce pokladny </t>
  </si>
  <si>
    <t>36/2019/KUL</t>
  </si>
  <si>
    <t>Socha architekta Krohy</t>
  </si>
  <si>
    <t>37/2019/KUL</t>
  </si>
  <si>
    <t xml:space="preserve">Výstavba vstupního objektu ve skanzenu Muzea lidových staveb v Kouřimi </t>
  </si>
  <si>
    <t>Muzeum T. G. M. Rakovník</t>
  </si>
  <si>
    <t>40/2019/KUL</t>
  </si>
  <si>
    <t>41/2019/KUL</t>
  </si>
  <si>
    <t>Rekonstrukce parku Památníku Antonína Dvořáka</t>
  </si>
  <si>
    <t>42/2019/KUL</t>
  </si>
  <si>
    <t>Vybudování nového topení a čističky vody</t>
  </si>
  <si>
    <t>43/2019/KUL</t>
  </si>
  <si>
    <t xml:space="preserve"> Expanzní nádoby na zvýšení tlaku vody</t>
  </si>
  <si>
    <t>44/2019/KUL</t>
  </si>
  <si>
    <t>Modernizace expozice</t>
  </si>
  <si>
    <t>45/2019/KUL</t>
  </si>
  <si>
    <t>Koupě části pozemku p.č. 402/1 v k.ú. Vysoká u Příbrami</t>
  </si>
  <si>
    <t>46/2019/KUL</t>
  </si>
  <si>
    <t>Zastřešení venkovního schodiště budovy Konírna</t>
  </si>
  <si>
    <t>47/2019/KUL</t>
  </si>
  <si>
    <t>Modernizace galerijního osvětlení expozice systémem LED v Arnoldinovském domě</t>
  </si>
  <si>
    <t>48/2019/KUL</t>
  </si>
  <si>
    <t>Prodloužení podchodu Roztoky, společná investice SŽDC z roztockého nádraží do zámku</t>
  </si>
  <si>
    <t>ON Ml. Boleslav, a.s., nem. SČK</t>
  </si>
  <si>
    <t>ZDR</t>
  </si>
  <si>
    <t>0002170</t>
  </si>
  <si>
    <t>ON Kladno, a.s., nem. SČK</t>
  </si>
  <si>
    <t>Generel nemocnice Kladno - Rekonstrukce bloku C2</t>
  </si>
  <si>
    <t>3/2019/ZDR</t>
  </si>
  <si>
    <t>0002011</t>
  </si>
  <si>
    <t>054-05/2014/RK ze dne 03.02.14               010-10/2014/ZK ze dne 24.02.14</t>
  </si>
  <si>
    <t>Rekonstrukce a dostavba pavilonu č. 4 a 6 ON Mladá Boleslav, a.s., nem. SČK</t>
  </si>
  <si>
    <t>0001500</t>
  </si>
  <si>
    <t xml:space="preserve">025-12/2015/RK ze dne 7.4.2015               007-16/2015/ZK ze dne 27.4.2015  </t>
  </si>
  <si>
    <t>ON Kolín, a.s., nem. SČK</t>
  </si>
  <si>
    <t>Pořízení zdravotnické technologie pro Pavilon "N" - neproplacené dotace ROP</t>
  </si>
  <si>
    <t>5/2019/ZDR</t>
  </si>
  <si>
    <t>0003347</t>
  </si>
  <si>
    <t xml:space="preserve">025-12/2015/RK ze dne 7.4.2015               007-16/2015/ZK ze dne 27.4.2015     </t>
  </si>
  <si>
    <t>6/2019/ZDR</t>
  </si>
  <si>
    <t>0003350</t>
  </si>
  <si>
    <t>Dětské centrum Chocerady</t>
  </si>
  <si>
    <t>Konvektomat</t>
  </si>
  <si>
    <t>7/2019/ZDR</t>
  </si>
  <si>
    <t>0003351</t>
  </si>
  <si>
    <t>Nákup kopírovacího stroje</t>
  </si>
  <si>
    <t>8/2019/ZDR</t>
  </si>
  <si>
    <t>0003354</t>
  </si>
  <si>
    <t>ON Kolín, a.s., nem. SČK - LDN Vojkov</t>
  </si>
  <si>
    <t>Rekonstrukce čističky odpadních vod (ČOV)</t>
  </si>
  <si>
    <t>9/2019/ZDR</t>
  </si>
  <si>
    <t>0003392</t>
  </si>
  <si>
    <t>0002923</t>
  </si>
  <si>
    <t>Dětské centrum Strančice</t>
  </si>
  <si>
    <t>Rekonstrukce dětského centra Chocerady</t>
  </si>
  <si>
    <t>11/2019/ZDR</t>
  </si>
  <si>
    <t>0003750</t>
  </si>
  <si>
    <t>Implementace systému ARBES FEIS v ON Kladno</t>
  </si>
  <si>
    <t>12/2019/ZDR</t>
  </si>
  <si>
    <t>0004205</t>
  </si>
  <si>
    <t>Obnova zdravotnické techniky v havarijním stavu</t>
  </si>
  <si>
    <t>13/2019/ZDR</t>
  </si>
  <si>
    <t>0004305</t>
  </si>
  <si>
    <t>Rekonstrukce pavilónu Patologie - projekt</t>
  </si>
  <si>
    <t>15/2019/ZDR</t>
  </si>
  <si>
    <t>0004307</t>
  </si>
  <si>
    <t xml:space="preserve">Zateplení pavilónu V - projekt </t>
  </si>
  <si>
    <t>16/2019/ZDR</t>
  </si>
  <si>
    <t>0004308</t>
  </si>
  <si>
    <t xml:space="preserve">Zateplení pavilónu J - projekt </t>
  </si>
  <si>
    <t>17/2019/ZDR</t>
  </si>
  <si>
    <t>0004310</t>
  </si>
  <si>
    <t>ON Příbram, a.s.</t>
  </si>
  <si>
    <t>Dokončení rekonstrukce křídla D4 monobloku - ambulance a zákrokové sály</t>
  </si>
  <si>
    <t>18/2019/ZDR</t>
  </si>
  <si>
    <t>0004313</t>
  </si>
  <si>
    <t>Zdravotnická záchranná služba Středočeského kraje</t>
  </si>
  <si>
    <t>Zajištění kybernetické bezpečnosti ZZS SČK</t>
  </si>
  <si>
    <t>19/2019/ZDR</t>
  </si>
  <si>
    <t>0004441</t>
  </si>
  <si>
    <t>Rekonstrukce v hlavním pavilonu Nemocnice Kutná Hora</t>
  </si>
  <si>
    <t>21/2019/ZDR</t>
  </si>
  <si>
    <t>Rekonstrukce porodního oddělení a lůžkového oddělení intermediální a pooperační péče</t>
  </si>
  <si>
    <t>22/2019/ZDR</t>
  </si>
  <si>
    <t>0004975</t>
  </si>
  <si>
    <t>Vybavení interiérů Chocerady</t>
  </si>
  <si>
    <t>23/2019/ZDR</t>
  </si>
  <si>
    <t>Nem. Rudolfa a Stefanie Benešov, a. s., nem. SČK</t>
  </si>
  <si>
    <t>Komplexní rehabilitační centrum - projektová dokumentace</t>
  </si>
  <si>
    <t>24/2019/ZDR</t>
  </si>
  <si>
    <t>Rekonstrukce interního pavilonu - projektová dokumentace</t>
  </si>
  <si>
    <t>25/2019/ZDR</t>
  </si>
  <si>
    <t>Havarijní stav zastaralé RTG techniky</t>
  </si>
  <si>
    <t>27/2019/ZDR</t>
  </si>
  <si>
    <t>ON Kladno – projektové dokumentace</t>
  </si>
  <si>
    <t>28/2019/ZDR</t>
  </si>
  <si>
    <t>Záložní zdroje - obnova a doplnění</t>
  </si>
  <si>
    <t>29/2019/ZDR</t>
  </si>
  <si>
    <t>Projekty modernizace IT - dofinancování</t>
  </si>
  <si>
    <t>30/2019/ZDR</t>
  </si>
  <si>
    <t>Digitální mamograf s akviziční vyhodnocovací stanicí</t>
  </si>
  <si>
    <t>31/2019/ZDR</t>
  </si>
  <si>
    <t>Projekt a výstavba technicko-hospodářského bloku Chocerady - projektová dokumentace</t>
  </si>
  <si>
    <t>32/2019/ZDR</t>
  </si>
  <si>
    <t>33/2019/ZDR</t>
  </si>
  <si>
    <t>Automobily pro domácí zdravotní péči</t>
  </si>
  <si>
    <t>34/2019/ZDR</t>
  </si>
  <si>
    <t>Sanitní automobily</t>
  </si>
  <si>
    <t>35/2019/ZDR</t>
  </si>
  <si>
    <t>Oblastní nemocnice Příbram, a. s</t>
  </si>
  <si>
    <t>Lůžkové oddělení paliativní péče</t>
  </si>
  <si>
    <t>36/2019/ZDR</t>
  </si>
  <si>
    <t>Rekonstrukce Dětského centra Chocerady – technickohospodářský objekt</t>
  </si>
  <si>
    <t>37/2019/ZDR</t>
  </si>
  <si>
    <t>Rekonstrukce prostor JIP chirurgického oddělení</t>
  </si>
  <si>
    <t>Jiné zdroje = vlastní prostředky nemocnice.</t>
  </si>
  <si>
    <t>38/2019/ZDR</t>
  </si>
  <si>
    <t>045-24/2018/RK ze dne 6.8.2018
041-15/2018/ZK ze dne 27.8.2019</t>
  </si>
  <si>
    <t>Vybudování kožních ambulancí</t>
  </si>
  <si>
    <t>39/2019/ZDR</t>
  </si>
  <si>
    <t>Modernizace protialkoholní a protitoxikomanické záchytné služby</t>
  </si>
  <si>
    <t>40/2019/ZDR</t>
  </si>
  <si>
    <t>045-24/2018/RK ze dne 6.8.2018
041-15/2018/ZK ze dne 27.8.2021</t>
  </si>
  <si>
    <t>Zvýšení kvality zdravotní péče</t>
  </si>
  <si>
    <t>41/2019/ZDR</t>
  </si>
  <si>
    <t>045-24/2018/RK ze dne 6.8.2018
041-15/2018/ZK ze dne 27.8.2022</t>
  </si>
  <si>
    <t>Bezpečnostní opatření v nemocnici</t>
  </si>
  <si>
    <t>43/2019/ZDR</t>
  </si>
  <si>
    <t>045-24/2018/RK ze dne 6.8.2018
041-15/2018/ZK ze dne 27.8.2024</t>
  </si>
  <si>
    <t>Rekonstrukce prostor endocentra</t>
  </si>
  <si>
    <t>44/2019/ZDR</t>
  </si>
  <si>
    <t>045-24/2018/RK ze dne 6.8.2018
041-15/2018/ZK ze dne 27.8.2025</t>
  </si>
  <si>
    <t>Chladící boxy pro THO</t>
  </si>
  <si>
    <t>45/2019/ZDR</t>
  </si>
  <si>
    <t>045-24/2018/RK ze dne 6.8.2018
041-15/2018/ZK ze dne 27.8.2026</t>
  </si>
  <si>
    <t>Smart Chiller, digitizér AGFA - akutní havárie</t>
  </si>
  <si>
    <t>46/2019/ZDR</t>
  </si>
  <si>
    <t>045-24/2018/RK ze dne 6.8.2018
041-15/2018/ZK ze dne 27.8.2027</t>
  </si>
  <si>
    <t>Obměna porodních lůžek</t>
  </si>
  <si>
    <t>47/2019/ZDR</t>
  </si>
  <si>
    <t>045-24/2018/RK ze dne 6.8.2018
041-15/2018/ZK ze dne 27.8.2028</t>
  </si>
  <si>
    <t>Zajištění projektové dokumentace na rekonstrukci křídel D2 a N monobloku</t>
  </si>
  <si>
    <t>48/2019/ZDR</t>
  </si>
  <si>
    <t>Protipožární vybavení</t>
  </si>
  <si>
    <t>49/2019/ZDR</t>
  </si>
  <si>
    <t>Vybavení onkologického stacionáře</t>
  </si>
  <si>
    <t>50/2019/ZDR</t>
  </si>
  <si>
    <t>Výměna antidekubitních matrací</t>
  </si>
  <si>
    <t>51/2019/ZDR</t>
  </si>
  <si>
    <t>Rekonstrukce ústavní jídelny</t>
  </si>
  <si>
    <t>52/2019/ZDR</t>
  </si>
  <si>
    <t>Rekonstrukce trafostanice</t>
  </si>
  <si>
    <t>53/2019/ZDR</t>
  </si>
  <si>
    <t>Rehabilitační přístroje</t>
  </si>
  <si>
    <t>54/2019/ZDR</t>
  </si>
  <si>
    <t>Vybudování odstavné plochy a rekonstrukce komunikací</t>
  </si>
  <si>
    <t>55/2019/ZDR</t>
  </si>
  <si>
    <t>Pasivní chlazení budov</t>
  </si>
  <si>
    <t>56/2019/ZDR</t>
  </si>
  <si>
    <t>Chlazení vybraných zdravotnických provozů, elektroinstalační práce, rozvody medicinálních plynů, dorozumívací zařízení sestra - pacient</t>
  </si>
  <si>
    <t>57/2019/ZDR</t>
  </si>
  <si>
    <t>ON Kolín, a. s., 
nem. SČK</t>
  </si>
  <si>
    <t>ON Kolín, a. s., nem. SČK</t>
  </si>
  <si>
    <t>Náhradní prostory pro gynekologii</t>
  </si>
  <si>
    <t>58/2019/ZDR</t>
  </si>
  <si>
    <t>Rozšíření potrubní pošty do objektu "D"</t>
  </si>
  <si>
    <t>59/2019/ZDR</t>
  </si>
  <si>
    <t>Nemocniční lůžka</t>
  </si>
  <si>
    <t>60/2019/ZDR</t>
  </si>
  <si>
    <t>Snížení rizik při poskytování zdravotní péče v areálu Oblastní nemocnice Mladá Boleslav, a. s., nemocnice Středočeského kraje</t>
  </si>
  <si>
    <t>61/2019/ZDR</t>
  </si>
  <si>
    <t>Pořízení zdravotnické techniky</t>
  </si>
  <si>
    <t>62/2019/ZDR</t>
  </si>
  <si>
    <t>Stavební úpravy spojené s pořízením nové zobrazovací techniky</t>
  </si>
  <si>
    <t>63/2019/ZDR</t>
  </si>
  <si>
    <t>Vybavení lůžkového oddělení paliativní péče</t>
  </si>
  <si>
    <t>64/2019/ZDR</t>
  </si>
  <si>
    <t>Sanitní vozidla</t>
  </si>
  <si>
    <t>65/2019/ZDR</t>
  </si>
  <si>
    <t>Rekonstrukce a rozšíření CCTV</t>
  </si>
  <si>
    <t>66/2019/ZDR</t>
  </si>
  <si>
    <t>Dovybavení ICT</t>
  </si>
  <si>
    <t>0002348</t>
  </si>
  <si>
    <t>Železniční zastávky v Hostivici, Chýni, Rudné a Jinočanech - neželezniční části</t>
  </si>
  <si>
    <t>REG</t>
  </si>
  <si>
    <t>Středočeská centrála cestovního ruchu</t>
  </si>
  <si>
    <t>1/2019/ŘDP</t>
  </si>
  <si>
    <t>0003821</t>
  </si>
  <si>
    <t>RDK</t>
  </si>
  <si>
    <t>Pořízení HW a SW vybavení pro zajištění činnosti Regionální dotační kanceláře, příspěvková organizace</t>
  </si>
  <si>
    <t>ŘDP</t>
  </si>
  <si>
    <t>0004312</t>
  </si>
  <si>
    <t>OŽP</t>
  </si>
  <si>
    <t>Zajištění zabezpečenosti dodávky vody pro území Středočeského kraje v rámci Pražské metropolitní oblasti</t>
  </si>
  <si>
    <t>1/2019/SOC</t>
  </si>
  <si>
    <t>0004264</t>
  </si>
  <si>
    <t>Domov pod lípou</t>
  </si>
  <si>
    <t>Rekonstrukce výtahu + nastavení výtahové šachty</t>
  </si>
  <si>
    <t>SOC</t>
  </si>
  <si>
    <t>2/2019/SOC</t>
  </si>
  <si>
    <t>0004265</t>
  </si>
  <si>
    <t>Domov Rožďalovice</t>
  </si>
  <si>
    <t>Rekonstrukce centrálních koupelen - Zámek i Klášter</t>
  </si>
  <si>
    <t>3/2019/SOC</t>
  </si>
  <si>
    <t>0004266</t>
  </si>
  <si>
    <t>Domov Sedlčany</t>
  </si>
  <si>
    <t>Rekonstrukce výtahů</t>
  </si>
  <si>
    <t>0004267</t>
  </si>
  <si>
    <t>Domov seniorů Vidim</t>
  </si>
  <si>
    <t>Rekonstrukce el. rozvodů, topení, vody a vnitřních odpadů</t>
  </si>
  <si>
    <t>6/2019/SOC</t>
  </si>
  <si>
    <t>0004270</t>
  </si>
  <si>
    <t>Zřízení protipožární stěny na společných chodbách</t>
  </si>
  <si>
    <t>7/2019/SOC</t>
  </si>
  <si>
    <t>0004271</t>
  </si>
  <si>
    <t>Centrum psychologicko-sociálního poradenství</t>
  </si>
  <si>
    <t>Stavební úpravy ve stávajících sociálních zařízeních přízemí a 1. patro budovy S. K. Neumanna 251, Rakovník</t>
  </si>
  <si>
    <t>8/2019/SOC</t>
  </si>
  <si>
    <t>0004272</t>
  </si>
  <si>
    <t>Domov seniorů Benešov</t>
  </si>
  <si>
    <t>Výměna zařízení sestra - pacient</t>
  </si>
  <si>
    <t>9/2019/SOC</t>
  </si>
  <si>
    <t>0004442</t>
  </si>
  <si>
    <t>Domov Hačka se sídlem v Olešce</t>
  </si>
  <si>
    <t>Instalace EPS</t>
  </si>
  <si>
    <t>10/2019/SOC</t>
  </si>
  <si>
    <t>0004443</t>
  </si>
  <si>
    <t>022-29/2017/RK ze dne 17.8.17; 044-36/2017/RK ze dne 12.10.17; 009-10/2017/ZK ze dne 24.10.2017</t>
  </si>
  <si>
    <t>Záměr nákupu objektu Žižice</t>
  </si>
  <si>
    <t>11/2019/SOC</t>
  </si>
  <si>
    <t>0004629</t>
  </si>
  <si>
    <t>Domov Pod Skalami Kurovodice</t>
  </si>
  <si>
    <t>Rekonstrukce rozvodů</t>
  </si>
  <si>
    <t>0004634</t>
  </si>
  <si>
    <t xml:space="preserve">Rekonstrukce budovy č.2 </t>
  </si>
  <si>
    <t>13/2019/SOC</t>
  </si>
  <si>
    <t>0004635</t>
  </si>
  <si>
    <t>Rekonstrukce pokojů klientů a elektronické požární signalizace</t>
  </si>
  <si>
    <t>14/2019/SOC</t>
  </si>
  <si>
    <t>0004636</t>
  </si>
  <si>
    <t xml:space="preserve">Rekonstrukce dvou plynových kotelen </t>
  </si>
  <si>
    <t>15/2019/SOC</t>
  </si>
  <si>
    <t>0004638</t>
  </si>
  <si>
    <t>Domov Domino Zavidov</t>
  </si>
  <si>
    <t>Změna projektové dokumentace</t>
  </si>
  <si>
    <t>16/2019/SOC</t>
  </si>
  <si>
    <t>0004640</t>
  </si>
  <si>
    <t>Pořízení automobilu 2x</t>
  </si>
  <si>
    <t>17/2019/SOC</t>
  </si>
  <si>
    <t>0004641</t>
  </si>
  <si>
    <t>Zahrada Kladno</t>
  </si>
  <si>
    <t>Zabezpečení objektu šachtice na rampě</t>
  </si>
  <si>
    <t>18/2019/SOC</t>
  </si>
  <si>
    <t>0004643</t>
  </si>
  <si>
    <t>Domov seniorů TGM</t>
  </si>
  <si>
    <t>Pračka</t>
  </si>
  <si>
    <t>19/2019/SOC</t>
  </si>
  <si>
    <t>0004644</t>
  </si>
  <si>
    <t>Sušička</t>
  </si>
  <si>
    <t>20/2019/SOC</t>
  </si>
  <si>
    <t>0004645</t>
  </si>
  <si>
    <t>Stropní kolejový systém na rehabilitaci</t>
  </si>
  <si>
    <t>21/2019/SOC</t>
  </si>
  <si>
    <t>0004646</t>
  </si>
  <si>
    <t>Domov Hostomice - Zátor</t>
  </si>
  <si>
    <t xml:space="preserve">Vyasfaltování cesty v parku </t>
  </si>
  <si>
    <t>22/2019/SOC</t>
  </si>
  <si>
    <t>0004648</t>
  </si>
  <si>
    <t>Domov Hačka</t>
  </si>
  <si>
    <t>Pořízení automobilu</t>
  </si>
  <si>
    <t>0004649</t>
  </si>
  <si>
    <t>24/2019/SOC</t>
  </si>
  <si>
    <t>0004657</t>
  </si>
  <si>
    <t>Domov Mladá</t>
  </si>
  <si>
    <t>Nákup praček</t>
  </si>
  <si>
    <t>25/2019/SOC</t>
  </si>
  <si>
    <t>0004658</t>
  </si>
  <si>
    <t>26/2019/SOC</t>
  </si>
  <si>
    <t>0004660</t>
  </si>
  <si>
    <t>Domov seniorů Úvaly</t>
  </si>
  <si>
    <t>Výměna osobního výtahu</t>
  </si>
  <si>
    <t>27/2019/SOC</t>
  </si>
  <si>
    <t>0004661</t>
  </si>
  <si>
    <t>Domov Velvary</t>
  </si>
  <si>
    <t>Rekonstrukce příjezdové cesty</t>
  </si>
  <si>
    <t>28/2019/SOC</t>
  </si>
  <si>
    <t>ZSI Kladno</t>
  </si>
  <si>
    <t>Oprava komína v objektu Jana Palacha 1643</t>
  </si>
  <si>
    <t>29/2019/SOC</t>
  </si>
  <si>
    <t>0004663</t>
  </si>
  <si>
    <t>Rekonstrukce schodů a obložení v objektu Jana Palacha 1643</t>
  </si>
  <si>
    <t>30/2019/SOC</t>
  </si>
  <si>
    <t>0004664</t>
  </si>
  <si>
    <t>Výměna oken v objektu Generála Eliáše 483</t>
  </si>
  <si>
    <t>31/2019/SOC</t>
  </si>
  <si>
    <t>Rekonstrukce střechy DOZP</t>
  </si>
  <si>
    <t>32/2019/SOC</t>
  </si>
  <si>
    <t>0005104</t>
  </si>
  <si>
    <t>Centrum 83</t>
  </si>
  <si>
    <t>Rekonstrukce suterénu Havlíčkova ul.</t>
  </si>
  <si>
    <t>33/2019/SOC</t>
  </si>
  <si>
    <t>0005105</t>
  </si>
  <si>
    <t>Domov Pod Lípou</t>
  </si>
  <si>
    <t>Rekonstrukce podkroví domova</t>
  </si>
  <si>
    <t>34/2019/SOC</t>
  </si>
  <si>
    <t>Rekonstrukce venkovních rozvodů dešťové kanalizace</t>
  </si>
  <si>
    <t>35/2019/SOC</t>
  </si>
  <si>
    <t>Rekonstrukce balkonů a zábradlí</t>
  </si>
  <si>
    <t>36/2019/SOC</t>
  </si>
  <si>
    <t>0004662</t>
  </si>
  <si>
    <t>Výstavba nového plotu</t>
  </si>
  <si>
    <t>37/2019/SOC</t>
  </si>
  <si>
    <t>0005136</t>
  </si>
  <si>
    <t>Rekonstrukce pěší komunikace v rámci areálu</t>
  </si>
  <si>
    <t>39/2019/SOC</t>
  </si>
  <si>
    <t>Domov Buda</t>
  </si>
  <si>
    <t>Rekonstrukce topení</t>
  </si>
  <si>
    <t>40/2019/SOC</t>
  </si>
  <si>
    <t>Domov seniorů Dobříš</t>
  </si>
  <si>
    <t>Rekonstrukce nádrží</t>
  </si>
  <si>
    <t>41/2019/SOC</t>
  </si>
  <si>
    <t>Dům seniorů Mladá Boleslav</t>
  </si>
  <si>
    <t>Pořízení kompaktní pečící pánve</t>
  </si>
  <si>
    <t>42/2019/SOC</t>
  </si>
  <si>
    <t>Domov Uhlířské Janovice</t>
  </si>
  <si>
    <t>Pořízení myčky černého nádobí</t>
  </si>
  <si>
    <t>43/2019/SOC</t>
  </si>
  <si>
    <t>Luxor Poděbrady</t>
  </si>
  <si>
    <t>44/2019/SOC</t>
  </si>
  <si>
    <t>Výměna vnitřních zárubní a dveří</t>
  </si>
  <si>
    <t>47/2019/SOC</t>
  </si>
  <si>
    <t>Myčka nádobí</t>
  </si>
  <si>
    <t>48/2019/SOC</t>
  </si>
  <si>
    <t>Domov seniorů Uhlířské Janovice</t>
  </si>
  <si>
    <t>Nákup vícemístného automobilu</t>
  </si>
  <si>
    <t>49/2019/SOC</t>
  </si>
  <si>
    <t>Stavební úpravy pro SAS</t>
  </si>
  <si>
    <t>50/2019/SOC</t>
  </si>
  <si>
    <t>Rekonstrukce střech na 4. pavilonu</t>
  </si>
  <si>
    <t>51/2019/SOC</t>
  </si>
  <si>
    <t>Domov Na Zámku Lysá</t>
  </si>
  <si>
    <t>Rekonstrukce podlah přízemí</t>
  </si>
  <si>
    <t>52/2019/SOC</t>
  </si>
  <si>
    <t>Zelená Lípa Hostivice</t>
  </si>
  <si>
    <t>Myčka podložních mís</t>
  </si>
  <si>
    <t>53/2019/SOC</t>
  </si>
  <si>
    <t>Domov Kytín</t>
  </si>
  <si>
    <t>Universální šlehač a hnětací stroj</t>
  </si>
  <si>
    <t>54/2019/SOC</t>
  </si>
  <si>
    <t>Průmyslová sušička prádla</t>
  </si>
  <si>
    <t>Nalžovický zámek</t>
  </si>
  <si>
    <t>56/2019/SOC</t>
  </si>
  <si>
    <t>Centrum Rožmitál pod Třemšínem</t>
  </si>
  <si>
    <t>Multisenzorická zahrada</t>
  </si>
  <si>
    <t>57/2019/SOC</t>
  </si>
  <si>
    <t>Domov Březnice</t>
  </si>
  <si>
    <t>Nákup mandlu</t>
  </si>
  <si>
    <t>58/2019/SOC</t>
  </si>
  <si>
    <t>3 ka průmyslových praček</t>
  </si>
  <si>
    <t>59/2019/SOC</t>
  </si>
  <si>
    <t>Domov seniorů Nové Strašecí</t>
  </si>
  <si>
    <t>60/2019/SOC</t>
  </si>
  <si>
    <t>Domov seniorů Jankov</t>
  </si>
  <si>
    <t>Nákup varného kotle</t>
  </si>
  <si>
    <t>61/2019/SOC</t>
  </si>
  <si>
    <t>Domov ve Vlašimi</t>
  </si>
  <si>
    <t>2 ks automatických praček</t>
  </si>
  <si>
    <t>62/2019/SOC</t>
  </si>
  <si>
    <t>63/2019/SOC</t>
  </si>
  <si>
    <t>Domov Unhošť</t>
  </si>
  <si>
    <t>Plynová pánev do kuchyně</t>
  </si>
  <si>
    <t>64/2019/SOC</t>
  </si>
  <si>
    <t>Pořízení mandlu</t>
  </si>
  <si>
    <t>65/2019/SOC</t>
  </si>
  <si>
    <t>Pořízení konvektomatu</t>
  </si>
  <si>
    <t>66/2019/SOC</t>
  </si>
  <si>
    <t>Domov Slaný</t>
  </si>
  <si>
    <t>Stavební úpravy objektu Žižice</t>
  </si>
  <si>
    <t>0004724</t>
  </si>
  <si>
    <t>Projekt zvyšování bezpečnosti KÚSK</t>
  </si>
  <si>
    <t>OBŘ</t>
  </si>
  <si>
    <t>CELKEM KAPITOLY</t>
  </si>
  <si>
    <t>Mimořádné financování akcí z důvodu časové tísně (příprava projektu, …)</t>
  </si>
  <si>
    <t>Kapitálové prostředky celkem</t>
  </si>
  <si>
    <t>Legenda:</t>
  </si>
  <si>
    <t xml:space="preserve"> </t>
  </si>
  <si>
    <t>akce nově zařazené</t>
  </si>
  <si>
    <t>červené písmo</t>
  </si>
  <si>
    <t>modré písmo</t>
  </si>
  <si>
    <t>snížení celkových nákladů na akci</t>
  </si>
  <si>
    <t>akce zrušené, ukončené</t>
  </si>
  <si>
    <t>sloučené,rozdělené, přejmenované akce, změna způsobu financování</t>
  </si>
  <si>
    <t>Finanční zdroje</t>
  </si>
  <si>
    <t>Schválený rozpočet 2019 (usn. č. 009-16/2018/ZK ze dne 26.11.18)</t>
  </si>
  <si>
    <t>Rozdělení zůstatku hospodaření z roku 2018 (usn.       /2019/ZK ze dne      .2019)</t>
  </si>
  <si>
    <t xml:space="preserve">Převod finančních prostředků z kapitoly 07 - Zdravotnictví (usn. č.          /2019/RK ze dne            2019)    </t>
  </si>
  <si>
    <t>Převod na kofinancování a předfinan. projektů EU (usn. č.         /2019/RK ze dne       2019)</t>
  </si>
  <si>
    <t>Převod finančních prostředků z kapitoly 07 - Zdravotnictví (usn. č.         /2019/RK ze dne      2019)</t>
  </si>
  <si>
    <t>Prostředky celkem</t>
  </si>
  <si>
    <t>Použití na plánované akce</t>
  </si>
  <si>
    <t>Kapitálové prostředky v Plánu investic 2019</t>
  </si>
  <si>
    <t>CELKEM</t>
  </si>
  <si>
    <t>Střední průmyslová škola strojírenská a Jazyková škola s právem státní jazykové zkoušky, Kolín IV, Heverova 191</t>
  </si>
  <si>
    <t>Zabezpečovací systém školy</t>
  </si>
  <si>
    <t>Střední odborné učiliště stavební, Benešov, Jana Nohy 1302</t>
  </si>
  <si>
    <t>Gymnázium Jiřího Ortena, Kutná Hora, Jaselská 932</t>
  </si>
  <si>
    <t>Speciální základní škola, Poděbrady, U Bažantnice 154</t>
  </si>
  <si>
    <t>Domov Kladno - Švermov</t>
  </si>
  <si>
    <t>Domov Dolní Cetno</t>
  </si>
  <si>
    <t>Čerpáno k 31.12. 2018</t>
  </si>
  <si>
    <t>V PI od roku</t>
  </si>
  <si>
    <t>11/2019</t>
  </si>
  <si>
    <t>9/2019</t>
  </si>
  <si>
    <t>4/2019</t>
  </si>
  <si>
    <t>0005293</t>
  </si>
  <si>
    <t>0005294</t>
  </si>
  <si>
    <t>0005295</t>
  </si>
  <si>
    <t>0005296</t>
  </si>
  <si>
    <t>0005244</t>
  </si>
  <si>
    <t>0005245</t>
  </si>
  <si>
    <t>0005247</t>
  </si>
  <si>
    <t>0005249</t>
  </si>
  <si>
    <t>0005250</t>
  </si>
  <si>
    <t>0005251</t>
  </si>
  <si>
    <t>0005252</t>
  </si>
  <si>
    <t>0005297</t>
  </si>
  <si>
    <t>0005450</t>
  </si>
  <si>
    <t>128-16/2018/ZK ze dne 26.11.2018</t>
  </si>
  <si>
    <t>Připojení kanalizační přípojky na veřejnou kanalizační síť, Luční 1699</t>
  </si>
  <si>
    <t>Rekonstrukce vjezdu, Velíšská</t>
  </si>
  <si>
    <t>Rekonstrukce sociálního zařízení a šaten, Velíšská</t>
  </si>
  <si>
    <t>76/2019/ŠKO</t>
  </si>
  <si>
    <t>Střední odborná škola a Střední zdravotnická škola Benešov, příspěvková organizace</t>
  </si>
  <si>
    <t>Gymnázium, Vlašim, Tylova 271</t>
  </si>
  <si>
    <t>Dětský domov, Unhošť, Berounská 1292</t>
  </si>
  <si>
    <t>Samostatný vjezd a příjezdová cesta</t>
  </si>
  <si>
    <t>Střední odborná škola a Střední odborné učiliště, Kladno, Dubská</t>
  </si>
  <si>
    <t>Rekonstrukce kuchyně a jídelny DM</t>
  </si>
  <si>
    <t>Sportovní gymnázium, Kladno, Plzeňská 3103</t>
  </si>
  <si>
    <t>Střední odborná škola informatiky a spojů a Střední odborné učiliště, Kolín, Jaselská 826</t>
  </si>
  <si>
    <t>Vybavení školní zahrady pro relaxaci žáků se zdravotním postižením</t>
  </si>
  <si>
    <t>90/2019/ŠKO</t>
  </si>
  <si>
    <t>Pedagogicko-psychologická poradna Středočeského kraje, Kolín, Jaselská 826</t>
  </si>
  <si>
    <t>Server s externím archivačním zařízením</t>
  </si>
  <si>
    <t>95/2019/ŠKO</t>
  </si>
  <si>
    <t>Gymnázium Jana Palacha, Mělník, Pod Vrchem 3421</t>
  </si>
  <si>
    <t>Dvořákovo gymnázium a Střední odborná škola ekonomická, Kralupy nad Vltavou, Dvořákovo náměstí 800</t>
  </si>
  <si>
    <t>Dětský domov a Školní jídelna, Kralupy nad Vltavou, U Sociálního domu 438</t>
  </si>
  <si>
    <t>Integrovaná střední škola technická, Mělník, K učilišti 2566</t>
  </si>
  <si>
    <t>Rekonstrukce DM</t>
  </si>
  <si>
    <t>Střední odborné učiliště, Liběchov, Boží Voda 230</t>
  </si>
  <si>
    <t>Nákup 9 místného microbusu</t>
  </si>
  <si>
    <t xml:space="preserve">Střední odborné učiliště, Hubálov 17 </t>
  </si>
  <si>
    <t>Odborné učebny pro instalatéry</t>
  </si>
  <si>
    <t>Výměna oken v celé budově</t>
  </si>
  <si>
    <t>Střední zemědělská škola a Střední odborná škola Poděbrady, příspěvková organizace</t>
  </si>
  <si>
    <t>Nákup osobního užitkového automobilu (5+2 míst)</t>
  </si>
  <si>
    <t>Rekonstrukce a modernizace sportovního areálu školy</t>
  </si>
  <si>
    <t>109/2019/ŠKO</t>
  </si>
  <si>
    <t>Vybudování prostoru pro ukládání invalidních vozíků</t>
  </si>
  <si>
    <t>111/2019/ŠKO</t>
  </si>
  <si>
    <t>Střední odborná škola a Střední odborné učiliště, Nymburk, V Kolonii 1804</t>
  </si>
  <si>
    <t>Oprava a modernizace výtahu v kuchyni</t>
  </si>
  <si>
    <t>Nákup konvektomatu</t>
  </si>
  <si>
    <t xml:space="preserve">Integrovaná střední škola St.Kubra, Středokluky   </t>
  </si>
  <si>
    <t>Integrovaná střední škola St. Kubra, Středokluky</t>
  </si>
  <si>
    <t>Nákup 9 místného automobilu pro OV</t>
  </si>
  <si>
    <t>Gymnázium a Střední odborná škola ekonomická, Sedlčany, Nádražní 90</t>
  </si>
  <si>
    <t>Vyšší odborná škola a Střední odborná škola, Březnice, Rožmitálská 340</t>
  </si>
  <si>
    <t>Rekonstrukce křídla DM včetně vybavení</t>
  </si>
  <si>
    <t>Odborné učiliště, Praktická škola, Základní škola a Mateřská škola Příbram IV, příspěvková organizace</t>
  </si>
  <si>
    <t>Výměna podlahy v tělocvičně</t>
  </si>
  <si>
    <t>Integrovaná střední škola hotelového provozu, obchodu a služeb, Příbram, Gen. R. Tesaříka 114</t>
  </si>
  <si>
    <t>Nový samostatný přístup do školy</t>
  </si>
  <si>
    <t>PD - snížení energetické náročnosti budov teorie a tělocvičny</t>
  </si>
  <si>
    <t>Masarykova obchodní akademie, Rakovník, Pražská  1222</t>
  </si>
  <si>
    <t>snížení celkových nákladů</t>
  </si>
  <si>
    <t>1/2019</t>
  </si>
  <si>
    <t>8/2019</t>
  </si>
  <si>
    <t>II/605 Chrášťany, úprava kruhové křižovatky</t>
  </si>
  <si>
    <t>III/3353 Hrusice most ev.3353-2</t>
  </si>
  <si>
    <t>II/101 a III/0096 Neratovice, úprava křižovatky</t>
  </si>
  <si>
    <t>III/1118 Vojslavice, rekonstrukce propustku</t>
  </si>
  <si>
    <t xml:space="preserve">BESIP – Jiřice, II/272 km 21,850 do km 22,150 – úprava nehodového místa </t>
  </si>
  <si>
    <t>11817-3 Luhy</t>
  </si>
  <si>
    <t>III/33420 Molitorov, most ev.č. 33420-1</t>
  </si>
  <si>
    <t>0107-1 Most u obce Radonice</t>
  </si>
  <si>
    <t>navýšení celkových nákladů na akci</t>
  </si>
  <si>
    <t>0005478</t>
  </si>
  <si>
    <t>0005477</t>
  </si>
  <si>
    <t>0005203</t>
  </si>
  <si>
    <t>0005361</t>
  </si>
  <si>
    <t>0005145</t>
  </si>
  <si>
    <t>0005370</t>
  </si>
  <si>
    <t>0005388</t>
  </si>
  <si>
    <t>Výměna balkonových dveří a žaluzií</t>
  </si>
  <si>
    <t>0005387</t>
  </si>
  <si>
    <t>0005471</t>
  </si>
  <si>
    <t>0005472</t>
  </si>
  <si>
    <t>0005377</t>
  </si>
  <si>
    <t>0005473</t>
  </si>
  <si>
    <t>0005363</t>
  </si>
  <si>
    <t>0005419</t>
  </si>
  <si>
    <t>0005236</t>
  </si>
  <si>
    <t>0005265</t>
  </si>
  <si>
    <t>0005311</t>
  </si>
  <si>
    <t>0005315</t>
  </si>
  <si>
    <t>0005346</t>
  </si>
  <si>
    <t>0005410</t>
  </si>
  <si>
    <t>0005475</t>
  </si>
  <si>
    <t>0005349</t>
  </si>
  <si>
    <t>0005364</t>
  </si>
  <si>
    <t>0005449</t>
  </si>
  <si>
    <t>0005418</t>
  </si>
  <si>
    <t>0005314</t>
  </si>
  <si>
    <t>0005316</t>
  </si>
  <si>
    <t>0005476</t>
  </si>
  <si>
    <t>Záložní zdroj a nový evakuační výtah</t>
  </si>
  <si>
    <t>Varná tlaková pánev</t>
  </si>
  <si>
    <t>Domov Iváň</t>
  </si>
  <si>
    <t>Rekonstrukce nemovitosti cháněné bydlení Kutná Hora</t>
  </si>
  <si>
    <t>Osobní automobil pro 7 osob</t>
  </si>
  <si>
    <t>Rekonstrukce prádelny</t>
  </si>
  <si>
    <t>Nákup osobního motorového vozidla</t>
  </si>
  <si>
    <t>Nákup motorového vozidla s bezbarierovou úpravou</t>
  </si>
  <si>
    <t>Nákup nemovitosti pro chráněné bydlení</t>
  </si>
  <si>
    <t>Rekonstrukce VZT kuchyně a 2. etapa VZT + rekuper. jedn. vč PD</t>
  </si>
  <si>
    <t>Rekonstrukce signalizace sestra - pacient</t>
  </si>
  <si>
    <t>Lapol - kuchyně</t>
  </si>
  <si>
    <t>Pořízení automobilu pro klienty</t>
  </si>
  <si>
    <t>Pořízení výtahu a vybudování bezbarierového přístupu</t>
  </si>
  <si>
    <t xml:space="preserve">Dodávka automobilů </t>
  </si>
  <si>
    <t>Vybudování relaxační zahrady vč. PD</t>
  </si>
  <si>
    <t>Domov Vraný</t>
  </si>
  <si>
    <t>Rekonstrukce okapů, svodů, části krovu a části fasády</t>
  </si>
  <si>
    <t>Nákup osobního automobilu</t>
  </si>
  <si>
    <t>Park generací</t>
  </si>
  <si>
    <t>Převedeno do ZP</t>
  </si>
  <si>
    <t>navýšení CN</t>
  </si>
  <si>
    <t>Jiné zdroje = neinvestiční prostředky z rozpočtu kraje</t>
  </si>
  <si>
    <t>Dovybavení školní laboratoře a odborných učeben ošetřovatelství</t>
  </si>
  <si>
    <t>Oprava sociálního zařízení včetně bezbariérového WC</t>
  </si>
  <si>
    <t>89/2019/DOP</t>
  </si>
  <si>
    <t>90/2019/DOP</t>
  </si>
  <si>
    <t>94/2019/DOP</t>
  </si>
  <si>
    <t>96/2019/DOP</t>
  </si>
  <si>
    <t>97/2019/DOP</t>
  </si>
  <si>
    <t>98/2019/DOP</t>
  </si>
  <si>
    <t>101/2019/DOP</t>
  </si>
  <si>
    <t>102/2019/DOP</t>
  </si>
  <si>
    <t>103/2019/DOP</t>
  </si>
  <si>
    <t xml:space="preserve"> akce proběhla z jiných zdrojů</t>
  </si>
  <si>
    <t>6/2020</t>
  </si>
  <si>
    <t>0005483</t>
  </si>
  <si>
    <t>67/2019/SOC</t>
  </si>
  <si>
    <t>71/2019/SOC</t>
  </si>
  <si>
    <t>72/2019/SOC</t>
  </si>
  <si>
    <t>73/2019/SOC</t>
  </si>
  <si>
    <t>74/2019/SOC</t>
  </si>
  <si>
    <t>78/2019/SOC</t>
  </si>
  <si>
    <t>79/2019/SOC</t>
  </si>
  <si>
    <t>80/2019/SOC</t>
  </si>
  <si>
    <t>84/2019/SOC</t>
  </si>
  <si>
    <t>85/2019/SOC</t>
  </si>
  <si>
    <t>86/2019/SOC</t>
  </si>
  <si>
    <t>87/2019/SOC</t>
  </si>
  <si>
    <t>88/2019/SOC</t>
  </si>
  <si>
    <t>89/2019/SOC</t>
  </si>
  <si>
    <t>90/2019/SOC</t>
  </si>
  <si>
    <t>91/2019/SOC</t>
  </si>
  <si>
    <t>93/2019/SOC</t>
  </si>
  <si>
    <t>94/2019/SOC</t>
  </si>
  <si>
    <t>97/2019/SOC</t>
  </si>
  <si>
    <t>7/2019</t>
  </si>
  <si>
    <t>Jiné zdroje = prostředky nemocnice
Nemocnice požádala o zrušení akce.</t>
  </si>
  <si>
    <t>Neurčito</t>
  </si>
  <si>
    <t>REALIZOVÁNO, PROBÍHÁ FAKTURACE</t>
  </si>
  <si>
    <t>0004974</t>
  </si>
  <si>
    <t>0004976</t>
  </si>
  <si>
    <t>0004977</t>
  </si>
  <si>
    <t>0004978</t>
  </si>
  <si>
    <t>0004980</t>
  </si>
  <si>
    <t>0004981</t>
  </si>
  <si>
    <t>0004982</t>
  </si>
  <si>
    <t>0004983</t>
  </si>
  <si>
    <t>0004984</t>
  </si>
  <si>
    <t>0004985</t>
  </si>
  <si>
    <t>0004986</t>
  </si>
  <si>
    <t>0004987</t>
  </si>
  <si>
    <t>0005184</t>
  </si>
  <si>
    <t>0005309</t>
  </si>
  <si>
    <t>0005305</t>
  </si>
  <si>
    <t>0005306</t>
  </si>
  <si>
    <t>0005307</t>
  </si>
  <si>
    <t>0005308</t>
  </si>
  <si>
    <t>0005298</t>
  </si>
  <si>
    <t>0005300</t>
  </si>
  <si>
    <t>0005301</t>
  </si>
  <si>
    <t>0005302</t>
  </si>
  <si>
    <t>0005303</t>
  </si>
  <si>
    <t>0005304</t>
  </si>
  <si>
    <t>0005390</t>
  </si>
  <si>
    <t>0005391</t>
  </si>
  <si>
    <t>0005392</t>
  </si>
  <si>
    <t>0005393</t>
  </si>
  <si>
    <t>0005394</t>
  </si>
  <si>
    <t>0005395</t>
  </si>
  <si>
    <t>0005396</t>
  </si>
  <si>
    <t>0005397</t>
  </si>
  <si>
    <t>0005398</t>
  </si>
  <si>
    <t>0005399</t>
  </si>
  <si>
    <t>0005400</t>
  </si>
  <si>
    <t>0005401</t>
  </si>
  <si>
    <t>0005402</t>
  </si>
  <si>
    <t>0005403</t>
  </si>
  <si>
    <t>0005404</t>
  </si>
  <si>
    <t>0005405</t>
  </si>
  <si>
    <t>0005406</t>
  </si>
  <si>
    <t>0005407</t>
  </si>
  <si>
    <t>0005408</t>
  </si>
  <si>
    <t>68/2019/ZDR</t>
  </si>
  <si>
    <t>Rekonstrukce vzduchotechniky chirurgického pavilonu</t>
  </si>
  <si>
    <t>69/2019/ZDR</t>
  </si>
  <si>
    <t>Zateplení patologie</t>
  </si>
  <si>
    <t>70/2019/ZDR</t>
  </si>
  <si>
    <t>Zateplení ústavní kuchyně</t>
  </si>
  <si>
    <t>71/2019/ZDR</t>
  </si>
  <si>
    <t>Rekonstrukce odstavných ploch a komunikací</t>
  </si>
  <si>
    <t>72/2019/ZDR</t>
  </si>
  <si>
    <t>Elektronické služby pro Nemocnici Rudolfa a Stefanie Benešov, a. s.</t>
  </si>
  <si>
    <t>73/2019/ZDR</t>
  </si>
  <si>
    <t>IT projekty II. Modernizace a rozvoj NIS Nemocnice Rudolfa a Stefanie Benešov, a. s.</t>
  </si>
  <si>
    <t>74/2019/ZDR</t>
  </si>
  <si>
    <t>Přímá digitalizace RTG pracoviště v interním pavilonu</t>
  </si>
  <si>
    <t>75/2019/ZDR</t>
  </si>
  <si>
    <t>Stavební úpravy RTG - skiaskopie</t>
  </si>
  <si>
    <t>76/2019/ZDR</t>
  </si>
  <si>
    <t>Pojízdný RTG přístroj - havárie</t>
  </si>
  <si>
    <t>77/2019/ZDR</t>
  </si>
  <si>
    <t>78/2019/ZDR</t>
  </si>
  <si>
    <t>Rekonstrukce a vybudování evakuačních výtahů</t>
  </si>
  <si>
    <t>79/2019/ZDR</t>
  </si>
  <si>
    <t>Pavilon centrálních laboratoří - projektová dokumentace</t>
  </si>
  <si>
    <t>80/2019/ZDR</t>
  </si>
  <si>
    <t>MOJIP chirurgických oborů - projektová dokumentace</t>
  </si>
  <si>
    <t>81/2019/ZDR</t>
  </si>
  <si>
    <t>Rekonstrukce spalovny - projektová dokumentace</t>
  </si>
  <si>
    <t>82/2019/ZDR</t>
  </si>
  <si>
    <t>83/2019/ZDR</t>
  </si>
  <si>
    <t>Revitalizace kuchyně a závodní jídelny</t>
  </si>
  <si>
    <t>84/2019/ZDR</t>
  </si>
  <si>
    <t>Obnova a modernizace IT</t>
  </si>
  <si>
    <t>85/2019/ZDR</t>
  </si>
  <si>
    <t>86/2019/ZDR</t>
  </si>
  <si>
    <t>Rekonstrukce oplocení areálu</t>
  </si>
  <si>
    <t>87/2019/ZDR</t>
  </si>
  <si>
    <t>88/2019/ZDR</t>
  </si>
  <si>
    <t>89/2019/ZDR</t>
  </si>
  <si>
    <t>Rekonstrukce objektu SO 26, pavilon "P" - přestavba bývalé patologie na lékárnu</t>
  </si>
  <si>
    <t>90/2019/ZDR</t>
  </si>
  <si>
    <t>Rekonstrukce objektu SO 03, pavilon "O" - oční, cévní chirurgie, ORL, včetně zdravotnické technologie</t>
  </si>
  <si>
    <t>91/2019/ZDR</t>
  </si>
  <si>
    <t>Klimatizace objektu SO 01 - interna</t>
  </si>
  <si>
    <t>92/2019/ZDR</t>
  </si>
  <si>
    <t>Průjezdnost lůžek v 2. NP pavilonu interny</t>
  </si>
  <si>
    <t>93/2019/ZDR</t>
  </si>
  <si>
    <t>Spojovací krček mezi pavilony O a L</t>
  </si>
  <si>
    <t>94/2019/ZDR</t>
  </si>
  <si>
    <t>Rozšíření odpadového a skladového hospodářství a archivu</t>
  </si>
  <si>
    <t>95/2019/ZDR</t>
  </si>
  <si>
    <t>Nový osobní výtah v pavilonu D, venkovní</t>
  </si>
  <si>
    <t>96/2019/ZDR</t>
  </si>
  <si>
    <t>Sanitní vůz pro přepravu pacientů DRN</t>
  </si>
  <si>
    <t>97/2019/ZDR</t>
  </si>
  <si>
    <t>98/2019/ZDR</t>
  </si>
  <si>
    <t>Stavební úpravy chirurgické ambulance</t>
  </si>
  <si>
    <t>99/2019/ZDR</t>
  </si>
  <si>
    <t>Vybavení pro urologické oddělení</t>
  </si>
  <si>
    <t>100/2019/ZDR</t>
  </si>
  <si>
    <t>Vybavení pro Endocentrum</t>
  </si>
  <si>
    <t>101/2019/ZDR</t>
  </si>
  <si>
    <t>Vybavení pro oční oddělení</t>
  </si>
  <si>
    <t>102/2019/ZDR</t>
  </si>
  <si>
    <t>Vybavení pro oddělení dětské chirurgie a stomatologie</t>
  </si>
  <si>
    <t>103/2019/ZDR</t>
  </si>
  <si>
    <t>Vybavení pro Centrum vaskulárních intervencí</t>
  </si>
  <si>
    <t>104/2019/ZDR</t>
  </si>
  <si>
    <t>Artroskopická věž</t>
  </si>
  <si>
    <t>105/2019/ZDR</t>
  </si>
  <si>
    <t>Vybavení do kuchyně</t>
  </si>
  <si>
    <t>106/2019/ZDR</t>
  </si>
  <si>
    <t>Zateplení objektu hlavního pavilonu nemocnice Kutná Hora</t>
  </si>
  <si>
    <t>107/2019/ZDR</t>
  </si>
  <si>
    <t>Zateplení pavilonu LDN nemocnice Kutná Hora</t>
  </si>
  <si>
    <t>108/2019/ZDR</t>
  </si>
  <si>
    <t>Rekonstrukce 1. NP hlavního pavilonu na interní oddělení a oddělení následné a rehabilitační péče</t>
  </si>
  <si>
    <t>109/2019/ZDR</t>
  </si>
  <si>
    <t>Rekonstrukce 2. NP hlavního pavilonu na chirurgické oddělení krátkodobé péče, DIOP a následné péče</t>
  </si>
  <si>
    <t>110/2019/ZDR</t>
  </si>
  <si>
    <t>Modernizace vybavení pro vybudování pracoviště NIP</t>
  </si>
  <si>
    <t>111/2019/ZDR</t>
  </si>
  <si>
    <t>Rekonstrukce 2. NP pavilonu LDN na zázemí oddělení paliativní péče</t>
  </si>
  <si>
    <t>112/2019/ZDR</t>
  </si>
  <si>
    <t>Revitalizace a modernizace pavilonu č. 4 v areálu ONMB</t>
  </si>
  <si>
    <t>113/2019/ZDR</t>
  </si>
  <si>
    <t>Stravovací provoz v areálu ONMB</t>
  </si>
  <si>
    <t>114/2019/ZDR</t>
  </si>
  <si>
    <t>Přemístění chladu v areálu ONMB</t>
  </si>
  <si>
    <t>115/2019/ZDR</t>
  </si>
  <si>
    <t>Sanitní vozidla pro ONMB</t>
  </si>
  <si>
    <t>116/2019/ZDR</t>
  </si>
  <si>
    <t>Úprava a rozvody demineralizované vody  v ONMB</t>
  </si>
  <si>
    <t>117/2019/ZDR</t>
  </si>
  <si>
    <t>Přemístění odpařovacích nádrží v areálu ONMB</t>
  </si>
  <si>
    <t>118/2019/ZDR</t>
  </si>
  <si>
    <t>Rekonstrukce prostor pro dětskou skupinu a ubytování zaměstnanců ONMB</t>
  </si>
  <si>
    <t>119/2019/ZDR</t>
  </si>
  <si>
    <t>Pavilon pro matku a dítě - projektová dokumentace</t>
  </si>
  <si>
    <t>120/2019/ZDR</t>
  </si>
  <si>
    <t>Vybudování dospávací jednotky na centrálních operačních sálech</t>
  </si>
  <si>
    <t>121/2019/ZDR</t>
  </si>
  <si>
    <t>Zdravotnická technologie pro Gynekologické oddělení</t>
  </si>
  <si>
    <t>122/2019/ZDR</t>
  </si>
  <si>
    <t>Rekonstrukce a přístavba budovy N a křídla D2 budovy D</t>
  </si>
  <si>
    <t>123/2019/ZDR</t>
  </si>
  <si>
    <t>Obměna zdravotnické techniky</t>
  </si>
  <si>
    <t>124/2019/ZDR</t>
  </si>
  <si>
    <t>Rekonstrukce 2. NP v pavilonu E v areálu 2</t>
  </si>
  <si>
    <t>125/2019/ZDR</t>
  </si>
  <si>
    <t>Energetické úspory pavilonu H Oblastní nemocnice Příbram, a.s.</t>
  </si>
  <si>
    <t>126/2019/ZDR</t>
  </si>
  <si>
    <t>Energetické úspory budovy J Oblastní nemocnice Příbram, a.s.</t>
  </si>
  <si>
    <t>127/2019/ZDR</t>
  </si>
  <si>
    <t>Rekuperace tepla pro bazén rehabilitace</t>
  </si>
  <si>
    <t>0004701</t>
  </si>
  <si>
    <t>0005318</t>
  </si>
  <si>
    <t>0004820</t>
  </si>
  <si>
    <t>0004821</t>
  </si>
  <si>
    <t>0004823</t>
  </si>
  <si>
    <t>0005420</t>
  </si>
  <si>
    <t>0005424</t>
  </si>
  <si>
    <t>0005423</t>
  </si>
  <si>
    <t>0005425</t>
  </si>
  <si>
    <t>0005422</t>
  </si>
  <si>
    <t>5/2019</t>
  </si>
  <si>
    <t>49/2019/KUL</t>
  </si>
  <si>
    <t>Revitalizace expozic Městského muzea Žebrák, pobočky MČK</t>
  </si>
  <si>
    <t>stavebně realizováno</t>
  </si>
  <si>
    <t>Rekonstrukce ústavní kuchyně</t>
  </si>
  <si>
    <t>Obnova a modernizace zdravotnické technologie 2019</t>
  </si>
  <si>
    <t xml:space="preserve">ON Kladno - projektové dokumentace II </t>
  </si>
  <si>
    <t>Nemocniční informační systém</t>
  </si>
  <si>
    <t>Informační systém pro výměnu dat II.Etapa</t>
  </si>
  <si>
    <t>128/2019/ZDR</t>
  </si>
  <si>
    <t>129/2019/ZDR</t>
  </si>
  <si>
    <t>130/2019/ZDR</t>
  </si>
  <si>
    <t>131/2019/ZDR</t>
  </si>
  <si>
    <t>132/2019/ZDR</t>
  </si>
  <si>
    <t>133/2019/ZDR</t>
  </si>
  <si>
    <t>Výjezdová základna Benešov - projektová dokumentace</t>
  </si>
  <si>
    <t>134/2019/ZDR</t>
  </si>
  <si>
    <t>Výjezdová základna Čáslav - projektová dokumentace</t>
  </si>
  <si>
    <t>snížení celkových nákladů    Nedočerpané prostředky lze převést do rezervy. Akce dokončena k 31.12.2018</t>
  </si>
  <si>
    <t>Snížení celkových nákladů.</t>
  </si>
  <si>
    <t>Jiné zdroje = prostředky nemocnice  ZAHÁJENO VŘ NA ZHOTOVITELE</t>
  </si>
  <si>
    <t xml:space="preserve">Jiné zdroje = prostředky nemocnice
</t>
  </si>
  <si>
    <t xml:space="preserve">Jiné zdroje = vlastní prostředky nemocnice. </t>
  </si>
  <si>
    <t>Roky 2019 a 2020 = odložené financování. Realizace ukončena</t>
  </si>
  <si>
    <t>písmo škrtnuto + poznámka</t>
  </si>
  <si>
    <t>Jiné zdroje = prostředky nemocnice. Realizace ukončena
Rok 2019 = odložené financování</t>
  </si>
  <si>
    <t>Aktuální stav (Příprava VZ, Probíhá VZ, Realizace, Ukončeno,  Zrušeno)</t>
  </si>
  <si>
    <t>zeleně podbarveno + poznámka</t>
  </si>
  <si>
    <t>oranžově podbarveno</t>
  </si>
  <si>
    <t xml:space="preserve">
Snížení celkových nákladů</t>
  </si>
  <si>
    <t>Převod nevyčerpaných účelových prostředků (usn.č.          /2019/RK ze dne  )</t>
  </si>
  <si>
    <t>x</t>
  </si>
  <si>
    <t>0005319</t>
  </si>
  <si>
    <t>0005482</t>
  </si>
  <si>
    <t>0005443</t>
  </si>
  <si>
    <t>0005438</t>
  </si>
  <si>
    <t>0005439</t>
  </si>
  <si>
    <t>0005445</t>
  </si>
  <si>
    <t>0005446</t>
  </si>
  <si>
    <t>0005436</t>
  </si>
  <si>
    <t>0005434</t>
  </si>
  <si>
    <t>0005447</t>
  </si>
  <si>
    <t>0005435</t>
  </si>
  <si>
    <t>0005441</t>
  </si>
  <si>
    <t>0005421</t>
  </si>
  <si>
    <t>0005432</t>
  </si>
  <si>
    <t>0005442</t>
  </si>
  <si>
    <t>0005433</t>
  </si>
  <si>
    <t>0005431</t>
  </si>
  <si>
    <t>průběžně</t>
  </si>
  <si>
    <t>Rozvoj Rabasovy galerie Rakovník, stavební úpravy a dostavba</t>
  </si>
  <si>
    <t>Časový horizont změny aktuálního stavu (měsíc/rok)</t>
  </si>
  <si>
    <t>*</t>
  </si>
  <si>
    <r>
      <t xml:space="preserve">                                     Plán investic Středočeského kraje na rok 2019 - změna č. 1                            </t>
    </r>
    <r>
      <rPr>
        <sz val="14"/>
        <rFont val="Arial"/>
        <family val="2"/>
        <charset val="238"/>
      </rPr>
      <t>v tis. Kč</t>
    </r>
  </si>
  <si>
    <t>128-16/2018/ZK ze dne 24.11.18</t>
  </si>
  <si>
    <t>128-16/2018/ZK ze dne 24.11.19</t>
  </si>
  <si>
    <t>128-16/2018/ZK ze dne 24.11.20</t>
  </si>
  <si>
    <t>128-16/2018/ZK ze dne 24.11.21</t>
  </si>
  <si>
    <t>128-16/2018/ZK ze dne 24.11.22</t>
  </si>
  <si>
    <t>128-16/2018/ZK ze dne 24.11.23</t>
  </si>
  <si>
    <t>128-16/2018/ZK ze dne 24.11.24</t>
  </si>
  <si>
    <t>128-16/2018/ZK ze dne 24.11.25</t>
  </si>
  <si>
    <t>128-16/2018/ZK ze dne 24.11.26</t>
  </si>
  <si>
    <t>045-24/2018/RK ze dne 6.8.2018
 041-15/2018/ZK ze dne 27.8.2018</t>
  </si>
  <si>
    <t>045-24/2018/RK ze dne 6.8.2018 
041-15/2018/ZK ze dne 27.8.2018</t>
  </si>
  <si>
    <t>128-16/2018/ZK ze dne 24.11.27</t>
  </si>
  <si>
    <t>128-16/2018/ZK ze dne 24.11.28</t>
  </si>
  <si>
    <t>128-16/2018/ZK ze dne 24.11.29</t>
  </si>
  <si>
    <t>128-16/2018/ZK ze dne 24.11.30</t>
  </si>
  <si>
    <t>128-16/2018/ZK ze dne 24.11.31</t>
  </si>
  <si>
    <t>128-16/2018/ZK ze dne 24.11.32</t>
  </si>
  <si>
    <t>128-16/2018/ZK ze dne 24.11.33</t>
  </si>
  <si>
    <t>128-16/2018/ZK ze dne 24.11.34</t>
  </si>
  <si>
    <t>128-16/2018/ZK ze dne 24.11.35</t>
  </si>
  <si>
    <t>128-16/2018/ZK ze dne 24.11.36</t>
  </si>
  <si>
    <t>Instruktážní a nácviková hala - ocelokolna včetně projektové dokumentace</t>
  </si>
  <si>
    <t>1=ANO2019                                      0=NE2019</t>
  </si>
  <si>
    <t>1=ANO2020   0=NE2020</t>
  </si>
  <si>
    <t>UKONČENO - zm. č.1</t>
  </si>
  <si>
    <t>ZRUŠENO - zm. č.1</t>
  </si>
  <si>
    <t>rozplánování r. 2019 (musí být rovno nule)</t>
  </si>
  <si>
    <t>Smlouva Ano/Ne</t>
  </si>
  <si>
    <t>Realizace fyzicky začala Ano/Ne</t>
  </si>
  <si>
    <t>Priorita</t>
  </si>
  <si>
    <t>nové akce zm. č.</t>
  </si>
  <si>
    <t>ukončeno zm. č.</t>
  </si>
  <si>
    <t>051-39/2017/RK ze dne 13.11.2017  028-11/2017/ZK ze dne 5.12.2017</t>
  </si>
  <si>
    <t>025-05/2019/RK ze dne 4.2.2019  101-17/2019/ZK ze dne 18.2.2019</t>
  </si>
  <si>
    <t>INF</t>
  </si>
  <si>
    <t>2/2019/INF</t>
  </si>
  <si>
    <t>018-34/2018/RK ze dne 5.11.2018 128-16/2018/ZK ze dne 24.11.2018</t>
  </si>
  <si>
    <t>0005549</t>
  </si>
  <si>
    <t>11/2019/INF</t>
  </si>
  <si>
    <t>12/2019/INF</t>
  </si>
  <si>
    <t>0005548</t>
  </si>
  <si>
    <t>13/2019/INF</t>
  </si>
  <si>
    <t>14/2019/INF</t>
  </si>
  <si>
    <t>0005545</t>
  </si>
  <si>
    <t>15/2019/INF</t>
  </si>
  <si>
    <t>0005546</t>
  </si>
  <si>
    <t>16/2019/INF</t>
  </si>
  <si>
    <t>0005547</t>
  </si>
  <si>
    <t>Průběžně</t>
  </si>
  <si>
    <t>změna financování</t>
  </si>
  <si>
    <t>NE</t>
  </si>
  <si>
    <t>ANO</t>
  </si>
  <si>
    <t>doplatek</t>
  </si>
  <si>
    <t>ukončeno, snížení CN</t>
  </si>
  <si>
    <t>zaplaceno</t>
  </si>
  <si>
    <t>snížení CN</t>
  </si>
  <si>
    <t>staví se</t>
  </si>
  <si>
    <t>076-04/2018/RK ze dne 5.2.2018  033-13/2018/ZK ze dne 26.4.2018</t>
  </si>
  <si>
    <t>navýšení CN -  vícepráce (změna během výstavby)</t>
  </si>
  <si>
    <t>0005512</t>
  </si>
  <si>
    <t>stavebně realizováno, navýšení CN</t>
  </si>
  <si>
    <t>předáno</t>
  </si>
  <si>
    <t>nepředáno</t>
  </si>
  <si>
    <t>0005511</t>
  </si>
  <si>
    <t>změna financování - bude placeno z rozpočtu KSÚS</t>
  </si>
  <si>
    <t>stavebně realizováno, snížení CN</t>
  </si>
  <si>
    <t>0005501</t>
  </si>
  <si>
    <t>0005507</t>
  </si>
  <si>
    <t>ZRUŠENO</t>
  </si>
  <si>
    <t>0005508</t>
  </si>
  <si>
    <t>0005510</t>
  </si>
  <si>
    <t>Přenosné osobní pokladny</t>
  </si>
  <si>
    <t>vyhotovena PD</t>
  </si>
  <si>
    <t>Galerie Středočeského kraje, Kutná Hora</t>
  </si>
  <si>
    <t>Muzeum Českého krasu, Beroun</t>
  </si>
  <si>
    <t>Koupě zámku v Přerově nad Labem (splátky hodnoty nemovitosti jsou naplánovány na 5 let)</t>
  </si>
  <si>
    <t>navýšení celkových nákladů akce</t>
  </si>
  <si>
    <t>7/2020</t>
  </si>
  <si>
    <t>České muzeum stříbra, Kutná Hora</t>
  </si>
  <si>
    <t>akce zrušena</t>
  </si>
  <si>
    <t>0005556</t>
  </si>
  <si>
    <t>0005557</t>
  </si>
  <si>
    <t>0005558</t>
  </si>
  <si>
    <t>0005559</t>
  </si>
  <si>
    <t>0005560</t>
  </si>
  <si>
    <t>0005563</t>
  </si>
  <si>
    <t>2/2020</t>
  </si>
  <si>
    <t>0005564</t>
  </si>
  <si>
    <t>0005565</t>
  </si>
  <si>
    <t>0005566</t>
  </si>
  <si>
    <t>0005567</t>
  </si>
  <si>
    <t>0005568</t>
  </si>
  <si>
    <t>0005569</t>
  </si>
  <si>
    <t>0005570</t>
  </si>
  <si>
    <t>0005571</t>
  </si>
  <si>
    <t>0005540</t>
  </si>
  <si>
    <t>čeká na proplacení FA, snížení CN</t>
  </si>
  <si>
    <t>UKONČENO</t>
  </si>
  <si>
    <t>stavebně ukončeno-čeká na proplace FA, snížení CN</t>
  </si>
  <si>
    <t>PO soutěží sama</t>
  </si>
  <si>
    <t>čeká na počasí</t>
  </si>
  <si>
    <t>studie proveditelnosti hotová-OKI SOUTĚŹÍ</t>
  </si>
  <si>
    <t>před podpisem smlouvy</t>
  </si>
  <si>
    <t>fyzicky ukončeno-čeká na proplacení FA</t>
  </si>
  <si>
    <t xml:space="preserve">Bude převedeno do Zásobníku projektů </t>
  </si>
  <si>
    <t>Ukončeno VZ - Těsně před podpisem smlouvy. Snížení CN</t>
  </si>
  <si>
    <t>98/2019/SOC</t>
  </si>
  <si>
    <t>Pořízení EPS</t>
  </si>
  <si>
    <t xml:space="preserve">nově zařazeno </t>
  </si>
  <si>
    <t>99/2019/SOC</t>
  </si>
  <si>
    <t>Hřiště pro seniory</t>
  </si>
  <si>
    <t>101/2019/SOC</t>
  </si>
  <si>
    <t xml:space="preserve">Vybavení kuchyně konvektomat,lednice,sporák a dodávka klimatizace </t>
  </si>
  <si>
    <t>102/2019/SOC</t>
  </si>
  <si>
    <t>104/2019/SOC</t>
  </si>
  <si>
    <t>8/2020</t>
  </si>
  <si>
    <t>10/2020</t>
  </si>
  <si>
    <t>SKOL</t>
  </si>
  <si>
    <t>až budou finanční prostředky</t>
  </si>
  <si>
    <t>vytipováno pro převod do ZP-EPC, změna financování</t>
  </si>
  <si>
    <t>1/2020</t>
  </si>
  <si>
    <t>změna financování, jiné zdroje=vlastní zdroje PO</t>
  </si>
  <si>
    <t>Jiné zdroje = neinvestiční prostředky z rozpočtu kraje. Změna způsobu financování</t>
  </si>
  <si>
    <t>Nabídka od 1 dodovatele, v březnu by mělo dojít k podpisu smlouvy, PD vyhotovená v roce 2018, změna financování</t>
  </si>
  <si>
    <t>0004991</t>
  </si>
  <si>
    <t>odstranění chyby v evidenci</t>
  </si>
  <si>
    <t>12/2018</t>
  </si>
  <si>
    <t>hotová PD, změna financování</t>
  </si>
  <si>
    <t>hotová PD, jiné zdroje=vlastní zdroje PO, změna financování</t>
  </si>
  <si>
    <t>.</t>
  </si>
  <si>
    <t>018-34/2018/RK ze dne 5.11.2018 128-16/2018/ZK ze dne 26.11.2018</t>
  </si>
  <si>
    <t>přišly dvě nabídky, mohla by se podepsat smlouva, změna financování</t>
  </si>
  <si>
    <t>připravuje se převod pozemku</t>
  </si>
  <si>
    <t>Výměna zámků (generální klíč nahradit elektronickým systémem)</t>
  </si>
  <si>
    <t>nově zařazená akce</t>
  </si>
  <si>
    <t>Základní škola, Vlašim, Březinská 1702</t>
  </si>
  <si>
    <t>125/2019/ŠKO</t>
  </si>
  <si>
    <t>Integrovaná střední škola technická Mělník, příspěvková organizace</t>
  </si>
  <si>
    <t>Limit čerpání 55 mil. Kč</t>
  </si>
  <si>
    <t>Limit čerpání 10 mil. Kč</t>
  </si>
  <si>
    <t>Limit čerpání 30 mil. Kč</t>
  </si>
  <si>
    <t>Limit čerpání 130 mil. Kč</t>
  </si>
  <si>
    <t>Limit čerpání 150 mil. Kč</t>
  </si>
  <si>
    <t>Limit čerpání 6 mil. Kč</t>
  </si>
  <si>
    <t>Limit čerpání 1 mil. Kč</t>
  </si>
  <si>
    <t>Limit čerpání 8 mil. Kč</t>
  </si>
  <si>
    <t>Limit čerpání 50 mil. Kč</t>
  </si>
  <si>
    <t>Limit čerpání 500 mil. Kč</t>
  </si>
  <si>
    <t xml:space="preserve">Smlouva na realizaci před podpisem </t>
  </si>
  <si>
    <t>11.3.2019 předání staveniště, jiné zdroje=vlastní zdroje PO, změna způsobu financování</t>
  </si>
  <si>
    <t>EPC</t>
  </si>
  <si>
    <t>,</t>
  </si>
  <si>
    <t>Zřízení vodorovného dopravního značení, bezpečnostní prvky</t>
  </si>
  <si>
    <t>107/2019/DOP</t>
  </si>
  <si>
    <t>Okružní křižovatka Nymburk</t>
  </si>
  <si>
    <t>Vybudování a zprovoznění paliativní péče, tzv. hospicových lůžek v nemocnici Kutná Hora</t>
  </si>
  <si>
    <t>Po kolaudaci DC Chocerady. VZ si vysoutěží p. o. sama. 
Změna financování</t>
  </si>
  <si>
    <t xml:space="preserve">Po kolaudaci DC Chocerady. VZ si vysoutěží p. o. sama.
Změna financování </t>
  </si>
  <si>
    <t>Rekonstrukce bývalé svobodárny na Centrum pro vzdělávání a péči o zaměstnance ON Kolín, a. s.</t>
  </si>
  <si>
    <t>Změna financování</t>
  </si>
  <si>
    <t>Jiné zdroje = prostředky nemocnice  
 Plánované ukončení 05-06/2019</t>
  </si>
  <si>
    <t>Čekáme na vysoutěžení dodavatele, vazba na SČK.   Vysoutěžena PD.
15.5.2018 předložen na OKI interní formulář VZ na výběr dodavatele. 17.7.2018 požádáno o administrátora VZ. 3.9.2018 Radou zamítnut administrátor VZ, tím vynucený přesun investice do 2019.
Změna financování</t>
  </si>
  <si>
    <t>Probíhá plnění VZ. 
Změna financování</t>
  </si>
  <si>
    <t>Jiné zdroje = prostředky nemocnice.  Příprava ZD, druhá etapa
Změna financování</t>
  </si>
  <si>
    <t>Manipulační plochy a zpevněné plochy pro vozíčkáře včetně projektové dokumentace</t>
  </si>
  <si>
    <t>Není možné realizovat před dokončením stavby, bude realizováno po předání, zhotovitel zajištěn.  Stavba bude zahájena ve vhodných klimatických podmínkách. Přesun Kč z r. 2018 do r. 2019.
Změna financování.</t>
  </si>
  <si>
    <t>Jiné zdroje = 100 tis. Kč vlastní zdroje nemocnice, 2 800 tis. Kč dotace státního rozpočtu. Realizace ukončena 8/2019
Změna financování</t>
  </si>
  <si>
    <t>Jiné zdroje = 100 tis. Kč vlastní zdroje nemocnice, 2 000 tis. Kč dotace státního rozpočtu. Realizace ukončena 8/2019
Změna financování</t>
  </si>
  <si>
    <t>Jiné zdroje = vlastní zdroje nemocnice
Změna financování</t>
  </si>
  <si>
    <t>Jiné zdroje = dotace státního rozpočtu;
dotace schválena IROP
Změna financování</t>
  </si>
  <si>
    <t>Jiné zdroje = dotace státního rozpočtu. Schválená ZD, těsně před zahájením VŘ, ukončení VŘ 3/2019
Změna financování</t>
  </si>
  <si>
    <t>Jiné zdroje = vlastní zdroje nemocnice. Po dokoncčení stavebních prací v interním pavilonu proběhne instalace.
Změna financování</t>
  </si>
  <si>
    <t>Realizace v květnu
Změna financování</t>
  </si>
  <si>
    <t>Jiné zdroje = vlastní zdroje nemocnice. Realizace červen
Změna financování</t>
  </si>
  <si>
    <t>Předání dokumentace listopad
Změna financování</t>
  </si>
  <si>
    <t>Jiné zdroje = vlastní zdroje nemocnice. Konec výběrového řízení v květnu, ihned poté realizace
Změna financování</t>
  </si>
  <si>
    <t>Jiné zdroje = vlastní zdroje nemocnice. Příprava ZD průběžně - 1-12/2019, předpokládané ukončení akce 12/2019 
Změna financování</t>
  </si>
  <si>
    <t>Realizace PD - předpokládané dokončení 6/2019, předpokládané ukončení akce 12/2020
Změna financování</t>
  </si>
  <si>
    <t>Předpokl. 12/2019
Změna financování</t>
  </si>
  <si>
    <t>Předpokládané ukončení akce 12/2019
Změna financování</t>
  </si>
  <si>
    <t>Jiné zdroje = vlastní zdroje nemocnice. PD v realizaci
Změna financování</t>
  </si>
  <si>
    <t>Jiné zdroje = vlastní zdroje nemocnice. Příprava VŘ na zpracovatele PD
Změna financování</t>
  </si>
  <si>
    <t>Jiné zdroje = vlastní zdroje nemocnice. Předpoklad zahájení realizace akce 3. Q 2019
Změna financování</t>
  </si>
  <si>
    <t>Jiné zdroje = vlastní zdroje nemocnice. Předpoklad ukončení realizace akce do konce 2019
Změna financování</t>
  </si>
  <si>
    <t>Předpoklad ukončení realizace akce do konce 2019
Změna financování</t>
  </si>
  <si>
    <t>Provozovna nemocnice Kutná Hora. Vybrán dodavatel, fáze před podpisem smlouvy. Předpoklad ukončení realizace akce 4-5/2019
Změna financování</t>
  </si>
  <si>
    <t>Předpoklad ukončení realizace akce 4/2019
Změna financování</t>
  </si>
  <si>
    <t>provozovna nemocnice Kutná Hora.  Jiné zdroje = SFŽP.   PD v realizaci.  Příprava žádosti o poskytnutí dotace z SFŽP-výzva 121.  Předpoklad podání žádosti 3-4/2019
Změna financování</t>
  </si>
  <si>
    <t>Jiné zdroje = vlastní zdroje nemocnice.   1.10.2019 - předpokládaný termín zahájení stavebních prací, realizace do 11/2020
Změna financování</t>
  </si>
  <si>
    <t>Jiné zdroje = vlastní zdroje nemocnice. V současné době se zpracovává studie, Předpokládaný termín zahájení realizace je 01/2020
Změna financování</t>
  </si>
  <si>
    <t>V současné době probíhá VZ na dokumentaci pro provedení stavby.  Předpokládaný termín dokončení akce 06/2019
Změna financování</t>
  </si>
  <si>
    <t>Jiné zdroje = vlastní zdroje nemocnice. Probíhá VZ na dokumentaci pro provádění stavby
Změna financování</t>
  </si>
  <si>
    <t>Jiné zdroje = vlastní zdroje nemocnice.  Realizace VZ, termín pro podání nabídek 15.2.19 , předpokládaný termín zahájení stavebních prací je 10/2019
Změna financování</t>
  </si>
  <si>
    <t>předpoklad VŘ 02-05/2019
Změna financování</t>
  </si>
  <si>
    <t>požadavek na dotaci z rozpočtu SK ve výši  200 000 tis. Kč v r. 2020, probíhá příprava VŘ, zpracována projektová dokumentace
požadavek na dotaci z rozpočtu SK ve výši 118 000 tis. Kč v roce r. 2021 
Změna financování</t>
  </si>
  <si>
    <t>Jiné zdroje = Dotace v rámci OPŽP. 
Změna financování</t>
  </si>
  <si>
    <t>předpoklad</t>
  </si>
  <si>
    <t>POZN. K DOPRAVĚ</t>
  </si>
  <si>
    <t>Poznámka - kopie z 25.3.2019</t>
  </si>
  <si>
    <t>celkem</t>
  </si>
  <si>
    <t xml:space="preserve"> v tis. Kč</t>
  </si>
  <si>
    <t>jiné zdroje= vlastní zdroje nemocnice</t>
  </si>
  <si>
    <t>Jiné zdroje = vlastní prostředky nemocnice.
Změna financování.            1/2019</t>
  </si>
  <si>
    <t>Jiné zdroje = vlastní zdroje nemocnice. 
Změna financování.   2/2019</t>
  </si>
  <si>
    <t>Realizace červenec
Změna financování.   2/2019</t>
  </si>
  <si>
    <t>Začátek realizace květen, postupná rekonstrukce 6 stávajících výtahů + 1 nový výtah v termínu květen - listopad
Změna financování   2/2019</t>
  </si>
  <si>
    <t>Jiné zdroje = vlastní zdroje nemocnice. Probíhá VŘ na zhotovitele akce. Vybrán dodavatel, fáze před podpisem smlouvy. Předpoklad ukončení realizace akce 7/2019.
Změna financování     2/2019</t>
  </si>
  <si>
    <t>Jiné zdroje = vlastní zdroje nemocnice. Předpoklad ukončení realizace akce 07/2019
Změna financování   2/2019</t>
  </si>
  <si>
    <t>V současné době je připravena technická specifikace pro vypsání veřejné zakázky. Předpokládaný termín dokončení akce 30.11.2019
Změna financování  2/2019</t>
  </si>
  <si>
    <t>V současné době se zpracovává studie, předpokládaný termín zahájení realizace je 04/2019
Změna financování.  2/2019</t>
  </si>
  <si>
    <t>Jiné zdroje= vlastní zdroje nemocnice</t>
  </si>
  <si>
    <t>br</t>
  </si>
  <si>
    <t>sr</t>
  </si>
  <si>
    <t>provozovna nemocnice Kutná Hora. Minimální částka "bez restrukturalizace"   Příprava pro zpracování PD, předpoklad zpracování PD do konce 2019
Změna financování   5/2019</t>
  </si>
  <si>
    <t>3</t>
  </si>
  <si>
    <t>1</t>
  </si>
  <si>
    <t>2</t>
  </si>
  <si>
    <t>stavebně ukončeno-čeká na proplacení FA</t>
  </si>
  <si>
    <t>zrušeno</t>
  </si>
  <si>
    <t>nutné</t>
  </si>
  <si>
    <t>4</t>
  </si>
  <si>
    <t>výběr</t>
  </si>
  <si>
    <t>odkup nové stavby silnice</t>
  </si>
  <si>
    <t>jiné zdroje= havarijní fond Sk - kap. 23</t>
  </si>
  <si>
    <t xml:space="preserve">Smlouva na dodavatele u podpisu.  Změna způsobu financování.  Jiné zdroje - 1 mil. vlastní zdroje PO, 2,6 mil. investiční prostředky z rozpočtu kraje (kap. 05), 1,8 mil. Kč havarijní fond SK-kap.23. </t>
  </si>
  <si>
    <t>CELKEM 25 - Odbor Bezpečnostní ředitel</t>
  </si>
  <si>
    <t>CELKEM 17 - Odbor sociálních věcí</t>
  </si>
  <si>
    <t>CELKEM 10 - Odbor životního prostředí a zemědělství</t>
  </si>
  <si>
    <t>CELKEM 09 - Odbor řízení dotačních projektů</t>
  </si>
  <si>
    <t>CELKEM 08 - Odbor regionálního rozvoje</t>
  </si>
  <si>
    <t>CELKEM 07 - Odbor zdravotnictví</t>
  </si>
  <si>
    <t>CELKEM 06 - Odbor kultury a památkové péče</t>
  </si>
  <si>
    <t>CELKEM 05 - Odbor školství</t>
  </si>
  <si>
    <t>CELKEM 04 - Odbor dopravy</t>
  </si>
  <si>
    <t>CELKEM 03 - Odbor informatiky</t>
  </si>
  <si>
    <t>CELKEM 02 - Odbor podpory řízení krajského úřadu</t>
  </si>
  <si>
    <t>CELKEM 01 - Odbor Kancelář hejtmanky</t>
  </si>
  <si>
    <t>převod na odbor školství - investiční dotace</t>
  </si>
  <si>
    <t>jiné zdroje= havarijní fond SK - kap. 23</t>
  </si>
  <si>
    <t>Kompletní rekonstrukce elektroinstalace v DS</t>
  </si>
  <si>
    <t>OZP</t>
  </si>
  <si>
    <t>čerpání 2019 (musí být rovno nebo menší než nula)</t>
  </si>
  <si>
    <t>jiné zdroje=vlastní zdroje PO</t>
  </si>
  <si>
    <t>11.3.2019 předání staveniště. Jiné zdroje=vlastní zdroje PO</t>
  </si>
  <si>
    <t>hotová PD</t>
  </si>
  <si>
    <t>hotová PD, jiné zdroje=vlastní zdroje PO</t>
  </si>
  <si>
    <t>stavebně ukončeno-čeká na proplace FA</t>
  </si>
  <si>
    <t xml:space="preserve">Ukončeno VZ - Těsně před podpisem smlouvy. </t>
  </si>
  <si>
    <t xml:space="preserve"> jiné zdroje - kap..17</t>
  </si>
  <si>
    <t>Čerpáno 1.1.-31.3. 2019</t>
  </si>
  <si>
    <t>Předpoklad v roce 2021</t>
  </si>
  <si>
    <t>Předpoklad v roce 2022+</t>
  </si>
  <si>
    <t>rezerva převedena do kap. 23</t>
  </si>
  <si>
    <t>022-14/2019/RK ze dne 15.4.2019  108-18/2019/ZK ze dne 29.4.2019</t>
  </si>
  <si>
    <t>0005444</t>
  </si>
  <si>
    <t>I</t>
  </si>
  <si>
    <t>moje pozn.</t>
  </si>
  <si>
    <t>Akce zrušena peněžní prostředky (1,4 mil. Kč v r. 2021) převedeny na akci 5/2019/SOC</t>
  </si>
  <si>
    <t xml:space="preserve"> FA proplacena</t>
  </si>
  <si>
    <t>FA proplacena</t>
  </si>
  <si>
    <t xml:space="preserve"> FA proplacena,</t>
  </si>
  <si>
    <t>Změna financování a změna roku realizace</t>
  </si>
  <si>
    <t>Změna roku realizace</t>
  </si>
  <si>
    <t>105/2019/SOC</t>
  </si>
  <si>
    <t>Profesionální pračka prádla 13 kg</t>
  </si>
  <si>
    <t>106/2019/SOC</t>
  </si>
  <si>
    <t>Profesionální pračka prádla 24 kg + sušicka</t>
  </si>
  <si>
    <t>108/2019/SOC</t>
  </si>
  <si>
    <t>Rekonstrukce 6 pokojů ve 2. patře staré budovy</t>
  </si>
  <si>
    <t>109/2019/SOC</t>
  </si>
  <si>
    <t>110/2019/SOC</t>
  </si>
  <si>
    <t>Centrální zařízení na úpravu vody</t>
  </si>
  <si>
    <t>111/2019/SOC</t>
  </si>
  <si>
    <t>Výstavba technické budovy, údržba a prádelna</t>
  </si>
  <si>
    <t>112/2019/SOC</t>
  </si>
  <si>
    <t>Rekonstrukce zařízení sestra pacient</t>
  </si>
  <si>
    <t>113/2019/SOC</t>
  </si>
  <si>
    <t>114/2019/SOC</t>
  </si>
  <si>
    <t>116/2019/SOC</t>
  </si>
  <si>
    <t>Domov seniorů Vojkov</t>
  </si>
  <si>
    <t>117/2019/SOC</t>
  </si>
  <si>
    <t>Nákup plynového kotle</t>
  </si>
  <si>
    <t>119/2019/SOC</t>
  </si>
  <si>
    <t>120/2019/SOC</t>
  </si>
  <si>
    <t>Změna ceny, realizace ukončena čeká se na proplacení</t>
  </si>
  <si>
    <t>mail z 10.5.</t>
  </si>
  <si>
    <t>CELKEM 05 - Odbor školství, mládeže a sportu</t>
  </si>
  <si>
    <t>10/2019/OŘÚ</t>
  </si>
  <si>
    <t>Pořízení osobního vozidla</t>
  </si>
  <si>
    <t>0005577</t>
  </si>
  <si>
    <t>Navýšení CN. Rozšíření IS GINIS na žádost FIN a vedení KÚ v souvislosti s elektronizací dokumentů Rady SčK. Navýšení je kompenzováno z akce 5547</t>
  </si>
  <si>
    <t>Snížení CN.  Důvodem rozšíření je zajištění konverze dokumentů Word na .pdf/A k elektronickému podepisování dokumentů v IS GINIS z důvodu kompatibility a přechodu na verzi IS GINIS 3.82. Na základě aktualizovaného rozpočtu akce přesouváme část prostředků na akci 5546.</t>
  </si>
  <si>
    <t>Převedeno do Zásobníku projektů (6,3 mil. Kč hrazeno z fondů EU)</t>
  </si>
  <si>
    <t>Domov Na Hrádku, Červený Hrádek</t>
  </si>
  <si>
    <t>Rybka Neratovice</t>
  </si>
  <si>
    <t>Domov Buda, Zásmuky</t>
  </si>
  <si>
    <t>Domov Barbora, Kutná Hora</t>
  </si>
  <si>
    <t>Centrum 83, Mladá Boleslav</t>
  </si>
  <si>
    <t>Domov Pod Kavčí Skálou, Říčany u Prahy</t>
  </si>
  <si>
    <t>Vyšší Hrádek, Brandýs n.L.</t>
  </si>
  <si>
    <t>Domov seniorů TGM, Beroun</t>
  </si>
  <si>
    <t>Domov Na Zátiší, Rakovník</t>
  </si>
  <si>
    <t>Domov Laguna, Psáry</t>
  </si>
  <si>
    <t>Domov pod lípou, Lipník</t>
  </si>
  <si>
    <t>Domov Domino, Zavidov</t>
  </si>
  <si>
    <t>Domov V Zahradách, Zdice</t>
  </si>
  <si>
    <t>Domov Na Zámku, Lysá</t>
  </si>
  <si>
    <t>Realizováno, před platbou za dodávku</t>
  </si>
  <si>
    <t>akce nově zařazená</t>
  </si>
  <si>
    <t>stavebně realizováno, dokončení MJT vyrovnání</t>
  </si>
  <si>
    <t>stavebně realizováno, doplatek akce</t>
  </si>
  <si>
    <t>navýšení CN, navýšení nákladů během stavby</t>
  </si>
  <si>
    <t>realizace</t>
  </si>
  <si>
    <t>v realizaci, změna financování</t>
  </si>
  <si>
    <t>v realizaci</t>
  </si>
  <si>
    <t>3/2020</t>
  </si>
  <si>
    <t>108/2019/DOP</t>
  </si>
  <si>
    <t>Krčínova cyklostezka</t>
  </si>
  <si>
    <t xml:space="preserve">spolufinancování cykloztezky formou dotace </t>
  </si>
  <si>
    <t>1/2021</t>
  </si>
  <si>
    <t>1/2022</t>
  </si>
  <si>
    <t>financováno z projektu</t>
  </si>
  <si>
    <t xml:space="preserve">Smlouva na dodavatele u podpisu.  Jiné zdroje - 1 mil. vlastní zdroje PO, 2,6 mil. investiční prostředky z rozpočtu kraje (kap. 05), 1,8 mil. Kč havarijní fond SK-kap.23., celá akce hrazena z jiných zdrojů </t>
  </si>
  <si>
    <t>nebude realizováno (300 tis.Kč)</t>
  </si>
  <si>
    <t>škola si akci zaplatí z IF</t>
  </si>
  <si>
    <t>0005621</t>
  </si>
  <si>
    <t>připravuje se převod pozemku
změna č. ADA</t>
  </si>
  <si>
    <t>0005622</t>
  </si>
  <si>
    <t>změna č. ADA</t>
  </si>
  <si>
    <t>bude hrazeno z kapitoly 05 školství</t>
  </si>
  <si>
    <t xml:space="preserve"> jiné zdroje=vlastní zdroje PO, 150 tisíc z kapitoly 05</t>
  </si>
  <si>
    <t>jiné zdroje - kapitola 05</t>
  </si>
  <si>
    <t>změna financování, přesun do 2019</t>
  </si>
  <si>
    <t>5/2022</t>
  </si>
  <si>
    <t>hotová PD
změna financování, přesun do 2019</t>
  </si>
  <si>
    <t>Bude hrazenoz  kapitoly 05( ÚZ 040)</t>
  </si>
  <si>
    <t>zrušeno, Zařazeno pod číslem 100/2019/ŠKO</t>
  </si>
  <si>
    <t>REALIZOVÁNO, UKONČENA FAKTURACE&gt;&gt;&gt; PŘED PODEPSÁNÍM DODATKU&gt;&gt;&gt; (časový horizont=finanční plnění dle smlouvy o dotaci k 6/2019)</t>
  </si>
  <si>
    <t>Jiné zdroje= vlastní zdroje nemocnice
Zahájeno VŘ na zhotovitele.</t>
  </si>
  <si>
    <t xml:space="preserve">Jiné zdroje = prostředky nemocnice. Dodatek SoD prodloužení termínu do 30.9.2019.  </t>
  </si>
  <si>
    <t>Jiné zdroje = prostředky nemocnice.  
 (časový horizont = ukončení části realizace)</t>
  </si>
  <si>
    <t>REALIZOVÁNO, UKONČENA FAKTURACE &gt;&gt;&gt;&gt;PŘED PODEPSÁNÍM DODATKU&gt;&gt;&gt;&gt;(časový horizont = finanční plnění dle smlouvy o dotaci k 6/2019)</t>
  </si>
  <si>
    <t>Ukončeno v březnu 2019.
Jiné zdroje = vlastní zdroje PO</t>
  </si>
  <si>
    <t>Není možné realizovat před dokončením stavby, bude realizováno po předání, zhotovitel zajištěn.  Stavba bude zahájena ve vhodných klimatických podmínkách. Přesun Kč z r. 2018 do r. 2019.
Jiné zdroje = vlastní zdroje PO</t>
  </si>
  <si>
    <t xml:space="preserve"> 5/2019</t>
  </si>
  <si>
    <t>???</t>
  </si>
  <si>
    <t>Jiné zdroje = vlastní zdroje nemocnice
Dodatek SoD prodloužení termínu do 30.9.2019.  
Změna financování z vlastních zdrojů z 6.496 tis. Kč 
na 15.986 Kč.</t>
  </si>
  <si>
    <t>Akce odsunuta na neurčito.</t>
  </si>
  <si>
    <t>Rekonstrukce a modernizace COS</t>
  </si>
  <si>
    <t>Nově zařazená akce
Jiné zdroje = vlastní prostředky nemocnice
Zpracován soupis stavebních prací a oprav v rámci rekonstrukce, připraveny podklady pro vypsání VZ na zhotovitele. Připravena technická specifikace oper. světla a oper. stolu.</t>
  </si>
  <si>
    <t>135/2019/ZDR</t>
  </si>
  <si>
    <t>navýšení CN (nepředvídatelné vícepráce)</t>
  </si>
  <si>
    <t>změna financování, přesunuto na 2019</t>
  </si>
  <si>
    <t>snížení CN a změna financování, přesunuto na 2019</t>
  </si>
  <si>
    <t>změna financování, část prostředků z jiných zdrojů - kap. 05 školství</t>
  </si>
  <si>
    <t>Změna způsobu financování. Ukončeno v březnu 2019.
Jiné zdroje = vlastní zdroje PO</t>
  </si>
  <si>
    <t>136/2019/ZDR</t>
  </si>
  <si>
    <t>Změna užívání části objektu C1A - DIOP a NIP</t>
  </si>
  <si>
    <t>Nově zařazená akce</t>
  </si>
  <si>
    <t>NEBUDE REALIZOVÁNO (původní celkové náklady 228,89 tis. Kč)</t>
  </si>
  <si>
    <t>NEBUDE REALIZOVÁNO (původní celkové náklady 96,90 tis. Kč)</t>
  </si>
  <si>
    <t>Změna způsobu financování = ze zdrojů ONK
Akce odsunuta na neurčito</t>
  </si>
  <si>
    <t>Změna způsobu financování = financováno ze zdrojů ONK ve výši 3,982 mil. Kč. Probíhá plnění VZ pouze do výše vlastních zdrojů. Akce odsunuta na neurčito.</t>
  </si>
  <si>
    <t>Změna způsobu financování.  Jiné zdroje = vlastní zdroje PO. Akce odsunuta na neurčito.</t>
  </si>
  <si>
    <t>Jiné zdroje = dotace státního rozpočtu. Akce odsunuta na neurčito.</t>
  </si>
  <si>
    <t xml:space="preserve">Rekonstrukce 4. a 5. NP v objektu gynekologie </t>
  </si>
  <si>
    <r>
      <t xml:space="preserve">provozovna nemocnice Kutná Hora.   </t>
    </r>
    <r>
      <rPr>
        <b/>
        <strike/>
        <u/>
        <sz val="10"/>
        <rFont val="Arial"/>
        <family val="2"/>
        <charset val="238"/>
      </rPr>
      <t xml:space="preserve">Minimální částka "bez restrukturalizace"    </t>
    </r>
    <r>
      <rPr>
        <strike/>
        <sz val="10"/>
        <rFont val="Arial"/>
        <family val="2"/>
        <charset val="238"/>
      </rPr>
      <t xml:space="preserve"> Příprava pro zpracování PD, předpoklad zpracování PD do konce 2019
Změna financování   5/2019</t>
    </r>
  </si>
  <si>
    <r>
      <t xml:space="preserve">provozovna nemocnice Kutná Hora. </t>
    </r>
    <r>
      <rPr>
        <b/>
        <strike/>
        <u/>
        <sz val="10"/>
        <rFont val="Arial"/>
        <family val="2"/>
        <charset val="238"/>
      </rPr>
      <t>Maximální částka "s restrukturalizací"</t>
    </r>
    <r>
      <rPr>
        <strike/>
        <sz val="10"/>
        <rFont val="Arial"/>
        <family val="2"/>
        <charset val="238"/>
      </rPr>
      <t xml:space="preserve">   Příprava pro zpracování PD, předpoklad zpracování PD do konce 2019
Změna financování   5/2019</t>
    </r>
  </si>
  <si>
    <r>
      <t xml:space="preserve">provozovna nemocnice Kutná Hora. </t>
    </r>
    <r>
      <rPr>
        <b/>
        <strike/>
        <u/>
        <sz val="10"/>
        <rFont val="Arial"/>
        <family val="2"/>
        <charset val="238"/>
      </rPr>
      <t>Minimální částka "bez restrukturalizace"</t>
    </r>
    <r>
      <rPr>
        <strike/>
        <sz val="10"/>
        <rFont val="Arial"/>
        <family val="2"/>
        <charset val="238"/>
      </rPr>
      <t xml:space="preserve">   Příprava pro zpracování PD, předpoklad zpracování PD do konce 2019
Změna financování   5/2019</t>
    </r>
  </si>
  <si>
    <r>
      <t xml:space="preserve">provozovna nemocnice Kutná Hora. </t>
    </r>
    <r>
      <rPr>
        <b/>
        <strike/>
        <u/>
        <sz val="10"/>
        <rFont val="Arial"/>
        <family val="2"/>
        <charset val="238"/>
      </rPr>
      <t xml:space="preserve">Maximální částka "s restrukturalizací"  </t>
    </r>
    <r>
      <rPr>
        <strike/>
        <sz val="10"/>
        <rFont val="Arial"/>
        <family val="2"/>
        <charset val="238"/>
      </rPr>
      <t xml:space="preserve"> Příprava pro zpracování PD, předpoklad zpracování PD do konce 2019    5/2019</t>
    </r>
  </si>
  <si>
    <r>
      <t xml:space="preserve">Jiné zdroje = vlastní zdroje nemocnice.   1.4.2019 - zahájení stavby; </t>
    </r>
    <r>
      <rPr>
        <b/>
        <strike/>
        <sz val="10"/>
        <color rgb="FFFF0000"/>
        <rFont val="Arial"/>
        <family val="2"/>
        <charset val="238"/>
      </rPr>
      <t xml:space="preserve">Probíhá hodnocení nabídek
</t>
    </r>
    <r>
      <rPr>
        <strike/>
        <sz val="10"/>
        <rFont val="Arial"/>
        <family val="2"/>
        <charset val="238"/>
      </rPr>
      <t>Změna financování</t>
    </r>
  </si>
  <si>
    <t>Jiné zdroje = vlastní zdroje nemocnice. 
Změna způsobu financování.</t>
  </si>
  <si>
    <t>Jiné zdroje = vlastní zdroje nemocnice. 
Akce odsunuta na neurčito.</t>
  </si>
  <si>
    <t>Jiné zdroje = 100 tis. Kč vlastní zdroje nemocnice, 2 800 tis. Kč dotace státního rozpočtu. 
Akce odsunuta na neurčito.</t>
  </si>
  <si>
    <t>Jiné zdroje = 100 tis. Kč vlastní zdroje nemocnice, 2 000 tis. Kč dotace státního rozpočtu. 
Akce odsunuta na neurčito.</t>
  </si>
  <si>
    <t>Jiné zdroje = vlastní zdroje nemocnice
Akce odsunuta na neurčito.</t>
  </si>
  <si>
    <t>Jiné zdroje = dotace státního rozpočtu;
dotace schválena IROP
Akce odsunuta na neurčito.</t>
  </si>
  <si>
    <t>Jiné zdroje = vlastní zdroje nemocnice.
Akce odsunuta na neurčito.</t>
  </si>
  <si>
    <t xml:space="preserve">
Akce odsunuta na neurčito.</t>
  </si>
  <si>
    <t>Předání dokumentace listopad
Akce odsunuta na neurčito.</t>
  </si>
  <si>
    <t>Jiné zdroje = vlastní zdroje nemocnice. PD zpracována. 
Akce odsunuta na neurčito.</t>
  </si>
  <si>
    <t>Jiné zdroje = vlastní zdroje nemocnice. Příprava VŘ na zpracovatele PD
Akce odsunuta na neurčito.</t>
  </si>
  <si>
    <t xml:space="preserve">Jiné zdroje = vlastní zdroje nemocnice. 
Smlouva s vybraným zhotovitelem podepsána.
Akce odsunuta na neurčito. </t>
  </si>
  <si>
    <t>Provozovna nemocnice Kutná Hora. Akce odsunuta na neurčito.</t>
  </si>
  <si>
    <t>provozovna nemocnice Kutná Hora.  Jiné zdroje = SFŽP.   PD v realizaci.  Přípravu PD a přípravu žádosti o poskytnutí dotace z SFŽP řeší společnost C.E.I.S. metodou EPC (zasmluvněno Středočeským krajem).
Akce odsunuta na neurčito.</t>
  </si>
  <si>
    <t>provozovna nemocnice Kutná Hora.  Jiné zdroje = SFŽP. Přípravu PD a přípravu žádosti o poskytnutí dotace z SFŽP řeší společnost C.E.I.S. metodou EPC (zasmluvněno Středočeským krajem).
Akce odsunuta na neurčito.</t>
  </si>
  <si>
    <t>Jiné zdroje = vlastní zdroje nemocnice.   
Akce odsunuta na neurčito.</t>
  </si>
  <si>
    <r>
      <t xml:space="preserve">provozovna nemocnice Kutná Hora.   </t>
    </r>
    <r>
      <rPr>
        <strike/>
        <u/>
        <sz val="10"/>
        <rFont val="Arial"/>
        <family val="2"/>
        <charset val="238"/>
      </rPr>
      <t xml:space="preserve">Minimální částka "bez restrukturalizace"
</t>
    </r>
    <r>
      <rPr>
        <strike/>
        <sz val="10"/>
        <rFont val="Arial"/>
        <family val="2"/>
        <charset val="238"/>
      </rPr>
      <t>Akce odsunuta na neurčito.</t>
    </r>
  </si>
  <si>
    <r>
      <t xml:space="preserve">provozovna nemocnice Kutná Hora. </t>
    </r>
    <r>
      <rPr>
        <strike/>
        <u/>
        <sz val="10"/>
        <rFont val="Arial"/>
        <family val="2"/>
        <charset val="238"/>
      </rPr>
      <t xml:space="preserve">Maximální částka "s restrukturalizací"
</t>
    </r>
    <r>
      <rPr>
        <strike/>
        <sz val="10"/>
        <rFont val="Arial"/>
        <family val="2"/>
        <charset val="238"/>
      </rPr>
      <t>Akce odsunuta na neurčito.</t>
    </r>
  </si>
  <si>
    <r>
      <t xml:space="preserve">provozovna nemocnice Kutná Hora. </t>
    </r>
    <r>
      <rPr>
        <strike/>
        <u/>
        <sz val="10"/>
        <rFont val="Arial"/>
        <family val="2"/>
        <charset val="238"/>
      </rPr>
      <t>Minimální částka "bez restrukturalizace"</t>
    </r>
    <r>
      <rPr>
        <strike/>
        <sz val="10"/>
        <rFont val="Arial"/>
        <family val="2"/>
        <charset val="238"/>
      </rPr>
      <t xml:space="preserve">  
Akce odsunuta na neurčito.</t>
    </r>
  </si>
  <si>
    <r>
      <t xml:space="preserve">provozovna nemocnice Kutná Hora. </t>
    </r>
    <r>
      <rPr>
        <strike/>
        <u/>
        <sz val="10"/>
        <rFont val="Arial"/>
        <family val="2"/>
        <charset val="238"/>
      </rPr>
      <t>Maximální částka "s restrukturalizací"</t>
    </r>
    <r>
      <rPr>
        <strike/>
        <sz val="10"/>
        <rFont val="Arial"/>
        <family val="2"/>
        <charset val="238"/>
      </rPr>
      <t xml:space="preserve"> 
Akce odsunuta na neurčito.</t>
    </r>
  </si>
  <si>
    <r>
      <t xml:space="preserve">provozovna nemocnice Kutná Hora. </t>
    </r>
    <r>
      <rPr>
        <strike/>
        <u/>
        <sz val="10"/>
        <rFont val="Arial"/>
        <family val="2"/>
        <charset val="238"/>
      </rPr>
      <t>Minimální částka "bez restrukturalizace"</t>
    </r>
    <r>
      <rPr>
        <strike/>
        <sz val="10"/>
        <rFont val="Arial"/>
        <family val="2"/>
        <charset val="238"/>
      </rPr>
      <t xml:space="preserve">
Akce odsunuta na neurčito.</t>
    </r>
  </si>
  <si>
    <r>
      <t xml:space="preserve">provozovna nemocnice Kutná Hora. </t>
    </r>
    <r>
      <rPr>
        <strike/>
        <u/>
        <sz val="10"/>
        <rFont val="Arial"/>
        <family val="2"/>
        <charset val="238"/>
      </rPr>
      <t>Maximální částka "s restrukturalizací"</t>
    </r>
    <r>
      <rPr>
        <strike/>
        <sz val="10"/>
        <rFont val="Arial"/>
        <family val="2"/>
        <charset val="238"/>
      </rPr>
      <t xml:space="preserve">
Akce odsunuta na neurčito.</t>
    </r>
  </si>
  <si>
    <r>
      <t xml:space="preserve">provozovna nemocnice Kutná Hora. </t>
    </r>
    <r>
      <rPr>
        <strike/>
        <u/>
        <sz val="10"/>
        <rFont val="Arial"/>
        <family val="2"/>
        <charset val="238"/>
      </rPr>
      <t>Minimální částka "bez restrukturalizace"</t>
    </r>
    <r>
      <rPr>
        <strike/>
        <sz val="10"/>
        <rFont val="Arial"/>
        <family val="2"/>
        <charset val="238"/>
      </rPr>
      <t xml:space="preserve">  Změna financování
Akce odsunuta na neurčito.</t>
    </r>
  </si>
  <si>
    <t>Jiné zdroje = Dotace v rámci OPŽP.
Akce odsunuta na neurčito.</t>
  </si>
  <si>
    <t>Jiné zdroje = Dotace v rámci OPŽP. 
Akce odsunuta na neurčito.</t>
  </si>
  <si>
    <r>
      <t xml:space="preserve">Příprava specifikace a technických podkladů nezbytné k stanovení předpokládané hodnoty projektových prací.  Technické podklady 3/2019, dále VZMR, jejíž realizace je odhadována na cca 2 měsíce.
</t>
    </r>
    <r>
      <rPr>
        <b/>
        <strike/>
        <sz val="10"/>
        <color rgb="FFFF0000"/>
        <rFont val="Arial"/>
        <family val="2"/>
        <charset val="238"/>
      </rPr>
      <t xml:space="preserve">V současné době se zpracovává canová nabídka na projektové práce - studie stavby.
</t>
    </r>
    <r>
      <rPr>
        <strike/>
        <sz val="10"/>
        <rFont val="Arial"/>
        <family val="2"/>
        <charset val="238"/>
      </rPr>
      <t>Změna financování</t>
    </r>
  </si>
  <si>
    <t>Bude hrazeno z  kapitoly 05 (ÚZ 040)</t>
  </si>
  <si>
    <t>zrušeno, zařazeno pod číslem 100/2019/ŠKO</t>
  </si>
  <si>
    <t>NEBUDE REALIZOVÁNO
(Původní celkové náklady 228,89 tis. Kč)</t>
  </si>
  <si>
    <t>NEBUDE REALIZOVÁNO
(Původní celkové náklady 96,90 tis. Kč)</t>
  </si>
  <si>
    <r>
      <t xml:space="preserve">Změna financování = financováno ze zdrojů ONK
(časový horizont=dokončení implenentace&gt;úhrada fa z vlastních zdrojů)
</t>
    </r>
    <r>
      <rPr>
        <b/>
        <i/>
        <sz val="10"/>
        <color rgb="FFFF0000"/>
        <rFont val="Arial"/>
        <family val="2"/>
        <charset val="238"/>
      </rPr>
      <t>Akce odsunuta na neurčito.</t>
    </r>
  </si>
  <si>
    <t>Čeká se na vysoutěžení dodavatele, vazba na SČK.   Vysoutěžena PD.
15.5.2018 předložen na OKI interní formulář VZ na výběr dodavatele. 17.7.2018 požádáno o administrátora VZ. 3.9.2018 Radou zamítnut administrátor VZ, tím vynucený přesun investice do 2019.
Změna financování 
Jiné zdroje = vlastní zdroje PO</t>
  </si>
  <si>
    <r>
      <t xml:space="preserve">Změna financování = financováno ze zdrojů ONK ve výši 3,982 mil. Kč
Probíhá plnění VZ pouze do výše vlastních zdrojů&gt;&gt;&gt; pak akce ukončena? Pozastavena???
</t>
    </r>
    <r>
      <rPr>
        <b/>
        <i/>
        <sz val="10"/>
        <color rgb="FFFF0000"/>
        <rFont val="Arial"/>
        <family val="2"/>
        <charset val="238"/>
      </rPr>
      <t>Akce odsunuta na neurčito.</t>
    </r>
  </si>
  <si>
    <t>Jiné zdroje = prostředky ZZS SČK, usnesení RK 
č. 013-10/2019/RK ze dne 18.3.2019
Změna financování - snížení celkových nákladů akce, bude hrazeno z fondu investic ZZS SČK, původní celkové náklady 70.000 tis. Kč. 
Byl proveden přepočet na 10+5 sanitních vozidel bez použití finančních prostředků kraje.
Podklady pro vypsání veřejné zakázky byly odeslány na Krajský úřad odeslány dne 17.4.2019.</t>
  </si>
  <si>
    <r>
      <t xml:space="preserve">Jiné zdroje = vlastní zdroje PO
</t>
    </r>
    <r>
      <rPr>
        <b/>
        <i/>
        <sz val="10"/>
        <color rgb="FFFF0000"/>
        <rFont val="Arial"/>
        <family val="2"/>
        <charset val="238"/>
      </rPr>
      <t>Akce odsunuta na neurčito.</t>
    </r>
  </si>
  <si>
    <t xml:space="preserve">Jiné zdroje = vlastní prostředky nemocnice. Fyzická realizace ukončena v březnu 2019. 
Snížení celkových nákladů akce o 864,84 tis. Kč.
</t>
  </si>
  <si>
    <r>
      <t xml:space="preserve">Jiné zdroje = vlastní zdroje nemocnice. 
</t>
    </r>
    <r>
      <rPr>
        <b/>
        <i/>
        <sz val="10"/>
        <color rgb="FFFF0000"/>
        <rFont val="Arial"/>
        <family val="2"/>
        <charset val="238"/>
      </rPr>
      <t>Akce odsunuta na neurčito.</t>
    </r>
  </si>
  <si>
    <r>
      <t xml:space="preserve">Jiné zdroje = 100 tis. Kč vlastní zdroje nemocnice, 2 800 tis. Kč dotace státního rozpočtu. Realizace ukončena 8/2019
</t>
    </r>
    <r>
      <rPr>
        <b/>
        <i/>
        <sz val="10"/>
        <color rgb="FFFF0000"/>
        <rFont val="Arial"/>
        <family val="2"/>
        <charset val="238"/>
      </rPr>
      <t>Akce odsunuta na neurčito.</t>
    </r>
  </si>
  <si>
    <r>
      <t xml:space="preserve">Jiné zdroje = 100 tis. Kč vlastní zdroje nemocnice, 2 000 tis. Kč dotace státního rozpočtu. Realizace ukončena 8/2019
</t>
    </r>
    <r>
      <rPr>
        <b/>
        <i/>
        <sz val="10"/>
        <color rgb="FFFF0000"/>
        <rFont val="Arial"/>
        <family val="2"/>
        <charset val="238"/>
      </rPr>
      <t>Akce odsunuta na neurčito.</t>
    </r>
  </si>
  <si>
    <r>
      <t xml:space="preserve">Jiné zdroje = vlastní zdroje nemocnice
</t>
    </r>
    <r>
      <rPr>
        <b/>
        <i/>
        <sz val="10"/>
        <color rgb="FFFF0000"/>
        <rFont val="Arial"/>
        <family val="2"/>
        <charset val="238"/>
      </rPr>
      <t>Akce odsunuta na neurčito.</t>
    </r>
  </si>
  <si>
    <r>
      <t xml:space="preserve">Jiné zdroje = dotace státního rozpočtu;
dotace schválena IROP
</t>
    </r>
    <r>
      <rPr>
        <b/>
        <i/>
        <sz val="10"/>
        <color rgb="FFFF0000"/>
        <rFont val="Arial"/>
        <family val="2"/>
        <charset val="238"/>
      </rPr>
      <t>Akce odsunuta na neurčito.</t>
    </r>
  </si>
  <si>
    <r>
      <t xml:space="preserve">Jiné zdroje = dotace státního rozpočtu. Schválená ZD, těsně před zahájením VŘ, ukončení VŘ 5/2019
Změna financování
</t>
    </r>
    <r>
      <rPr>
        <b/>
        <i/>
        <sz val="10"/>
        <color rgb="FFFF0000"/>
        <rFont val="Arial"/>
        <family val="2"/>
        <charset val="238"/>
      </rPr>
      <t>Akce odsunuta na neurčito.</t>
    </r>
  </si>
  <si>
    <r>
      <t xml:space="preserve">Jiné zdroje = vlastní zdroje nemocnice. Po dokoncčení stavebních prací v interním pavilonu proběhne instalace.
</t>
    </r>
    <r>
      <rPr>
        <b/>
        <i/>
        <sz val="10"/>
        <color rgb="FFFF0000"/>
        <rFont val="Arial"/>
        <family val="2"/>
        <charset val="238"/>
      </rPr>
      <t>Akce odsunuta na neurčito.</t>
    </r>
  </si>
  <si>
    <r>
      <t xml:space="preserve">Realizace v červnu
</t>
    </r>
    <r>
      <rPr>
        <b/>
        <i/>
        <sz val="10"/>
        <color rgb="FFFF0000"/>
        <rFont val="Arial"/>
        <family val="2"/>
        <charset val="238"/>
      </rPr>
      <t>Akce odsunuta na neurčito.</t>
    </r>
  </si>
  <si>
    <r>
      <t xml:space="preserve">Realizace v září
</t>
    </r>
    <r>
      <rPr>
        <b/>
        <i/>
        <sz val="10"/>
        <color rgb="FFFF0000"/>
        <rFont val="Arial"/>
        <family val="2"/>
        <charset val="238"/>
      </rPr>
      <t>Akce odsunuta na neurčito.</t>
    </r>
  </si>
  <si>
    <r>
      <t xml:space="preserve">Jiné zdroje = vlastní zdroje nemocnice. Realizace červen
</t>
    </r>
    <r>
      <rPr>
        <b/>
        <i/>
        <sz val="10"/>
        <color rgb="FFFF0000"/>
        <rFont val="Arial"/>
        <family val="2"/>
        <charset val="238"/>
      </rPr>
      <t>Akce odsunuta na neurčito.</t>
    </r>
  </si>
  <si>
    <r>
      <t xml:space="preserve">Začátek realizace červenec, postupná rekonstrukce 6 stávajících výtahů + 1 nový výtah v termínu květen - listopad
</t>
    </r>
    <r>
      <rPr>
        <b/>
        <i/>
        <sz val="10"/>
        <color rgb="FFFF0000"/>
        <rFont val="Arial"/>
        <family val="2"/>
        <charset val="238"/>
      </rPr>
      <t>Akce odsunuta na neurčito.</t>
    </r>
  </si>
  <si>
    <r>
      <t xml:space="preserve">Předání dokumentace listopad
</t>
    </r>
    <r>
      <rPr>
        <b/>
        <i/>
        <sz val="10"/>
        <color rgb="FFFF0000"/>
        <rFont val="Arial"/>
        <family val="2"/>
        <charset val="238"/>
      </rPr>
      <t>Akce odsunuta na neurčito.</t>
    </r>
  </si>
  <si>
    <r>
      <t xml:space="preserve">Aktuálně projekt pozastaven
není jasné, jeslti budou přiděleny finanční prostředky ze strany SČK a KDY,
Změna financování&gt;&gt;&gt; předpoklad čerpání posunut do roku 2020
</t>
    </r>
    <r>
      <rPr>
        <b/>
        <i/>
        <sz val="10"/>
        <color rgb="FFFF0000"/>
        <rFont val="Arial"/>
        <family val="2"/>
        <charset val="238"/>
      </rPr>
      <t>Akce odsunuta na neurčito.</t>
    </r>
  </si>
  <si>
    <r>
      <t xml:space="preserve">Aktuálně projekt pozastaven
není jasné, jestli budou přiděleny finanční prostředky ze strany SČK a KDY,
Změna financování&gt;&gt;&gt; předpoklad čerpání posunut do roku 2020
</t>
    </r>
    <r>
      <rPr>
        <b/>
        <i/>
        <sz val="10"/>
        <color rgb="FFFF0000"/>
        <rFont val="Arial"/>
        <family val="2"/>
        <charset val="238"/>
      </rPr>
      <t>Akce odsunuta na neurčito.</t>
    </r>
  </si>
  <si>
    <r>
      <t xml:space="preserve">Jiné zdroje = vlastní zdroje nemocnice. PD zpracována. 
</t>
    </r>
    <r>
      <rPr>
        <b/>
        <i/>
        <sz val="10"/>
        <color rgb="FFFF0000"/>
        <rFont val="Arial"/>
        <family val="2"/>
        <charset val="238"/>
      </rPr>
      <t>Akce odsunuta na neurčito.</t>
    </r>
  </si>
  <si>
    <r>
      <t xml:space="preserve">Jiné zdroje = vlastní zdroje nemocnice. Příprava VŘ na zpracovatele PD
</t>
    </r>
    <r>
      <rPr>
        <b/>
        <i/>
        <sz val="10"/>
        <color rgb="FFFF0000"/>
        <rFont val="Arial"/>
        <family val="2"/>
        <charset val="238"/>
      </rPr>
      <t>Akce odsunuta na neurčito.</t>
    </r>
  </si>
  <si>
    <r>
      <t xml:space="preserve">Jiné zdroje = vlastní zdroje nemocnice. 
Smlouva s vybraným zhotovitelem podepsána.
</t>
    </r>
    <r>
      <rPr>
        <b/>
        <i/>
        <sz val="10"/>
        <color rgb="FFFF0000"/>
        <rFont val="Arial"/>
        <family val="2"/>
        <charset val="238"/>
      </rPr>
      <t xml:space="preserve">Akce odsunuta na neurčito. </t>
    </r>
  </si>
  <si>
    <r>
      <t xml:space="preserve">Fyzická realizace ukončena 3/2019.
</t>
    </r>
    <r>
      <rPr>
        <b/>
        <i/>
        <sz val="10"/>
        <color rgb="FFFF0000"/>
        <rFont val="Arial"/>
        <family val="2"/>
        <charset val="238"/>
      </rPr>
      <t>Akce odsunuta na neurčito.</t>
    </r>
  </si>
  <si>
    <r>
      <t xml:space="preserve">Jiné zdroje = vlastní zdroje nemocnice. 
Předpoklad zahájení realizace akce 3. Q 2019
</t>
    </r>
    <r>
      <rPr>
        <b/>
        <i/>
        <sz val="10"/>
        <color rgb="FFFF0000"/>
        <rFont val="Arial"/>
        <family val="2"/>
        <charset val="238"/>
      </rPr>
      <t>Akce odsunuta na neurčito.</t>
    </r>
  </si>
  <si>
    <r>
      <t xml:space="preserve">Jiné zdroje = vlastní zdroje nemocnice. Předpoklad zahájení realizace akce 3. Q 2019
</t>
    </r>
    <r>
      <rPr>
        <b/>
        <i/>
        <sz val="10"/>
        <color rgb="FFFF0000"/>
        <rFont val="Arial"/>
        <family val="2"/>
        <charset val="238"/>
      </rPr>
      <t>Akce odsunuta na neurčito.</t>
    </r>
  </si>
  <si>
    <r>
      <t xml:space="preserve">Jiné zdroje = vlastní zdroje nemocnice. 
Zahájení VZ předáno ke schválení představenstvem k 30.4.2019.
</t>
    </r>
    <r>
      <rPr>
        <b/>
        <i/>
        <sz val="10"/>
        <color rgb="FFFF0000"/>
        <rFont val="Arial"/>
        <family val="2"/>
        <charset val="238"/>
      </rPr>
      <t>Akce odsunuta na neurčito.</t>
    </r>
  </si>
  <si>
    <r>
      <t xml:space="preserve">Jiné zdroje = vlastní zdroje nemocnice. VZ zadává ON Kladno v rámci společného zadávání VZ. 
</t>
    </r>
    <r>
      <rPr>
        <b/>
        <i/>
        <sz val="10"/>
        <color rgb="FFFF0000"/>
        <rFont val="Arial"/>
        <family val="2"/>
        <charset val="238"/>
      </rPr>
      <t>Akce odsunuta na neurčito.</t>
    </r>
  </si>
  <si>
    <r>
      <t xml:space="preserve">Fyzická realizace ukončena 2/2019.
</t>
    </r>
    <r>
      <rPr>
        <b/>
        <i/>
        <sz val="10"/>
        <color rgb="FFFF0000"/>
        <rFont val="Arial"/>
        <family val="2"/>
        <charset val="238"/>
      </rPr>
      <t>Akce odsunuta na neurčito.</t>
    </r>
  </si>
  <si>
    <r>
      <t xml:space="preserve">Předpoklad ukončení realizace akce do konce 2019
</t>
    </r>
    <r>
      <rPr>
        <b/>
        <i/>
        <sz val="10"/>
        <color rgb="FFFF0000"/>
        <rFont val="Arial"/>
        <family val="2"/>
        <charset val="238"/>
      </rPr>
      <t>Akce odsunuta na neurčito.</t>
    </r>
  </si>
  <si>
    <r>
      <t xml:space="preserve">Provozovna nemocnice Kutná Hora. Fyzická realizace ukončena 4/2019.
</t>
    </r>
    <r>
      <rPr>
        <b/>
        <i/>
        <sz val="10"/>
        <color rgb="FFFF0000"/>
        <rFont val="Arial"/>
        <family val="2"/>
        <charset val="238"/>
      </rPr>
      <t>Akce odsunuta na neurčito.</t>
    </r>
  </si>
  <si>
    <r>
      <t xml:space="preserve">provozovna nemocnice Kutná Hora.  Jiné zdroje = SFŽP.   PD v realizaci.  Přípravu PD a přípravu žádosti o poskytnutí dotace z SFŽP řeší společnost C.E.I.S. metodou EPC (zasmluvněno Středočeským krajem).
</t>
    </r>
    <r>
      <rPr>
        <b/>
        <i/>
        <sz val="10"/>
        <color rgb="FFFF0000"/>
        <rFont val="Arial"/>
        <family val="2"/>
        <charset val="238"/>
      </rPr>
      <t>Akce odsunuta na neurčito.</t>
    </r>
  </si>
  <si>
    <r>
      <t xml:space="preserve">provozovna nemocnice Kutná Hora.  Jiné zdroje = SFŽP. Přípravu PD a přípravu žádosti o poskytnutí dotace z SFŽP řeší společnost C.E.I.S. metodou EPC (zasmluvněno Středočeským krajem).
</t>
    </r>
    <r>
      <rPr>
        <b/>
        <i/>
        <sz val="10"/>
        <color rgb="FFFF0000"/>
        <rFont val="Arial"/>
        <family val="2"/>
        <charset val="238"/>
      </rPr>
      <t>Akce odsunuta na neurčito.</t>
    </r>
  </si>
  <si>
    <r>
      <t xml:space="preserve">provozovna nemocnice Kutná Hora.   </t>
    </r>
    <r>
      <rPr>
        <b/>
        <u/>
        <sz val="10"/>
        <rFont val="Arial"/>
        <family val="2"/>
        <charset val="238"/>
      </rPr>
      <t xml:space="preserve">Minimální částka "bez restrukturalizace"
</t>
    </r>
    <r>
      <rPr>
        <b/>
        <i/>
        <sz val="10"/>
        <color rgb="FFFF0000"/>
        <rFont val="Arial"/>
        <family val="2"/>
        <charset val="238"/>
      </rPr>
      <t>Akce odsunuta na neurčito.</t>
    </r>
  </si>
  <si>
    <r>
      <t xml:space="preserve">provozovna nemocnice Kutná Hora. </t>
    </r>
    <r>
      <rPr>
        <b/>
        <u/>
        <sz val="10"/>
        <rFont val="Arial"/>
        <family val="2"/>
        <charset val="238"/>
      </rPr>
      <t xml:space="preserve">Maximální částka "s restrukturalizací"
</t>
    </r>
    <r>
      <rPr>
        <b/>
        <i/>
        <sz val="10"/>
        <color rgb="FFFF0000"/>
        <rFont val="Arial"/>
        <family val="2"/>
        <charset val="238"/>
      </rPr>
      <t>Akce odsunuta na neurčito.</t>
    </r>
  </si>
  <si>
    <r>
      <t xml:space="preserve">provozovna nemocnice Kutná Hora. </t>
    </r>
    <r>
      <rPr>
        <b/>
        <u/>
        <sz val="10"/>
        <rFont val="Arial"/>
        <family val="2"/>
        <charset val="238"/>
      </rPr>
      <t>Minimální částka "bez restrukturalizace"</t>
    </r>
    <r>
      <rPr>
        <sz val="10"/>
        <rFont val="Arial"/>
        <family val="2"/>
        <charset val="238"/>
      </rPr>
      <t xml:space="preserve">  
</t>
    </r>
    <r>
      <rPr>
        <b/>
        <i/>
        <sz val="10"/>
        <color rgb="FFFF0000"/>
        <rFont val="Arial"/>
        <family val="2"/>
        <charset val="238"/>
      </rPr>
      <t>Akce odsunuta na neurčito.</t>
    </r>
  </si>
  <si>
    <r>
      <t xml:space="preserve">provozovna nemocnice Kutná Hora. </t>
    </r>
    <r>
      <rPr>
        <b/>
        <u/>
        <sz val="10"/>
        <rFont val="Arial"/>
        <family val="2"/>
        <charset val="238"/>
      </rPr>
      <t>Maximální částka "s restrukturalizací"</t>
    </r>
    <r>
      <rPr>
        <sz val="10"/>
        <rFont val="Arial"/>
        <family val="2"/>
        <charset val="238"/>
      </rPr>
      <t xml:space="preserve"> 
</t>
    </r>
    <r>
      <rPr>
        <b/>
        <i/>
        <sz val="10"/>
        <color rgb="FFFF0000"/>
        <rFont val="Arial"/>
        <family val="2"/>
        <charset val="238"/>
      </rPr>
      <t>Akce odsunuta na neurčito.</t>
    </r>
  </si>
  <si>
    <r>
      <t xml:space="preserve">provozovna nemocnice Kutná Hora. </t>
    </r>
    <r>
      <rPr>
        <b/>
        <u/>
        <sz val="10"/>
        <rFont val="Arial"/>
        <family val="2"/>
        <charset val="238"/>
      </rPr>
      <t>Minimální částka "bez restrukturalizace"</t>
    </r>
    <r>
      <rPr>
        <sz val="10"/>
        <rFont val="Arial"/>
        <family val="2"/>
        <charset val="238"/>
      </rPr>
      <t xml:space="preserve">
</t>
    </r>
    <r>
      <rPr>
        <b/>
        <i/>
        <sz val="10"/>
        <color rgb="FFFF0000"/>
        <rFont val="Arial"/>
        <family val="2"/>
        <charset val="238"/>
      </rPr>
      <t>Akce odsunuta na neurčito.</t>
    </r>
  </si>
  <si>
    <r>
      <t xml:space="preserve">provozovna nemocnice Kutná Hora. </t>
    </r>
    <r>
      <rPr>
        <b/>
        <u/>
        <sz val="10"/>
        <rFont val="Arial"/>
        <family val="2"/>
        <charset val="238"/>
      </rPr>
      <t>Maximální částka "s restrukturalizací"</t>
    </r>
    <r>
      <rPr>
        <sz val="10"/>
        <rFont val="Arial"/>
        <family val="2"/>
        <charset val="238"/>
      </rPr>
      <t xml:space="preserve">
</t>
    </r>
    <r>
      <rPr>
        <b/>
        <i/>
        <sz val="10"/>
        <color rgb="FFFF0000"/>
        <rFont val="Arial"/>
        <family val="2"/>
        <charset val="238"/>
      </rPr>
      <t>Akce odsunuta na neurčito.</t>
    </r>
  </si>
  <si>
    <r>
      <t xml:space="preserve">provozovna nemocnice Kutná Hora. </t>
    </r>
    <r>
      <rPr>
        <b/>
        <u/>
        <sz val="10"/>
        <rFont val="Arial"/>
        <family val="2"/>
        <charset val="238"/>
      </rPr>
      <t>Minimální částka "bez restrukturalizace"</t>
    </r>
    <r>
      <rPr>
        <sz val="10"/>
        <rFont val="Arial"/>
        <family val="2"/>
        <charset val="238"/>
      </rPr>
      <t xml:space="preserve">  Změna financování
</t>
    </r>
    <r>
      <rPr>
        <b/>
        <i/>
        <sz val="10"/>
        <color rgb="FFFF0000"/>
        <rFont val="Arial"/>
        <family val="2"/>
        <charset val="238"/>
      </rPr>
      <t>Akce odsunuta na neurčito.</t>
    </r>
  </si>
  <si>
    <r>
      <t xml:space="preserve">Jiné zdroje = vlastní zdroje nemocnice.   </t>
    </r>
    <r>
      <rPr>
        <b/>
        <sz val="10"/>
        <rFont val="Arial"/>
        <family val="2"/>
        <charset val="238"/>
      </rPr>
      <t xml:space="preserve">
VZ na zhotovitele stavebních prací byla zrušena z důvodu změny financování. </t>
    </r>
    <r>
      <rPr>
        <sz val="10"/>
        <rFont val="Arial"/>
        <family val="2"/>
        <charset val="238"/>
      </rPr>
      <t xml:space="preserve"> V současné době probíhají jednání o způsobu financování.
</t>
    </r>
    <r>
      <rPr>
        <b/>
        <i/>
        <sz val="10"/>
        <color rgb="FFFF0000"/>
        <rFont val="Arial"/>
        <family val="2"/>
        <charset val="238"/>
      </rPr>
      <t>Akce odsunuta na neurčito.</t>
    </r>
  </si>
  <si>
    <r>
      <t xml:space="preserve">Jiné zdroje = vlastní zdroje nemocnice.  Předložena DÚŘ. Změna financování - pozastavení realizace akce.
</t>
    </r>
    <r>
      <rPr>
        <b/>
        <i/>
        <sz val="10"/>
        <color rgb="FFFF0000"/>
        <rFont val="Arial"/>
        <family val="2"/>
        <charset val="238"/>
      </rPr>
      <t>Akce odsunuta na neurčito.</t>
    </r>
  </si>
  <si>
    <r>
      <t xml:space="preserve">Jiné zdroje = vlastní zdroje nemocnice.  Změna financování - pozastavení realizace akce.
</t>
    </r>
    <r>
      <rPr>
        <b/>
        <i/>
        <sz val="10"/>
        <color rgb="FFFF0000"/>
        <rFont val="Arial"/>
        <family val="2"/>
        <charset val="238"/>
      </rPr>
      <t>Akce odsunuta na neurčito.</t>
    </r>
  </si>
  <si>
    <r>
      <t xml:space="preserve">V současné době je připravena technická specifikace pro vypsání veřejné zakázky. Předpokládaný termín dokončení akce 30.11.2019
Změna financování
</t>
    </r>
    <r>
      <rPr>
        <b/>
        <i/>
        <sz val="10"/>
        <color rgb="FFFF0000"/>
        <rFont val="Arial"/>
        <family val="2"/>
        <charset val="238"/>
      </rPr>
      <t>Akce odsunuta na neurčito.</t>
    </r>
  </si>
  <si>
    <r>
      <t xml:space="preserve">V současné době probíhá příprava VZ na dokumentaci pro provedení stavby. 
Změna financování - pozastavení realizace akce.
</t>
    </r>
    <r>
      <rPr>
        <b/>
        <i/>
        <sz val="10"/>
        <color rgb="FFFF0000"/>
        <rFont val="Arial"/>
        <family val="2"/>
        <charset val="238"/>
      </rPr>
      <t>Akce odsunuta na neurčito.</t>
    </r>
  </si>
  <si>
    <r>
      <t xml:space="preserve">V současné době je zpracována studie a projektová dokumentace, předpokládaný termín zahájení realizace je 06/2019. Probíhá VZ na přípravné stavební práce.
Změna financování
</t>
    </r>
    <r>
      <rPr>
        <b/>
        <i/>
        <sz val="10"/>
        <color rgb="FFFF0000"/>
        <rFont val="Arial"/>
        <family val="2"/>
        <charset val="238"/>
      </rPr>
      <t>Akce odsunuta na neurčito.</t>
    </r>
  </si>
  <si>
    <r>
      <t xml:space="preserve">Jiné zdroje = vlastní zdroje nemocnice. Probíhá realizace první etapy investiční akce.
Změna financování
</t>
    </r>
    <r>
      <rPr>
        <b/>
        <i/>
        <sz val="10"/>
        <color rgb="FFFF0000"/>
        <rFont val="Arial"/>
        <family val="2"/>
        <charset val="238"/>
      </rPr>
      <t>Akce odsunuta na neurčito.</t>
    </r>
  </si>
  <si>
    <r>
      <t xml:space="preserve">Je zpracována studie.
</t>
    </r>
    <r>
      <rPr>
        <b/>
        <i/>
        <sz val="10"/>
        <color rgb="FFFF0000"/>
        <rFont val="Arial"/>
        <family val="2"/>
        <charset val="238"/>
      </rPr>
      <t>Akce odsunuta na neurčito.</t>
    </r>
  </si>
  <si>
    <r>
      <t xml:space="preserve">Jiné zdroje = vlastní zdroje nemocnice. Je zpracována studie.
Změna financování - investiční akce pozastavena
</t>
    </r>
    <r>
      <rPr>
        <b/>
        <i/>
        <sz val="10"/>
        <color rgb="FFFF0000"/>
        <rFont val="Arial"/>
        <family val="2"/>
        <charset val="238"/>
      </rPr>
      <t>Akce odsunuta na neurčito.</t>
    </r>
  </si>
  <si>
    <r>
      <t xml:space="preserve">Jiné zdroje = Dotace v rámci OPŽP.
</t>
    </r>
    <r>
      <rPr>
        <b/>
        <i/>
        <sz val="10"/>
        <color rgb="FFFF0000"/>
        <rFont val="Arial"/>
        <family val="2"/>
        <charset val="238"/>
      </rPr>
      <t>Akce odsunuta na neurčit.</t>
    </r>
    <r>
      <rPr>
        <sz val="10"/>
        <rFont val="Arial"/>
        <family val="2"/>
        <charset val="238"/>
      </rPr>
      <t xml:space="preserve">
</t>
    </r>
  </si>
  <si>
    <r>
      <t xml:space="preserve">Jiné zdroje = Dotace v rámci OPŽP. 
</t>
    </r>
    <r>
      <rPr>
        <b/>
        <i/>
        <sz val="10"/>
        <color rgb="FFFF0000"/>
        <rFont val="Arial"/>
        <family val="2"/>
        <charset val="238"/>
      </rPr>
      <t>Akce odsunuta na neurčito.</t>
    </r>
  </si>
  <si>
    <r>
      <t xml:space="preserve">Probíhá finalizace podoby plánované realizace, která předchází zpracování konkrétní studie následné výstavby. Čeká se na schválení výše celkových nákladů na realizaci výstavby, bez kterých nemůže být zahájena realizace VZMR na projektovou dokumentaci. Odhadovaná na cca 3 měsíce od výše uvedeného schválení.     
</t>
    </r>
    <r>
      <rPr>
        <b/>
        <i/>
        <sz val="10"/>
        <color rgb="FFFF0000"/>
        <rFont val="Arial"/>
        <family val="2"/>
        <charset val="238"/>
      </rPr>
      <t xml:space="preserve">Akce odsunuta na neurčito.                                                              </t>
    </r>
  </si>
  <si>
    <r>
      <t xml:space="preserve">Z důvodu úpravy prostorové specifikace, která předchází zpracování konkrétní studie následné výstavby budou technické podklady zpracovány cca do dvou měsíců tedy 
do 7/2019, dále VZMR, jejíž realizace je odhadována 
na cca 2 měsíce.
V současné době se zpracovává cenová nabídka 
na projektové práce - studie stavby.
</t>
    </r>
    <r>
      <rPr>
        <b/>
        <i/>
        <sz val="10"/>
        <color rgb="FFFF0000"/>
        <rFont val="Arial"/>
        <family val="2"/>
        <charset val="238"/>
      </rPr>
      <t>Akce odsunuta na neurčito.</t>
    </r>
  </si>
  <si>
    <t xml:space="preserve">Smlouva na dodavatele u podpisu.  Jiné zdroje - 1 mil. vlastní zdroje PO, 2,6 mil. investiční prostředky z rozpočtu kraje (kap. 05), 1,8 mil. Kč výdaje na havárie SK-kap.23., celá akce hrazena z jiných zdrojů </t>
  </si>
  <si>
    <t>rezerva vytvořena na kapitole 23 - ostatní</t>
  </si>
  <si>
    <t>limit čerpání kap. prostředků pro r. 2019 - 19 696 tis. Kč</t>
  </si>
  <si>
    <t>limit čerpání kap. prostředků pro r. 2019 - 87 831 tis. Kč</t>
  </si>
  <si>
    <t>limit čerpání kap. prostředků pro r. 2019 - 9 400 tis. Kč</t>
  </si>
  <si>
    <t>limit čerpání kap. prostředků pro r. 2019 - 1 000 tis. Kč</t>
  </si>
  <si>
    <t>limit čerpání kap. prostředků pro r. 2019 - 8 265 tis. Kč</t>
  </si>
  <si>
    <t>limit čerpání kap. prostředků pro r. 2019 - 61 091 tis. Kč</t>
  </si>
  <si>
    <t>limit čerpání kap. prostředků pro r. 2019 - 138 059 tis. Kč</t>
  </si>
  <si>
    <t>limit čerpání kap. prostředků pro r. 2019 - 411 752 tis. Kč</t>
  </si>
  <si>
    <t>limit čerpání kap. prostředků pro r. 2019 - 52 685 tis. Kč</t>
  </si>
  <si>
    <t>limit čerpání kap. prostředků pro r. 2019 - 16 567 tis. Kč</t>
  </si>
  <si>
    <t>limit čerpání kap. prostředků pro r. 2019 - 10 144 tis. Kč</t>
  </si>
  <si>
    <t>limit čerpání kap. prostředků pro r. 2019 - 1 079 038 tis. Kč (bez odloženého financování)</t>
  </si>
  <si>
    <t>limit čerpání kap. prostředků pro r. 2019 - 262 548 tis. Kč (bez odloženého financování)</t>
  </si>
  <si>
    <t>044-36/2017/RK ze dne 12.10.2017  009-10/2017/ZK ze dne 24.10.2017</t>
  </si>
  <si>
    <t>040-23/2017/RK ze dne 15.6.2017   038-07/2017/ZK ze dne 27.6.2017</t>
  </si>
  <si>
    <t>018-04/2017/ZK ze dne 7. 3. 2017  040-23/2017/RK ze dne 15.6.2017 038-07/2017/ZK ze dne 27.6.2017</t>
  </si>
  <si>
    <t>054-14/2014/RK ze dne 14.4.2014            013-11/2014/ZK ze dne 28.4.2014</t>
  </si>
  <si>
    <t>071-29/2016/RK ze dne 29.8.2016  012-24/2016/ZK ze dne 19.9.2016</t>
  </si>
  <si>
    <t>026-13/2016/RK ze dne 4.4.2016  012-22 /2016/ZK ze dne 25.4.2016</t>
  </si>
  <si>
    <t>068-39/2015/RK ze dne 9.11.2015   006-20/2015/ZK ze dne 7.12.2015</t>
  </si>
  <si>
    <t>066-10/2012/RK ze dne 12.03.2012   062-21/2012/ZK ze dne 19.03.2012</t>
  </si>
  <si>
    <t>060-26/2017/RK ze dne 20.7.2017  044-36/2017/RK ze dne 12.10.2017  009-10/2017/ZK ze dne 24.10.2017</t>
  </si>
  <si>
    <t>007-09/2017/RK ze dne 9.3.2017  040-23/2017/RK ze dne 15.6.2017   038-07/2017/ZK ze dne 27.6.2017</t>
  </si>
  <si>
    <t>026-13/2016/RK ze dne 4.4.2016        012-22/2016/ZK ze dne 25.4.2016</t>
  </si>
  <si>
    <t>041-02/2018/RK ze dne 15.1.2018  015-12/2018/ZK ze dne 29.1.2018</t>
  </si>
  <si>
    <t>071-29/2016/RK ze dne 29.8.2016       012-24/2016/ZK ze dne 19.9.2016</t>
  </si>
  <si>
    <t>026-13/2016/RK ze dne 4.4.2016    012-22/2016/ZK ze dne 25.4.2016</t>
  </si>
  <si>
    <t>018-14/2017/RK ze dne 13.4.2017 028-06/2017/ZK ze dne 25.4.2017</t>
  </si>
  <si>
    <t>047-11/2017/RK ze dne 23.3.2017  040-23/2017/RK ze dne 15.6.2017</t>
  </si>
  <si>
    <t>075-07/2006/RK ze dne 30.03.2006                   013-11/2006/ZK ze dne 24.04.2006</t>
  </si>
  <si>
    <t>008-08/2013/RK ze dne 25.02.2013           004-03/2013/ZK ze dne 11.03.2013</t>
  </si>
  <si>
    <t>042-11/2011/RK ze dne 07.03.2011           047-15/2011/ZK ze dne 11.03.2011</t>
  </si>
  <si>
    <t>042-11/2011/RK ze dne 07.03.2011              047-15/2011/ZK ze dne 11.03.2011</t>
  </si>
  <si>
    <t>Nákup a rekonstrukce domu Kamýk</t>
  </si>
  <si>
    <t>Odborné učiliště, Praktická škola, Základní škola a Mateřská škola Příbram IV</t>
  </si>
  <si>
    <t>bylo čerpání v r. 2018, proto ukončeno, a ne zrušeno</t>
  </si>
  <si>
    <t>duplicita</t>
  </si>
  <si>
    <t>Čerpáno 1.1.-30.4. 2019</t>
  </si>
  <si>
    <t>jiné kapitoly rozpočtu SK</t>
  </si>
  <si>
    <t>vlastní zdroje PO, a.s.</t>
  </si>
  <si>
    <t>číselné hodnoty finančních prostředků jsou ukládány s přesností na haléře, pro přehlednost jsou zobrazovány zaokrouhleně na celé tis. Kč.</t>
  </si>
  <si>
    <t>Gymnázium J. S. Machara, Brandýs nad Labem - Stará Boleslav</t>
  </si>
  <si>
    <t>Školní statek Středočeského kraje, Mělník</t>
  </si>
  <si>
    <t>vlastní prostředky PO, a.s.</t>
  </si>
  <si>
    <t>prostředky rozpočtu SK kromě kap. 12</t>
  </si>
  <si>
    <t xml:space="preserve">016-06/2017/RK ze dne 16.2.2017   022-04/2017/ZK ze dne 7.3.2017     </t>
  </si>
  <si>
    <t xml:space="preserve">Jiné zdroje = vlastní zdroje nemocnice. 
</t>
  </si>
  <si>
    <t xml:space="preserve">Rozšíření IS GINIS na žádost FIN a vedení KÚ v souvislosti s elektronizací dokumentů Rady SčK. </t>
  </si>
  <si>
    <t xml:space="preserve">Důvodem rozšíření je zajištění konverze dokumentů Word na .pdf/A k elektronickému podepisování dokumentů v IS GINIS z důvodu kompatibility a přechodu na verzi IS GINIS 3.82. </t>
  </si>
  <si>
    <t xml:space="preserve">Jiné zdroje = vlastní zdroje nemocnice
Dodatek SoD prodloužení termínu do 30.9.2019.  
</t>
  </si>
  <si>
    <t>jiné zdroje-investiční fond PO</t>
  </si>
  <si>
    <t>Poznámka - kopie z 15.5.2019</t>
  </si>
  <si>
    <t>2/2019/SKOL</t>
  </si>
  <si>
    <t>5/2019/SKOL</t>
  </si>
  <si>
    <t>10/2019/SKOL</t>
  </si>
  <si>
    <t>13/2019/SKOL</t>
  </si>
  <si>
    <t>16/2019/SKOL</t>
  </si>
  <si>
    <t>19/2019/SKOL</t>
  </si>
  <si>
    <t>21/2019/SKOL</t>
  </si>
  <si>
    <t>22/2019/SKOL</t>
  </si>
  <si>
    <t>25/2019/SKOL</t>
  </si>
  <si>
    <t>27/2019/SKOL</t>
  </si>
  <si>
    <t>37/2019/SKOL</t>
  </si>
  <si>
    <t>43/2019/SKOL</t>
  </si>
  <si>
    <t>49/2019/SKOL</t>
  </si>
  <si>
    <t>50/2019/SKOL</t>
  </si>
  <si>
    <t>51/2019/SKOL</t>
  </si>
  <si>
    <t>52/2019/SKOL</t>
  </si>
  <si>
    <t>54/2019/SKOL</t>
  </si>
  <si>
    <t>58/2019/SKOL</t>
  </si>
  <si>
    <t>60/2019/SKOL</t>
  </si>
  <si>
    <t>61/2019/SKOL</t>
  </si>
  <si>
    <t>62/2019/SKOL</t>
  </si>
  <si>
    <t>64/2019/SKOL</t>
  </si>
  <si>
    <t>70/2019/SKOL</t>
  </si>
  <si>
    <t>74/2019/SKOL</t>
  </si>
  <si>
    <t>75/2019/SKOL</t>
  </si>
  <si>
    <t>81/2019/SKOL</t>
  </si>
  <si>
    <t>82/2019/SKOL</t>
  </si>
  <si>
    <t>83/2019/SKOL</t>
  </si>
  <si>
    <t>85/2019/SKOL</t>
  </si>
  <si>
    <t>86/2019/SKOL</t>
  </si>
  <si>
    <t>87/2019/SKOL</t>
  </si>
  <si>
    <t>89/2019/SKOL</t>
  </si>
  <si>
    <t>92/2019/SKOL</t>
  </si>
  <si>
    <t>94/2019/SKOL</t>
  </si>
  <si>
    <t>96/2019/SKOL</t>
  </si>
  <si>
    <t>97/2019/SKOL</t>
  </si>
  <si>
    <t>99/2019/SKOL</t>
  </si>
  <si>
    <t>100/2019/SKOL</t>
  </si>
  <si>
    <t>101/2019/SKOL</t>
  </si>
  <si>
    <t>102/2019/SKOL</t>
  </si>
  <si>
    <t>103/2019/SKOL</t>
  </si>
  <si>
    <t>104/2019/SKOL</t>
  </si>
  <si>
    <t>106/2019/SKOL</t>
  </si>
  <si>
    <t>107/2019/SKOL</t>
  </si>
  <si>
    <t>110/2019/SKOL</t>
  </si>
  <si>
    <t>113/2019/SKOL</t>
  </si>
  <si>
    <t>114/2019/SKOL</t>
  </si>
  <si>
    <t>115/2019/SKOL</t>
  </si>
  <si>
    <t>116/2019/SKOL</t>
  </si>
  <si>
    <t>117/2019/SKOL</t>
  </si>
  <si>
    <t>118/2019/SKOL</t>
  </si>
  <si>
    <t>119/2019/SKOL</t>
  </si>
  <si>
    <t>120/2019/SKOL</t>
  </si>
  <si>
    <t>122/2019/SKOL</t>
  </si>
  <si>
    <t>0005611</t>
  </si>
  <si>
    <t>hotovo, bude se platit</t>
  </si>
  <si>
    <t>možná bude ukončeno (snížení CN)-čeká se</t>
  </si>
  <si>
    <t>hotovo-platba běží</t>
  </si>
  <si>
    <t>běží</t>
  </si>
  <si>
    <t>soutěží sama PO-bude</t>
  </si>
  <si>
    <t>NUTNÉ</t>
  </si>
  <si>
    <t>JEDNÁNÍ O POZEMCÍCH</t>
  </si>
  <si>
    <t>studie proveditel. - NUTNÉ</t>
  </si>
  <si>
    <t>vyplynulo z pasportizace</t>
  </si>
  <si>
    <t>NUTNÉ - problém, státní správa, přepad do náhonu</t>
  </si>
  <si>
    <t>Polabské muzeum, Přerov n.L.</t>
  </si>
  <si>
    <t>NUTNÉ, vysoutěženo</t>
  </si>
  <si>
    <t>NUTNÉ - havarijní stav</t>
  </si>
  <si>
    <t>akce skoro končí</t>
  </si>
  <si>
    <t>hotovo</t>
  </si>
  <si>
    <t>vytipováno pro převod od ZP-EPC</t>
  </si>
  <si>
    <t>12 poschoďový dům</t>
  </si>
  <si>
    <t>stavebně hotovo 3-4/2019</t>
  </si>
  <si>
    <t>čekalo se na duben - teplo, doplatek - skoro ukončeno 4/19</t>
  </si>
  <si>
    <t>těsně před dodáním (3/2019)-přivezou v červnu (4/19)</t>
  </si>
  <si>
    <t>navýšení CN-vícepráce</t>
  </si>
  <si>
    <t>1/2 hotovo-4/19</t>
  </si>
  <si>
    <t>PŘEVOZ Slaný-Žižice (jídlo?)</t>
  </si>
  <si>
    <t>zájem hejt.</t>
  </si>
  <si>
    <t>pokračování - běží</t>
  </si>
  <si>
    <t>náhrada kus za kus, zlepšení péče</t>
  </si>
  <si>
    <t>náhrada kus za kus. Realizace části akce převedené do 3/2019. Akce pro rok 2019 zastavena-pro rok 2019 zbývá už jen realizacefinančního plnění ze strany kraje ve výši 778 tis. Kč. Dočerpání v r. 2020 1,375 mil. Kč</t>
  </si>
  <si>
    <t>modernizace stávající IT infrastruktury, elektronizace vnitřních procesů - pro rok 2019 zbývá už jen realizace finančního plnění ze strany kraje ve výši 6,944 mil. Kč</t>
  </si>
  <si>
    <t>bylo čerpání v r. 2018, proto ukončeno, a ne zrušeno   Z rozpočtu kraje již bylo čerpáno ve výši 379 tis. Kč. Zbývající plnění bude plně hrazeno z rozpočtu ONK</t>
  </si>
  <si>
    <t>bylo čerpání v r. 2018, proto ukončeno, a ne zrušeno. Obnova a modernizace ONK vzhledem k současnému stavu prostor. Zastavena PD pro pavilony G a D, bude pokračovat PD pro kuchyň a ČOV. Zbývající objem prostředků ve výši 3,982 mil. Kč bude nemocnice hradit z vlastních zdrojů.</t>
  </si>
  <si>
    <t>0005662</t>
  </si>
  <si>
    <t>převod na odbor školství - investiční dotace, původ. CN 500 tis. Kč</t>
  </si>
  <si>
    <t xml:space="preserve">Rozšíření hostované spisové služby pro krajské školy, v návaznosti na nařízení EU. Požadavek KÚ v rámci realizace projektů eGovernmentu. </t>
  </si>
  <si>
    <t>akce vyřazená z Plánu investic.  Jiné zdroje = neinvestiční prostředky z rozpočtu kraje a prostředky z IF PO</t>
  </si>
  <si>
    <t>snížení celkových nákladů akce</t>
  </si>
  <si>
    <t>změna financování, do roku 2019</t>
  </si>
  <si>
    <t>snížení celkových nákladů akce  (655,82 tis. Kč)</t>
  </si>
  <si>
    <t>0005336</t>
  </si>
  <si>
    <t>127/2019/SKOL</t>
  </si>
  <si>
    <t>Gymnázium Dr. Josefa Pekaře, Mladá Boleslav, Palackého 211</t>
  </si>
  <si>
    <t>Dokončení sanace suterénu</t>
  </si>
  <si>
    <t>128/2019/SKOL</t>
  </si>
  <si>
    <t>Střední průmyslová škola, Mladá Boleslav, Havlíčkova 456</t>
  </si>
  <si>
    <t>Socha arch. Krohy</t>
  </si>
  <si>
    <t>131/2019/SKOL</t>
  </si>
  <si>
    <t>Osobní automobil</t>
  </si>
  <si>
    <t>Nákup automobilu</t>
  </si>
  <si>
    <t>025-19/2019/RK ze dne 3.6.2019  095-19/2019/ZK ze dne 24.6.2019</t>
  </si>
  <si>
    <t>REALIZOVÁNO, UKONČENA FAKTURACE. Podepsán dodatek 
ke smlouvě s SČK (časový horizont=finanční plnění dle smlouvy 
o dotaci k 7/2019)</t>
  </si>
  <si>
    <t>Jiné zdroje= vlastní zdroje nemocnice
Vybrán zhotovitel, podepsána smlouva, předání staveniště 10.7.2019_zahájena realizace.</t>
  </si>
  <si>
    <t>Část 1
Podepsán dodatek ke smlouvě (časový horizont=finanční plnění dle smlouvy o dotaci k 7/2019)
Část 2
Jiné zdroje = prostředky nemocnice, příprava ZD, bude relizována v případě potřeby (havarijní stav)</t>
  </si>
  <si>
    <t>REALIZOVÁNO, UKONČENA FAKTURACE, Podepsán dodatek ke smlouvě (časový horizont=finanční plnění dle smlouvy o dotaci k 7/2019)</t>
  </si>
  <si>
    <t>Jiné zdroje = vlastní prostředky nemocnice. Fyzická realizace ukončena v březnu 2019. Po podpisu smlouvy o poskytnutí investiční dotace bude předložena žádost o proplacení a zhodnocení akce.</t>
  </si>
  <si>
    <t>Smlouva o poskytnutí dotace SK na částku 8 mil. Kč v r. 2019 bude uzavřena na základě usnesení ZK č.069-19/2019/ZK z 24.6.2019.
Předpokládané vyhotovení ZD 9/2019, fyzická realizace stavby 
11-12/2019, ukončení akce 12/2019.</t>
  </si>
  <si>
    <t>Jiné zdroje = vlastní prostředky nemocnice. Stavební část realizace akce proběhne v termínu 12.7. až 2.8., na dodávku operačního světla proběhla VZ, termín dodání 1.8., na dodávku operačního stolu je připravena VZ společně s ON Kolín.</t>
  </si>
  <si>
    <r>
      <t xml:space="preserve">Čeká se na vysoutěžení dodavatele, vazba na SČK.   Radou zamítnut administrátor VZ, tím vynucený přesun investice do 2019.
Jiné zdroje = vlastní zdroje PO
</t>
    </r>
    <r>
      <rPr>
        <b/>
        <strike/>
        <sz val="10"/>
        <rFont val="Arial"/>
        <family val="2"/>
        <charset val="238"/>
      </rPr>
      <t>Nejsou požadavky na kapitolu 12.</t>
    </r>
  </si>
  <si>
    <r>
      <t xml:space="preserve">Není možné realizovat před dokončením stavby, bude realizováno po předání, zhotovitel zajištěn.  
Jiné zdroje = vlastní zdroje PO. 
</t>
    </r>
    <r>
      <rPr>
        <b/>
        <strike/>
        <sz val="10"/>
        <rFont val="Arial"/>
        <family val="2"/>
        <charset val="238"/>
      </rPr>
      <t>Nejsou požadavky na kapitolu 12.</t>
    </r>
  </si>
  <si>
    <r>
      <t xml:space="preserve">Jiné zdroje = prostředky ZZS SČK
Byl proveden přepočet na 10+5 sanitních vozidel bez použití finančních prostředků kraje. VZ je ve stadiu přípravy Zadávací dokumentace Odborem Krajského investora s tím, že by mělo jít vyhlášení této VZ do nejbližší Rady kraje. Plnění by mělo být do 30.5.2020.
</t>
    </r>
    <r>
      <rPr>
        <b/>
        <strike/>
        <sz val="10"/>
        <rFont val="Arial"/>
        <family val="2"/>
        <charset val="238"/>
      </rPr>
      <t>Nejsou požadavky na kapitolu 12.</t>
    </r>
  </si>
  <si>
    <t>Ukončena</t>
  </si>
  <si>
    <t>Zhotovena PD</t>
  </si>
  <si>
    <t>Automobily dodány</t>
  </si>
  <si>
    <t>navýšení ceny uhrazeno z  jiných zdrojů - kap.17, Akce ukončena</t>
  </si>
  <si>
    <t>Změna financování, snížení CN o 500 tis. Kč</t>
  </si>
  <si>
    <t>Snížení celkových nákladů o 249,665 tis. Kč</t>
  </si>
  <si>
    <t>snížení  celkových nákladů</t>
  </si>
  <si>
    <t>snížení celk. nákladů o 35 tis. Kč</t>
  </si>
  <si>
    <t xml:space="preserve">hotová PD, zbytek financován z jiných zdrojů=kap. 05  (příjmy z pronájmů)- tím ukončeny nároky na financování z Kap.12.  Změna způsobu financování, snížení CN. </t>
  </si>
  <si>
    <t>263 tis. zaplacena PD, zbytek nemohl čekat do r. 2020, zaplatilo se z peněz Kap.05 (příjmy z pronájmu)</t>
  </si>
  <si>
    <t xml:space="preserve"> snížení CN, část prostředků z jiných zdrojů - kap. 05 školství</t>
  </si>
  <si>
    <t>předáno z odboru kultury, jiné zdroje-investiční dotace města MB</t>
  </si>
  <si>
    <t>Čerpáno 1.1.-30.6. 2019</t>
  </si>
  <si>
    <t>akce sloučená s akcí poř. č. 40/2019/KUL</t>
  </si>
  <si>
    <t>akce zrušená</t>
  </si>
  <si>
    <t>akce ukončená, snížení nákladů</t>
  </si>
  <si>
    <t>52/2019/KUL</t>
  </si>
  <si>
    <t>Prototyp parkovacího modulu pro cyklisty</t>
  </si>
  <si>
    <t>53/2019/KUL</t>
  </si>
  <si>
    <t>Vybavení depozitních prostor Polabského muzea úložnými systémy</t>
  </si>
  <si>
    <t>54/2019/KUL</t>
  </si>
  <si>
    <t>Středočeská vědecká knihovna v Kladně</t>
  </si>
  <si>
    <t>Žaluzie na elektrické dálkové ovládání - zatemnění studovny a nákup tiskárny A3+</t>
  </si>
  <si>
    <t>55/2019/KUL</t>
  </si>
  <si>
    <t>Modely a raznice pamětních mincí</t>
  </si>
  <si>
    <t>56/2019/KUL</t>
  </si>
  <si>
    <t>Pořízení nové schodišťové plošiny pro vozíčkáře do budovy muzea v Huťské 1375, Kladno</t>
  </si>
  <si>
    <t>57/2019/KUL</t>
  </si>
  <si>
    <t>58/2019/KUL</t>
  </si>
  <si>
    <t>Rekonstrukce bytu Polabského muzea</t>
  </si>
  <si>
    <t>akce zrušená (pův. náklady 150 tis. Kč pro rok 2020)</t>
  </si>
  <si>
    <t>limit čerpání kap. prostředků pro r. 2019 - 60 791 tis. Kč</t>
  </si>
  <si>
    <t>limit čerpání kap. prostředků pro r. 2019 - 138 359 tis. Kč</t>
  </si>
  <si>
    <t>36 - převod na SKOL  500tis. socha (300+200)</t>
  </si>
  <si>
    <t>stavebně realizováno, dokončení mjt. vyrovnání</t>
  </si>
  <si>
    <t>11/2020</t>
  </si>
  <si>
    <t>pův. 16.980,-tis. Kč - Financování z prostředků EU - převedeno do Zásobníku projektů</t>
  </si>
  <si>
    <t>zrušeno-změna způsobu financování (spolufinancování cyklostezky formou dotace-13.000,-tis. Kč)</t>
  </si>
  <si>
    <t xml:space="preserve">Místa pro kontrolu nákladních vozidel </t>
  </si>
  <si>
    <t>III/24420 Nedomice, rekonstrukce</t>
  </si>
  <si>
    <t>III/23644 a III/10142 Slaný, Žižice</t>
  </si>
  <si>
    <t>Rekonstrukce vážních míst VRN vozidel - II/101 Neratovice, II/101 Říčany, II/125 Kolín-Sendražice a II/331 Ovčáry u Mělníka</t>
  </si>
  <si>
    <t xml:space="preserve">Přípravné a projekční práce zabezpečení investičních staveb </t>
  </si>
  <si>
    <t>Roždalovice MK ul. Spojovací budoucí III/27523</t>
  </si>
  <si>
    <t>Pyšely - III/0311 a III/0312, rekonstrukce silnic</t>
  </si>
  <si>
    <t>23933-4 Hobšovice</t>
  </si>
  <si>
    <t>III/3272 Hlízov</t>
  </si>
  <si>
    <t>III/33012 Písty</t>
  </si>
  <si>
    <t>III/1256 Vlašim - Veliš</t>
  </si>
  <si>
    <t>změna financování - přesun do roku 2019</t>
  </si>
  <si>
    <t>Navýšení nákladů - vícepráce</t>
  </si>
  <si>
    <t>60/2019KUL</t>
  </si>
  <si>
    <t>Vstup do areálu v Libčicích a oplocení</t>
  </si>
  <si>
    <t>61/2019KUL</t>
  </si>
  <si>
    <t>Nový kotel a bojler v areálu Libčice</t>
  </si>
  <si>
    <t>62/2019KUL</t>
  </si>
  <si>
    <t>Rekonstrukce střechy a souvisejících interiérových podhledů - Sedlec</t>
  </si>
  <si>
    <t>132/2019/SKOL</t>
  </si>
  <si>
    <t>134/2019/SKOL</t>
  </si>
  <si>
    <t>121/2019/SOC</t>
  </si>
  <si>
    <t>Rekonstrukce šaten pro zaměstnance</t>
  </si>
  <si>
    <t xml:space="preserve">Nově zařazená akce </t>
  </si>
  <si>
    <t>Poznámka - kopie z 19.7.2019</t>
  </si>
  <si>
    <t>akce sloučená s akcí poř. č. 40/2019/KUL, nevyčerpané finanční prostředky převedeny</t>
  </si>
  <si>
    <r>
      <t xml:space="preserve">Jiné zdroje = prostředky ZZS SČK
</t>
    </r>
    <r>
      <rPr>
        <b/>
        <strike/>
        <sz val="10"/>
        <color rgb="FF0000FB"/>
        <rFont val="Arial"/>
        <family val="2"/>
        <charset val="238"/>
      </rPr>
      <t xml:space="preserve">Materiál pro jednání orgánů kraje poslán dne 8.1.2019 na KÚ ke schválení použití Fondu investic.
</t>
    </r>
    <r>
      <rPr>
        <strike/>
        <sz val="10"/>
        <color rgb="FF0000FB"/>
        <rFont val="Arial"/>
        <family val="2"/>
        <charset val="238"/>
      </rPr>
      <t>Změna financování.                          2/2019</t>
    </r>
  </si>
  <si>
    <t>109/2019/DOP</t>
  </si>
  <si>
    <t>110/2019/DOP</t>
  </si>
  <si>
    <t>111/2019/DOP</t>
  </si>
  <si>
    <t>112/2019/DOP</t>
  </si>
  <si>
    <t>113/2019/DOP</t>
  </si>
  <si>
    <t>114/2019/DOP</t>
  </si>
  <si>
    <t>116/2019/DOP</t>
  </si>
  <si>
    <t>117/2019/DOP</t>
  </si>
  <si>
    <t>121/2019/DOP</t>
  </si>
  <si>
    <t>123/2019/DOP</t>
  </si>
  <si>
    <t>126/2019/DOP</t>
  </si>
  <si>
    <t>127/2019/DOP</t>
  </si>
  <si>
    <t>Čerpáno 1.1.-31.5. 2019</t>
  </si>
  <si>
    <t>0005734</t>
  </si>
  <si>
    <t>1.Q          (1.1.-31.3.)</t>
  </si>
  <si>
    <t>2.Q         (1.4.-30.6.)</t>
  </si>
  <si>
    <t>celý rok</t>
  </si>
  <si>
    <t>8/19 - asi až v 2020 (nemůžou sehnat fy),  dopl. jiné zdroje</t>
  </si>
  <si>
    <t>8/19 - hotovo</t>
  </si>
  <si>
    <t>8/19 - běží</t>
  </si>
  <si>
    <t>8/19 - bude v 2019, čeká na počasí (4/19)</t>
  </si>
  <si>
    <t>8/19 - skoro hotovo,  havarijní stav, studie hotová (4/19)</t>
  </si>
  <si>
    <t>bude 3. nebo 4. Q/2019</t>
  </si>
  <si>
    <t>bude 3. Q/2019</t>
  </si>
  <si>
    <t>8/19 - platba 4.Q. Čekalo se na konec topné sezony, 1.5. začíná stavba</t>
  </si>
  <si>
    <t>nové kotle+napojení - 8/19-asi bude 4.Q</t>
  </si>
  <si>
    <t>vše bude spíš 4.Q</t>
  </si>
  <si>
    <t>bude za 400, zbytek utratí -auto pro klienty, 3xlůžko</t>
  </si>
  <si>
    <t>spíš 2020</t>
  </si>
  <si>
    <t>NUTNÉ -velký průšvih, 8/19-bude 3.Q</t>
  </si>
  <si>
    <t>bude 4Q</t>
  </si>
  <si>
    <t>Čerpáno 1.1.-31.7. 2019</t>
  </si>
  <si>
    <t>?</t>
  </si>
  <si>
    <t>12.8.-téměř hotovo   čeká se na ukončení topné sezony, NUTNÉ</t>
  </si>
  <si>
    <t>12.8.-finalizuje se,  NUTNÉ, výměna akumulačních kamen za jiný zdroj, čeká se na ukončení topné sezony (pův. vytipováno na převod do ZP-EPC)4 budovy?</t>
  </si>
  <si>
    <t>12.8.-stavebně skoro hotovo       akce jede</t>
  </si>
  <si>
    <t>12.8.- ?     pozastaveno, nyní probíhá</t>
  </si>
  <si>
    <t>12.8.-dělá se  čekalo se na ukončení topné sezony, probíhá (pův. vytipováno do EPC)</t>
  </si>
  <si>
    <t>12.8.-realizuje se      smlouva - Vlašim</t>
  </si>
  <si>
    <t>12.8.-čeká na schválení ZK</t>
  </si>
  <si>
    <t>12.8.- ? úspora    rozjeto</t>
  </si>
  <si>
    <t>12.8.-hotovo   NUTNÉ, změna zadavatele-viz mail z 29.5.19, pozemek uprostřed areálu (majetkové procesy), (zkusí odsun)</t>
  </si>
  <si>
    <t xml:space="preserve">12.8.- rozjeto   </t>
  </si>
  <si>
    <t>12.8.- rozjeto       Vlašim</t>
  </si>
  <si>
    <t>12.8.- bude</t>
  </si>
  <si>
    <t>12.8.- rozjeto-bude</t>
  </si>
  <si>
    <t>12.8.- ano</t>
  </si>
  <si>
    <t>jak garance, že o převedené peníze k jinému VPO nepřijdou?     rozdělit poznámku na veřejná-neveřejná</t>
  </si>
  <si>
    <t>odlož.financ.</t>
  </si>
  <si>
    <t>12.8.- 11,5mil. čerpání v 8/2019</t>
  </si>
  <si>
    <t>Okres</t>
  </si>
  <si>
    <t>0005743</t>
  </si>
  <si>
    <t>128/2019/DOP</t>
  </si>
  <si>
    <t>III/1057 komunikace na hrázi Dunávického rybníka</t>
  </si>
  <si>
    <t>129/2019/DOP</t>
  </si>
  <si>
    <t>Letiště Benešov – zpevnění RWY a SZZ</t>
  </si>
  <si>
    <t>131/2019/DOP</t>
  </si>
  <si>
    <t>II/113 Český Brod, ul. Jana Kouly</t>
  </si>
  <si>
    <t>132/2019/DOP</t>
  </si>
  <si>
    <t>III/33723 Drobovice - Tupadly</t>
  </si>
  <si>
    <t>133/2019/DOP</t>
  </si>
  <si>
    <t>III/3315 Lysá nad Labem</t>
  </si>
  <si>
    <t>134/2019/DOP</t>
  </si>
  <si>
    <t>III/10169 Hradešín</t>
  </si>
  <si>
    <t>135/2019/DOP</t>
  </si>
  <si>
    <t>III/12536 Červený Hrádek - Solopysky</t>
  </si>
  <si>
    <t>136/2019/DOP</t>
  </si>
  <si>
    <t>III/33429 Mělník</t>
  </si>
  <si>
    <t>137/2019/DOP</t>
  </si>
  <si>
    <t>II/115 Osov - Hostomice</t>
  </si>
  <si>
    <t>138/2019/DOP</t>
  </si>
  <si>
    <t>III/11539, 11540 Tmaň, křižovatka pod kostelem</t>
  </si>
  <si>
    <t>139/2019/DOP</t>
  </si>
  <si>
    <t>III/1011 Vojkov-Strašín</t>
  </si>
  <si>
    <t>140/2019/DOP</t>
  </si>
  <si>
    <t>III/33915 Bohdaneč - Ostrov</t>
  </si>
  <si>
    <t>141/2019/DOP</t>
  </si>
  <si>
    <t>III/32825 Kamilov</t>
  </si>
  <si>
    <t>142/2019/DOP</t>
  </si>
  <si>
    <t>Předměřice n.Jizerou odvodnění silnice III/3314-směr Stará Lysá</t>
  </si>
  <si>
    <t>143/2019/DOP</t>
  </si>
  <si>
    <t>II/126 Kutná Hora, Hrnčířská, odvodnění silnice</t>
  </si>
  <si>
    <t>144/2019/DOP</t>
  </si>
  <si>
    <t>III/0092 Líbeznice - Měšice</t>
  </si>
  <si>
    <t>145/2019/DOP</t>
  </si>
  <si>
    <t>III/12541 Chocenice -. Křečhoř</t>
  </si>
  <si>
    <t>147/2019/DOP</t>
  </si>
  <si>
    <t>149/2019/DOP</t>
  </si>
  <si>
    <t>Propustek Černé Voděrady III/11320 km 5,520</t>
  </si>
  <si>
    <t>158/2019/DOP</t>
  </si>
  <si>
    <t>159/2019/DOP</t>
  </si>
  <si>
    <t>II/268 Klášter Hradiště n. Jiz., most ev.č. 268-007</t>
  </si>
  <si>
    <t>164/2019/DOP</t>
  </si>
  <si>
    <t>III/3396 Bohdaneč, most ev.č. 3396-1</t>
  </si>
  <si>
    <t>167/2019/DOP</t>
  </si>
  <si>
    <t>III/24026 Luníkov, most ev.č. 24026-1 přes Červený potok</t>
  </si>
  <si>
    <t>168/2019/DOP</t>
  </si>
  <si>
    <t>II/339 Bohdaneč,most ev.č.339-007 a propustek</t>
  </si>
  <si>
    <t>171/2019/DOP</t>
  </si>
  <si>
    <t>III/10124 Nučice</t>
  </si>
  <si>
    <t>172/2019/DOP</t>
  </si>
  <si>
    <t>III/2411 Unětice</t>
  </si>
  <si>
    <t>173/2019/DOP</t>
  </si>
  <si>
    <t>III/10122 Mořina</t>
  </si>
  <si>
    <t>174/2019/DOP</t>
  </si>
  <si>
    <t>IIII/11715 Chaloupky - Neřešín</t>
  </si>
  <si>
    <t>175/2019/DOP</t>
  </si>
  <si>
    <t>III/2684 Suhrovice</t>
  </si>
  <si>
    <t>176/2019/DOP</t>
  </si>
  <si>
    <t>III/27611 Horka u Bakova nad Jizerou</t>
  </si>
  <si>
    <t>177/2019/DOP</t>
  </si>
  <si>
    <t>III/27223, III/27225A Strenice</t>
  </si>
  <si>
    <t>178/2019/DOP</t>
  </si>
  <si>
    <t>III/26820 Dolní Bukovina</t>
  </si>
  <si>
    <t>180/2019/DOP</t>
  </si>
  <si>
    <t>II/244 Čečelice</t>
  </si>
  <si>
    <t>181/2019/DOP</t>
  </si>
  <si>
    <t>III/2763 Ptýrovec</t>
  </si>
  <si>
    <t>183/2019/DOP</t>
  </si>
  <si>
    <t>III/33316 Vyžlovka</t>
  </si>
  <si>
    <t>184/2019/DOP</t>
  </si>
  <si>
    <t>III/00326 Křížkový Újezdec, Čenětice</t>
  </si>
  <si>
    <t>185/2019/DOP</t>
  </si>
  <si>
    <t>II/508, III/11319 Mnichovice, Myšlín</t>
  </si>
  <si>
    <t>186/2019/DOP</t>
  </si>
  <si>
    <t>III/1138, III/1139 Vrátkov</t>
  </si>
  <si>
    <t>187/2019/DOP</t>
  </si>
  <si>
    <t>III/10812 Kšely</t>
  </si>
  <si>
    <t>188/2019/DOP</t>
  </si>
  <si>
    <t>III/33725 Vrdy</t>
  </si>
  <si>
    <t>189/2019/DOP</t>
  </si>
  <si>
    <t>II/334, III/3341, III/3305 Klučov, Skramníky, Žhery</t>
  </si>
  <si>
    <t>190/2019/DOP</t>
  </si>
  <si>
    <t>III/3305a, III/3308 Poříčany</t>
  </si>
  <si>
    <t>191/2019/DOP</t>
  </si>
  <si>
    <t>III/3241 Velenice</t>
  </si>
  <si>
    <t>192/2019/DOP</t>
  </si>
  <si>
    <t>III/11444, III/11447, III/11451 Maršovice</t>
  </si>
  <si>
    <t>194/2019/DOP</t>
  </si>
  <si>
    <t>195/2019/DOP</t>
  </si>
  <si>
    <t>III/10226 Svaté Pole</t>
  </si>
  <si>
    <t>197/2019/DOP</t>
  </si>
  <si>
    <t>III/24021 Nelahozeves svodidlo</t>
  </si>
  <si>
    <t>198/2019/DOP</t>
  </si>
  <si>
    <t xml:space="preserve">BESIP svodidla obl. Benešov 2019 </t>
  </si>
  <si>
    <t>199/2019/DOP</t>
  </si>
  <si>
    <t>III/22916,III/22917a III/22917n Krupá</t>
  </si>
  <si>
    <t>200/2019/DOP</t>
  </si>
  <si>
    <t>III/22940 Pochvalov</t>
  </si>
  <si>
    <t>201/2019/DOP</t>
  </si>
  <si>
    <t>III/11517,III/11519 Zadní Třebáň</t>
  </si>
  <si>
    <t>akce zrušena (pův. 30 mil. Kč v r. 2020 a 2021)</t>
  </si>
  <si>
    <t>12/2021</t>
  </si>
  <si>
    <t>09/2019</t>
  </si>
  <si>
    <t>92019</t>
  </si>
  <si>
    <t>0005866</t>
  </si>
  <si>
    <t>0005867</t>
  </si>
  <si>
    <t>0005868</t>
  </si>
  <si>
    <t>0005869</t>
  </si>
  <si>
    <t>0005870</t>
  </si>
  <si>
    <t>0005876</t>
  </si>
  <si>
    <t>0005871</t>
  </si>
  <si>
    <t>0005873</t>
  </si>
  <si>
    <t>0005874</t>
  </si>
  <si>
    <t>0005875</t>
  </si>
  <si>
    <t>64/2019/KUL</t>
  </si>
  <si>
    <t>Ústav archeologické památkové péče středních Čech</t>
  </si>
  <si>
    <t>Depozitář Kounice – posuvné regály</t>
  </si>
  <si>
    <t>65/2019/KUL</t>
  </si>
  <si>
    <t>Hornicko-hutnická expozice</t>
  </si>
  <si>
    <t>Jiné zdroje = prostředky nemocnice. Realizace ukončena
Rok 2019 = odložené financování
Dotační prostředky proplaceny v plné výši.</t>
  </si>
  <si>
    <t>REALIZOVÁNO, UKONČENA FAKTURACE. Podepsán dodatek 
ke smlouvě s SČK (časový horizont=finanční plnění dle smlouvy 
o dotaci k 7/2019), příprava vyúčtování.</t>
  </si>
  <si>
    <t xml:space="preserve">Jiné zdroje = prostředky nemocnice. Dodatek SoD prodloužení termínu do 30.9.2019. Následovat bude čerpání dotačních prostředků do 12/2019.   </t>
  </si>
  <si>
    <t>Část 1
Podepsán dodatek ke smlouvě (časový horizont=finanční plnění dle smlouvy o dotaci k 7/2019, 9/2019), příprava vyúřčtování 
Část 2
Jiné zdroje = prostředky nemocnice, příprava ZD, bude relizována v případě potřeby (havarijní stav)</t>
  </si>
  <si>
    <t>REALIZOVÁNO, UKONČENA FAKTURACE, Podepsán dodatek ke smlouvě (časový horizont=finanční plnění dle smlouvy o dotaci k 7/2019), příprava vyúčtování.</t>
  </si>
  <si>
    <t>0005740</t>
  </si>
  <si>
    <t xml:space="preserve">Jiné zdroje = vlastní zdroje nemocnice
Dodatek SoD prodloužení termínu do 30.9.2019.  
Následovat bude čerpání dotačních prostředků do 12/2019. </t>
  </si>
  <si>
    <t>0005742</t>
  </si>
  <si>
    <t>0005739</t>
  </si>
  <si>
    <t>Smlouva o poskytnutí dotace SK na částku 8 mil. Kč v r. 2019 bude uzavřena na základě usnesení ZK č.069-19/2019/ZK z 24.6.2019.
Předpokládané vyhotovení ZD 9/2019, fyzická realizace stavby 
11-12/2019, ukončení akce 12/2019.
- probíhá příprava podkladů pro výběrové řízení na dodávku potřebného vybavení.  
- příprava výběrového řízení organizovaného MZČR</t>
  </si>
  <si>
    <t>0005741</t>
  </si>
  <si>
    <t>Jiné zdroje = vlastní prostředky nemocnice. Stavební část realizace akce byla dokončena, operační světlo je instalováno,  u VZ na dodávku operačního stolu probíhá hodnocení společně s ON Kolín (zápůjčka stolu proběhne 16.- 20.9.), předpokládaný termín dodání do konce 10/2019.</t>
  </si>
  <si>
    <t>Rekonstrukce střechy objektu G</t>
  </si>
  <si>
    <t>Klimatizace objektu Interny</t>
  </si>
  <si>
    <t>Zvýšení kvality poskytované péče - pořízení zdravotnické techniky</t>
  </si>
  <si>
    <t>Akce bude financována z rozpočtu kraje v případě navýšení finančních prostředků pro oblast zdravotnictví.</t>
  </si>
  <si>
    <t>Vybudování prostor pro zaměstnance a rekonstrukce pokojů klientů</t>
  </si>
  <si>
    <t xml:space="preserve">Zhotovena PD, VZMR bude vyhlášeno 10/2019 </t>
  </si>
  <si>
    <t>Změna PD, nově vyhlášeno VZMR</t>
  </si>
  <si>
    <t>122/2019/SOC</t>
  </si>
  <si>
    <t xml:space="preserve">Osobní automobil </t>
  </si>
  <si>
    <t>Nová akce, finanční prostředky použity z ušetřených prostředků z ostatních akcí</t>
  </si>
  <si>
    <t>123/2019/SOC</t>
  </si>
  <si>
    <t>Nemocniční lůžka pro ošetřovatelský pokoj</t>
  </si>
  <si>
    <t>124/2019/SOC</t>
  </si>
  <si>
    <t>Osobní motorové vozidlo do DS</t>
  </si>
  <si>
    <t>125/2019/SOC</t>
  </si>
  <si>
    <t xml:space="preserve">Rekonstrukce koupelny a pokoje </t>
  </si>
  <si>
    <t>Rekonstrukce podlah na chodbách</t>
  </si>
  <si>
    <t>Zpracování projektové dokumentace na akci „Rozšíření vodárenské soustavy v koridoru dálnice D3"</t>
  </si>
  <si>
    <t>Snížení celkových nákladů na akci</t>
  </si>
  <si>
    <t>0005815</t>
  </si>
  <si>
    <t>0005337</t>
  </si>
  <si>
    <t>0005744</t>
  </si>
  <si>
    <t>0005817</t>
  </si>
  <si>
    <t>0005818</t>
  </si>
  <si>
    <t>0005819</t>
  </si>
  <si>
    <t>0005820</t>
  </si>
  <si>
    <t>136/2019/SKOL</t>
  </si>
  <si>
    <t>Služební automobil</t>
  </si>
  <si>
    <t>137/2019/SKOL</t>
  </si>
  <si>
    <t>Dodávkové auto, Mělník</t>
  </si>
  <si>
    <t>139/2019/SKOL</t>
  </si>
  <si>
    <t>Střední zdravotnická škola a Vyšší odborná škola zdravotnická, Příbram I, Jiráskovy sady 113</t>
  </si>
  <si>
    <t>Dovybavení kuchyně, elektrické kotle</t>
  </si>
  <si>
    <t>III/33310 Šestajovice, průtah (ul. Revoluční)</t>
  </si>
  <si>
    <t>navýšení CN o 568 tis. Kč, změna financování</t>
  </si>
  <si>
    <t>snížení CN o 2 mil. Kč, úspora při realizaci stavby</t>
  </si>
  <si>
    <t>úprava názvu položky, navýšení CN během stavby o 103 tis. Kč</t>
  </si>
  <si>
    <t>stavebně realizováno, snížení CN o 1,855 mil. Kč, doplatek akce</t>
  </si>
  <si>
    <t>stavebně realizováno, dokončení mjt. vyrovnání, snížení CN o 135 tis. Kč</t>
  </si>
  <si>
    <t>66/2019/KUL</t>
  </si>
  <si>
    <t>Doplnění sněhových zábran včetně výměny okapů na Jezuitské koleji</t>
  </si>
  <si>
    <t>navýšení CN o 180 tis.Kč, změna financování</t>
  </si>
  <si>
    <t>upřesnit priority?</t>
  </si>
  <si>
    <t>limit čerpání kap. prostředků pro r. 2019 - 60,144 mil. Kč,                        pro rok 2020 - 10 mil. Kč</t>
  </si>
  <si>
    <t>limit čerpání kap. prostředků pro r. 2019 - 16,567 mil. Kč,                        pro rok 2020 - 10 mil. Kč</t>
  </si>
  <si>
    <t>limit čerpání kap. prostředků pro r. 2019 - 52,685 mil. Kč,                        pro rok 2020 - 30 mil. Kč</t>
  </si>
  <si>
    <t>limit čerpání kap. prostředků pro r. 2019 - 712,752 mil. Kč,                        pro rok 2020 - 205 mil. Kč</t>
  </si>
  <si>
    <t>limit čerpání kap. prostředků pro r. 2019 - 138,359 mil. Kč,                        pro rok 2020 - 80 mil. Kč</t>
  </si>
  <si>
    <t>limit čerpání kap. prostředků pro r. 2019 - 63,791 mil. Kč,                        pro rok 2020 - 50 mil. Kč</t>
  </si>
  <si>
    <t>limit čerpání kap. prostředků pro r. 2019 - 304,027 mil. Kč (bez odloženého financování),                        pro rok 2020 - 220 mil. Kč</t>
  </si>
  <si>
    <t>limit čerpání kap. prostředků pro r. 2019 - 87,831 mil. Kč,                        pro rok 2020 - 70 mil. Kč</t>
  </si>
  <si>
    <t>limit čerpání kap. prostředků pro r. 2019 - 19,696 mil. Kč,                        pro rok 2020 - 10 mil. Kč</t>
  </si>
  <si>
    <t>limit čerpání kap. prostředků pro r. 2019 - 1 474,517 mil. Kč (bez odloženého financování),                        pro rok 2020 - 700 mil. Kč</t>
  </si>
  <si>
    <t>limit čerpání kap. prostředků pro r. 2019 - 1 mil. Kč,                                pro rok 2020 - 1 mil. Kč</t>
  </si>
  <si>
    <t>Navýšení celkových nákladů o 500 tis. Kč (změna během výstavby)</t>
  </si>
  <si>
    <t>140/2019/SKOL</t>
  </si>
  <si>
    <t>141/2019/SKOL</t>
  </si>
  <si>
    <t>Střední odborná škola a Střední odborné učiliště Vlašim, Zámek 1</t>
  </si>
  <si>
    <t>ukončeno</t>
  </si>
  <si>
    <t>Rozšíření IS GINIS na žádost FIN a vedení KÚ v souvislosti s elektronizací dokumentů Rady SčK. Snížení CN o 4 tis. Kč</t>
  </si>
  <si>
    <t>Navýšení CN o 500 tis. Kč. Bez přechodu na verzi Enterprise nebude možné realizovat zakázkové úpravy modulů IS GINIS. Nákup byl realizován v rámci zakázky na pořízení podpory systému, vyhodnocení před ukončením. Nabídkové ceny celkovou částku VZ nepřekročily, ale byly vyšší u této investice. Navýšeno bude z akce 4791</t>
  </si>
  <si>
    <t>Snížení CN o 540 tis. Kč. Požadavek vychází z povinností dle Informační koncepce České republiky ze dne 20. 9. 2018, cíle 5.3. Zavedení principů a postupů „Enterprise architektury“ do řízení eGovernmentu všech úrovní. Uspořené prostředky na rok 2020 převádíme na akci 2821</t>
  </si>
  <si>
    <t>Snížení CN o 23 tis. Kč. Rozšíření hostované spisové služby pro krajské školy, v návaznosti na nařízení EU. Požadavek KÚ v rámci realizace projektů eGovernmentu. Uspořené prostředky převádíme na akci 1514 k financování v roce 2020</t>
  </si>
  <si>
    <t>Snížení CN o 29 tis. Kč. Důvodem rozšíření je zajištění konverze dokumentů Word na .pdf/A k elektronickému podepisování dokumentů v IS GINIS z důvodu kompatibility a přechodu na verzi IS GINIS 3.82, dokončen nákup licencí. Uspořené prostředky převádíme na akci 1514 k financování v roce 2020</t>
  </si>
  <si>
    <t>navýšení CN o 6,193 mil. Kč</t>
  </si>
  <si>
    <t>navýšení celkových nákladů o 250 tis. Kč (technický dozor stavby a zhotovení geometrických plánů)</t>
  </si>
  <si>
    <t>127/2019/SOC</t>
  </si>
  <si>
    <t xml:space="preserve">Stavební úprava mostů na CMS Králův Dvůr oblast Kladno </t>
  </si>
  <si>
    <t>snížení CN o 1 tis. Kč</t>
  </si>
  <si>
    <t>snížení CN o 801 tis. Kč</t>
  </si>
  <si>
    <t>Snížení CN o 692 tis. Kč  na základě VZMR</t>
  </si>
  <si>
    <t xml:space="preserve">Snížení CN o 600 tis. Kč </t>
  </si>
  <si>
    <t xml:space="preserve">Snížení CN o 10 tis. Kč </t>
  </si>
  <si>
    <t>snížení CN o 86 tis. Kč na základě VZMR</t>
  </si>
  <si>
    <t>Navýšení CN o 3,649 mil. Kč  po obdržení nabídek k VZMR. Zvýšení ceny je pokryto z ušetření fin. prostředků z ostatních akcí.</t>
  </si>
  <si>
    <t>Snížení ceny o 587 tis. Kč na základě VZMR</t>
  </si>
  <si>
    <t>Navýšení CN o 100 tis. Kč, změna způsobu financování. Zvýšení ceny na základě VZMR, prostředky použity z ušetřených fin. prostředků</t>
  </si>
  <si>
    <t>změna financování (převod z r. 2020 na r. 2019, změna roku realizace, navýšení CN o 190 tis. Kč na základě průzkumu trhu</t>
  </si>
  <si>
    <t>Na výšení CN o 53 tis. Kč, změna způsobu financování</t>
  </si>
  <si>
    <t>akce ukončena, snížení celkových nákladů o 63 tis. Kč</t>
  </si>
  <si>
    <t>akce ukončena, snížení celkových nákladů o 113 tis. Kč</t>
  </si>
  <si>
    <t>navýšení celkových nákladů na akci o 500 tis. Kč</t>
  </si>
  <si>
    <t>snížení CN o 449 tis. Kč</t>
  </si>
  <si>
    <t>138/2019/ZDR</t>
  </si>
  <si>
    <t>139/2019/ZDR</t>
  </si>
  <si>
    <t>140/2019/ZDR</t>
  </si>
  <si>
    <t>141/2019/ZDR</t>
  </si>
  <si>
    <t>Poznámka - kopie z 9.10.2019</t>
  </si>
  <si>
    <t>Fyzická realizace ukončena v březnu 2019. Po podpisu smlouvy o poskytnutí investiční dotace bude předložena žádost o proplacení a zhodnocení akce.</t>
  </si>
  <si>
    <t>Stavební část realizace akce byla dokončena, operační světlo je instalováno,  u VZ na dodávku operačního stolu probíhá hodnocení společně s ON Kolín (zápůjčka stolu proběhne 16.- 20.9.), předpokládaný termín dodání do konce 10/2019.</t>
  </si>
  <si>
    <t>snížení CN o 80 tis. Kč</t>
  </si>
  <si>
    <t>změna financování ( převod z r. 2020 do r. 2019)</t>
  </si>
  <si>
    <t>změna financování (převod z r. 2019 do r. 2020)</t>
  </si>
  <si>
    <t>Změna financování (převod z r. 2020 do r. 2019)</t>
  </si>
  <si>
    <t>změna financování (převod z r. 2020 na r. 2019)-změna roku realizace, navýšení CN o 190 tis. Kč na základě průzkumu trhu</t>
  </si>
  <si>
    <t>Na výšení CN o 53 tis. Kč, změna způsobu financování (snížení jiných zdrojů)</t>
  </si>
  <si>
    <t>nutné, PO má PD, v 8/2019 bude vyhl. VZMR (původně chtěla PO financovat sama, rozpočet je ale větší, než předpokládal rozpočet</t>
  </si>
  <si>
    <t>ukončeno, snížení CN o 651 tis. Kč</t>
  </si>
  <si>
    <t>Stavební práce ukončeny, čekání na úhradu faktur. Snížení CN o 200 tis</t>
  </si>
  <si>
    <t>snížení CN o 25 tis. Kč</t>
  </si>
  <si>
    <t>snížení CN o 44 tis. Kč - méněpráce</t>
  </si>
  <si>
    <t xml:space="preserve">Navýšení CN o 3,649 mil. Kč  po obdržení nabídek k VZMR. </t>
  </si>
  <si>
    <t>Navýšení CN o 100 tis. Kč, změna způsobu financování (snížení jiných zdrojů). Zvýšení ceny na základě VZMR. Změna názvu.</t>
  </si>
  <si>
    <t>ano</t>
  </si>
  <si>
    <t>snížení CN o 417 tis. Kč</t>
  </si>
  <si>
    <t xml:space="preserve">snížení CN o 328 tis. Kč </t>
  </si>
  <si>
    <t>Snížení celkových nákladů na akci o 570 tis. Kč</t>
  </si>
  <si>
    <t>Snížení celkových nákladů na akci o 209 tis. Kč</t>
  </si>
  <si>
    <t>změna financování (převod z r. 2021 do r. 2019)</t>
  </si>
  <si>
    <t>0005777</t>
  </si>
  <si>
    <t>0005826</t>
  </si>
  <si>
    <t>Čerpáno 9/2019</t>
  </si>
  <si>
    <t>Rekonstrukce sociálních zařízení v budově KÚ</t>
  </si>
  <si>
    <t>Čerpáno 1.1.-31.8. 2019</t>
  </si>
  <si>
    <t>Čerpáno 1.1.-30.9. 2019</t>
  </si>
  <si>
    <t>Předpokládané čerpání       1.1.-31.3. 2019</t>
  </si>
  <si>
    <t>Předpokládané čerpání     1.4.-30.6. 2019</t>
  </si>
  <si>
    <t>Předpokládané čerpání     1.7.-30.9. 2019</t>
  </si>
  <si>
    <t>Předpokládané čerpání      1.10.-31.12. 2019</t>
  </si>
  <si>
    <t>4/2019/KHT</t>
  </si>
  <si>
    <t>Participativní rozpočet</t>
  </si>
  <si>
    <t>Adaptace skiaskopického pracoviště</t>
  </si>
  <si>
    <t>Rekonstrukce části střechy chirurgického pavilonu</t>
  </si>
  <si>
    <t>Pasívní chlazení budov II. fáze</t>
  </si>
  <si>
    <t>ON Ml. Boleslav, a. s., nem. SČK</t>
  </si>
  <si>
    <t>Demolice garáží v areálu ONMB</t>
  </si>
  <si>
    <t>142/2019/ZDR</t>
  </si>
  <si>
    <t>143/2019/ZDR</t>
  </si>
  <si>
    <t>144/2019/ZDR</t>
  </si>
  <si>
    <t>145/2019/ZDR</t>
  </si>
  <si>
    <t>146/2019/ZDR</t>
  </si>
  <si>
    <t>limit čerpání kap. prostředků pro r. 2019 - 54,444 mil. Kč,                        pro rok 2020 - 10 mil. Kč</t>
  </si>
  <si>
    <t>limit čerpání kap. prostředků pro r. 2019 - 6,567 mil. Kč,                        pro rok 2020 - 10 mil. Kč</t>
  </si>
  <si>
    <t>limit čerpání kap. prostředků pro r. 2019 - 41,685 mil. Kč,                        pro rok 2020 - 30 mil. Kč</t>
  </si>
  <si>
    <t>limit čerpání kap. prostředků pro r. 2019 - 737,885 mil. Kč,                        pro rok 2020 - 205 mil. Kč</t>
  </si>
  <si>
    <t>limit čerpání kap. prostředků pro r. 2019 - 140,044 mil. Kč,                        pro rok 2020 - 80 mil. Kč</t>
  </si>
  <si>
    <t>limit čerpání kap. prostředků pro r. 2019 - 55,791 mil. Kč,                        pro rok 2020 - 50 mil. Kč</t>
  </si>
  <si>
    <t>limit čerpání kap. prostředků pro r. 2019 - 337,239 mil. Kč (bez odloženého financování),                        pro rok 2020 - 220 mil. Kč</t>
  </si>
  <si>
    <t>limit čerpání kap. prostředků pro r. 2019 - 4,835 mil. Kč,                        pro rok 2020 - 6 mil. Kč</t>
  </si>
  <si>
    <t>limit čerpání kap. prostředků pro r. 2019 - 0  Kč,                                   pro rok 2020 - 1 mil. Kč</t>
  </si>
  <si>
    <t>limit čerpání kap. prostředků pro r. 2019 - 7,4 mil. Kč,                           pro rok 2020 - 8 mil. Kč</t>
  </si>
  <si>
    <t>limit čerpání kap. prostředků pro r. 2019 - 0,796 mil. Kč,                        pro rok 2020 - 10 mil. Kč</t>
  </si>
  <si>
    <t>Smlouva o dílo se zhotovitelem akce vybraným na základě výběrového řízení na dodávky. Akce fyzicky dokončena.</t>
  </si>
  <si>
    <t>Byl proveden průzkum trhu, vytvořen seznam přístrojů.</t>
  </si>
  <si>
    <t>Poznámka - kopie z 10.5.2019 (15.5.)</t>
  </si>
  <si>
    <t>plán čerpání z 20.8. 2019</t>
  </si>
  <si>
    <t>Časový horizont změny aktuálního stavu (měsíc /rok)</t>
  </si>
  <si>
    <t>Finanční prostředky r.  2020</t>
  </si>
  <si>
    <t>3.Q         (1.7.-30.9.)</t>
  </si>
  <si>
    <t>4.Q         (1.10.-31.12.)</t>
  </si>
  <si>
    <t>Předpokládané čerpání r.  2020</t>
  </si>
  <si>
    <t>Poznámka - kopie z 21.11.2019</t>
  </si>
  <si>
    <t xml:space="preserve">Důvodem rozšíření je zajištění konverze dokumentů Word na .pdf/A k elektronickému podepisování dokumentů v IS GINIS z důvodu kompatibility a přechodu na verzi IS GINIS 3.82, dokončen nákup licencí. </t>
  </si>
  <si>
    <t xml:space="preserve">hotová PD, zbytek financován z jiných zdrojů=kap. 05  (příjmy z pronájmů)- tím ukončeny nároky na financování z Kap.12.  </t>
  </si>
  <si>
    <t>limit čerpání kap. prostředků pro rok 2020 - 10 mil. Kč</t>
  </si>
  <si>
    <t>limit čerpání kap. prostředků pro rok 2020 - 30 mil. Kč</t>
  </si>
  <si>
    <t>limit čerpání kap. prostředků pro rok 2020 - 205 mil. Kč</t>
  </si>
  <si>
    <t>limit čerpání kap. prostředků pro rok 2020 - 80 mil. Kč</t>
  </si>
  <si>
    <t>limit čerpání kap. prostředků pro rok 2020 - 50 mil. Kč</t>
  </si>
  <si>
    <t>limit čerpání kap. prostředků pro rok 2020 - 220 mil. Kč</t>
  </si>
  <si>
    <t>limit čerpání kap. prostředků pro rok 2020 - 1 mil. Kč</t>
  </si>
  <si>
    <t>limit čerpání kap. prostředků pro rok 2020 - 8 mil. Kč</t>
  </si>
  <si>
    <t>limit čerpání kap. prostředků pro rok 2020 - 70 mil. Kč</t>
  </si>
  <si>
    <t>limit čerpání kap. prostředků pro rok 2020 - 700 mil. Kč</t>
  </si>
  <si>
    <t>8(12)</t>
  </si>
  <si>
    <t>výběr ke zm. č.1</t>
  </si>
  <si>
    <t>0005898</t>
  </si>
  <si>
    <t>Zásobník investic Středočeského kraje na rok 2020 - změna č. 1</t>
  </si>
  <si>
    <t>v ZI od roku</t>
  </si>
  <si>
    <t>Zařazeno do Zásobníku investic usnesením RK/ZK</t>
  </si>
  <si>
    <t>0005851</t>
  </si>
  <si>
    <t>0005852</t>
  </si>
  <si>
    <t>0004491</t>
  </si>
  <si>
    <t>Čerpáno 1.1.-30.10. 2019</t>
  </si>
  <si>
    <t>0005859</t>
  </si>
  <si>
    <t>Čerpáno 10/2019</t>
  </si>
  <si>
    <t>Kapitálové prostředky r.2019 (po změně č. 5) vč. odloženého financování</t>
  </si>
  <si>
    <t>rozplánování r. 2020 (musí být rovno nule)</t>
  </si>
  <si>
    <t>limit čerpání kap. prostředků pro r. 2019 - 8,265 mil. Kč,                         pro rok 2020 - 6 mil. Kč</t>
  </si>
  <si>
    <t>limit čerpání kap. prostředků pro r. 2019 - 9,4 mil. Kč,                              pro rok 2020 - 8 mil. Kč</t>
  </si>
  <si>
    <t>limit čerpání kap. prostředků pro r. 2019 - 262 548 tis. Kč   (bez odloženého financování)</t>
  </si>
  <si>
    <t>0003227</t>
  </si>
  <si>
    <t>Předpokládané čerpání      1.11.-31.12. 2019 (plán 11+12)</t>
  </si>
  <si>
    <t>limit čerpání kap. prostředků pro rok 2020 - 6 mil. Kč</t>
  </si>
  <si>
    <t>10/2025</t>
  </si>
  <si>
    <t>Zakázka se nebude realizovat (CN  2 mil. Kč - z r. 2021)</t>
  </si>
  <si>
    <t>Rozšíření IS GINIS na žádost FIN a vedení KÚ v souvislosti s elektronizací dokumentů Rady SčK. Dvě faktury uhrazeny 11.11.2019.</t>
  </si>
  <si>
    <t>20/2020/INF</t>
  </si>
  <si>
    <t>Redundace LAN infrastruktury</t>
  </si>
  <si>
    <t>21/2020/INF</t>
  </si>
  <si>
    <t>Rozšíření systému zálohování prostřednictvím Data Domain appliance v rámci technologického centra</t>
  </si>
  <si>
    <t>0005882</t>
  </si>
  <si>
    <t>0005907</t>
  </si>
  <si>
    <t>0005959</t>
  </si>
  <si>
    <t>0005825</t>
  </si>
  <si>
    <t>0005952</t>
  </si>
  <si>
    <t>0005951</t>
  </si>
  <si>
    <t>0005947</t>
  </si>
  <si>
    <t>0005946</t>
  </si>
  <si>
    <t>0005945</t>
  </si>
  <si>
    <t>0005943</t>
  </si>
  <si>
    <t>0005938</t>
  </si>
  <si>
    <t>0005910</t>
  </si>
  <si>
    <t>0005897</t>
  </si>
  <si>
    <t>0005895</t>
  </si>
  <si>
    <t>0005894</t>
  </si>
  <si>
    <t>0005893</t>
  </si>
  <si>
    <t>0005892</t>
  </si>
  <si>
    <t>0005889</t>
  </si>
  <si>
    <t>0005888</t>
  </si>
  <si>
    <t>0006012</t>
  </si>
  <si>
    <t>0005891</t>
  </si>
  <si>
    <t>0005981</t>
  </si>
  <si>
    <t>0005984</t>
  </si>
  <si>
    <t>0005986</t>
  </si>
  <si>
    <t>0005988</t>
  </si>
  <si>
    <t>0005989</t>
  </si>
  <si>
    <t>0005995</t>
  </si>
  <si>
    <t>0005998</t>
  </si>
  <si>
    <t>0005999</t>
  </si>
  <si>
    <t>0006003</t>
  </si>
  <si>
    <t>0005911</t>
  </si>
  <si>
    <t>0005864</t>
  </si>
  <si>
    <t>0005941</t>
  </si>
  <si>
    <t>0005974</t>
  </si>
  <si>
    <t>0005985</t>
  </si>
  <si>
    <t>0005964</t>
  </si>
  <si>
    <t>0006011</t>
  </si>
  <si>
    <t>0006019</t>
  </si>
  <si>
    <t>0005965</t>
  </si>
  <si>
    <t>0005963</t>
  </si>
  <si>
    <t>0005962</t>
  </si>
  <si>
    <t>0005927</t>
  </si>
  <si>
    <t>0005928</t>
  </si>
  <si>
    <t>0005929</t>
  </si>
  <si>
    <t>0005930</t>
  </si>
  <si>
    <t>0005931</t>
  </si>
  <si>
    <t>0006022</t>
  </si>
  <si>
    <t>0006023</t>
  </si>
  <si>
    <t>0006024</t>
  </si>
  <si>
    <t>0006025</t>
  </si>
  <si>
    <t>0006026</t>
  </si>
  <si>
    <t>0006030</t>
  </si>
  <si>
    <t>0006031</t>
  </si>
  <si>
    <t>0006041</t>
  </si>
  <si>
    <t>0005923</t>
  </si>
  <si>
    <t>0005924</t>
  </si>
  <si>
    <t>0005925</t>
  </si>
  <si>
    <t>0005926</t>
  </si>
  <si>
    <t>čerpáno k 30.11.2019</t>
  </si>
  <si>
    <t>X</t>
  </si>
  <si>
    <t>Přechod na verzi Enterprise je součástí zakázky na zajištění podpory GINIS. K zakázce byla uzavřena smlouva s účinností od 07.11.2019. Snížení CN o 67 tis. Kč</t>
  </si>
  <si>
    <t>snížení CN o 285 tis. Kč</t>
  </si>
  <si>
    <t>snížení CN o 1,148 mil. Kč</t>
  </si>
  <si>
    <t>snížení CN o 314 tis. Kč</t>
  </si>
  <si>
    <t>snížení CN o 142 tis. Kč, změna financování (přesun 943 tis. Kč z r. 2019 do r. 2020)</t>
  </si>
  <si>
    <t>snížení CN o 531 tis. Kč</t>
  </si>
  <si>
    <t xml:space="preserve">snížení celk. nákladů o 750 tis. Kč </t>
  </si>
  <si>
    <t>snížení nákladů o 202 tis. Kč</t>
  </si>
  <si>
    <t>snížení CN o 92 tis. Kč</t>
  </si>
  <si>
    <t>snížení nákladů o 26 tis. Kč</t>
  </si>
  <si>
    <t>snížení nákladů o 825 Kč</t>
  </si>
  <si>
    <t>snížení cel. nákladů o 103 tis. Kč</t>
  </si>
  <si>
    <t>snížení cel. nákladů o 426 tis. Kč</t>
  </si>
  <si>
    <t>snížení celkových nákladů o 40 tis. Kč</t>
  </si>
  <si>
    <t>Snížení CN o 8 tis. Kč</t>
  </si>
  <si>
    <t>3/2022</t>
  </si>
  <si>
    <t>snížení CN o 1,245 mil. Kč</t>
  </si>
  <si>
    <t xml:space="preserve">snížení CN o 11 tis. Kč </t>
  </si>
  <si>
    <t>změna způsobu financování, převod do ZP</t>
  </si>
  <si>
    <t>Opěrná zeď silnic III/11619 Karlštejn</t>
  </si>
  <si>
    <t>snížení CN o 74 tis. Kč</t>
  </si>
  <si>
    <t>snížení CN o 123 tis. Kč</t>
  </si>
  <si>
    <t>snížení CN o 112 tis. Kč</t>
  </si>
  <si>
    <t>snížení CN o 101 tis. Kč</t>
  </si>
  <si>
    <t>změna financování - převod 6,291 mil. Kč z r. 2019 do r. 2020</t>
  </si>
  <si>
    <t>změna financování - převod 4,803 mil. Kč z r. 2019 do r. 2020</t>
  </si>
  <si>
    <t>změna financování - převod 3,603 mil. Kč z r. 2019 do r. 2020</t>
  </si>
  <si>
    <t>snížení CN o 168 tis. Kč</t>
  </si>
  <si>
    <t>snížení CN o 545 tis. Kč</t>
  </si>
  <si>
    <t>změna financování (1,57 mil. Kč převedeno z r. 2019 do r. 2020)</t>
  </si>
  <si>
    <t>změna financování (853 tis. Kč převedeno z r. 2019 do r. 2020)</t>
  </si>
  <si>
    <t>snížení celk. nákladů o 40 tis. Kč</t>
  </si>
  <si>
    <t>snížení celk. nákladů o 94 tis. Kč</t>
  </si>
  <si>
    <t>snížení celk. nákladů o 57 tis. Kč</t>
  </si>
  <si>
    <t>snížení celk. nákladů o 119 tis. Kč</t>
  </si>
  <si>
    <t>snížení celk. nákladů o 36 tis. Kč</t>
  </si>
  <si>
    <t>snížení CN o 32 tis. Kč, změna financování (2,727 mil. Kč převedeno z r. 2019 do r. 2020)</t>
  </si>
  <si>
    <t>snížení CN o 70 tis. Kč</t>
  </si>
  <si>
    <t>snížení CN o 99 tis. Kč</t>
  </si>
  <si>
    <t>snížení CN o 79 tis. Kč, změna financování (1,486 mil. Kč převedeno z r. 2019 do r. 2020)</t>
  </si>
  <si>
    <t>snížení CN o 2,083 mil. Kč</t>
  </si>
  <si>
    <t>snížení CN o 45 tis. Kč</t>
  </si>
  <si>
    <t>snížení CN o 69 tis. Kč, změna financování (1,738 mil. Kč převedeno z r. 2019 do r. 2020)</t>
  </si>
  <si>
    <t>snížení CN o 49 tis. Kč</t>
  </si>
  <si>
    <t>snížení CN o 14 tis. Kč</t>
  </si>
  <si>
    <t>snížení CN o 86 tis. Kč</t>
  </si>
  <si>
    <t>snížení CN o 209 tis. Kč, změna financování (577 tis. Kč převedeno z r. 2019 do r. 2020)</t>
  </si>
  <si>
    <t>203/2020/DOP</t>
  </si>
  <si>
    <t>Obnova budov cestmistrovství</t>
  </si>
  <si>
    <t>205/2020/DOP</t>
  </si>
  <si>
    <t>206/2020/DOP</t>
  </si>
  <si>
    <t>207/2020/DOP</t>
  </si>
  <si>
    <t xml:space="preserve"> Lineární směrovací systém (BESIP)</t>
  </si>
  <si>
    <t>209/2020/DOP</t>
  </si>
  <si>
    <t>213/2020/DOP</t>
  </si>
  <si>
    <t>II/336 Buda - Čejtice</t>
  </si>
  <si>
    <t>214/2020/DOP</t>
  </si>
  <si>
    <t>215/2020/DOP</t>
  </si>
  <si>
    <t>II/328 Sloveč - Kněžice</t>
  </si>
  <si>
    <t>224/2020/DOP</t>
  </si>
  <si>
    <t>Dopravní značení - omezení tranzitní dopravy</t>
  </si>
  <si>
    <t>225/2020/DOP</t>
  </si>
  <si>
    <t>226/2020/DOP</t>
  </si>
  <si>
    <t>III/11420 Kotenčice - Pičín</t>
  </si>
  <si>
    <t>snížení ceny při realizaci o 350 Kč</t>
  </si>
  <si>
    <t>Změna PD, nově vyhlášeno VZMR, změna financování - přesun 3,5 mil. Kč z r. 2019 do r. 2020</t>
  </si>
  <si>
    <t>snížení CN o 5 tis. Kč</t>
  </si>
  <si>
    <t>Snížení ceny o méněpráce o 82 tis. Kč</t>
  </si>
  <si>
    <t>snížení ceny v průběhu realizace akce o 59 tis. Kč</t>
  </si>
  <si>
    <t>Snížení ceny o 174 tis. (část dodávky nebyla investicí)</t>
  </si>
  <si>
    <t>Rekontrukce kanalizace a vodovodu a sociálního zařízen v objektu  Gen.Eliáše 483, Kladno</t>
  </si>
  <si>
    <t>snížení CN o 10 tis. Kč</t>
  </si>
  <si>
    <t>Domov Seniorů Vojkov</t>
  </si>
  <si>
    <t>Nákup a následná rekonstrukce nemovitosti č.p. 41</t>
  </si>
  <si>
    <t xml:space="preserve">Rekonstrukce elektroinstalace </t>
  </si>
  <si>
    <t>snížení ceny na základě VZMR o 150 tis. Kč</t>
  </si>
  <si>
    <t>snížení ceny na základě VZMR o 143 tis. Kč</t>
  </si>
  <si>
    <t>snížení ceny na základě VZMR o 1 tis. Kč</t>
  </si>
  <si>
    <t>snížení ceny na základě VZMR o 15 tis. Kč</t>
  </si>
  <si>
    <t>126/2019/SOC</t>
  </si>
  <si>
    <t>změna financování - přesun 800 tis. Kč z r. 2019 do r. 2020</t>
  </si>
  <si>
    <t>Domov u Anežky Luštěnice</t>
  </si>
  <si>
    <t>zvýšení ceny na základě VZMR - hrazeno z vl. zdrojů PO (změna způsobu financování)</t>
  </si>
  <si>
    <t>036-23/2011/RK ze dne 30.05.2011 043-16/2011/ZK ze dne 6.6.2011</t>
  </si>
  <si>
    <t>12/2022</t>
  </si>
  <si>
    <t>změna financování - převod 1,632 mil. Kč z r. 2019 do r. 2020</t>
  </si>
  <si>
    <t>změna financování - převod  390 tis. Kč z r. 2019 do r. 2020</t>
  </si>
  <si>
    <t>akce ukončena, snížení celkových nákladů na akci o 7 tis. Kč</t>
  </si>
  <si>
    <t>změna financování - převod  838 tis. Kč z r. 2019 do r. 2020</t>
  </si>
  <si>
    <t>změna financování - převod  294 tis. Kč z r. 2019 do r. 2020</t>
  </si>
  <si>
    <t>změna financování - převod  280 tis. Kč z r. 2019 do r. 2020</t>
  </si>
  <si>
    <t>změna financování - převod  54 tis. Kč z r. 2019 do r. 2020</t>
  </si>
  <si>
    <t>změna financování - převod  2,4 mil. Kč z r. 2019 do r. 2020</t>
  </si>
  <si>
    <t>snížení celkových nákladů na akci o 149 tis. Kč, změna financování - převod  214 tis. Kč z r. 2019 do r. 2020</t>
  </si>
  <si>
    <t>změna financování - převod  492 tis. Kč z r. 2019 do r. 2020</t>
  </si>
  <si>
    <t>ukončená akce</t>
  </si>
  <si>
    <t>změna financování - převod  3,101 mil. Kč z r. 2019 do r. 2020</t>
  </si>
  <si>
    <t>0005880</t>
  </si>
  <si>
    <t>snížení celkových nákladů na akci o 46 tis. Kč, změna financování - převod  317 tis. Kč z r. 2019 do r. 2020</t>
  </si>
  <si>
    <t>0005783</t>
  </si>
  <si>
    <t>0006008</t>
  </si>
  <si>
    <t>změna financování - převod 200 tis. Kč z r. 2019 do r. 2020</t>
  </si>
  <si>
    <t>změna financování - převod 22 tis. Kč z r. 2019 do r. 2020</t>
  </si>
  <si>
    <t>vyhotovena PD, změna financování - převod 179 tis. Kč z r. 2019 do r. 2020</t>
  </si>
  <si>
    <t>snížení CN o 173 tis. Kč</t>
  </si>
  <si>
    <t>snížení CN o 463 tis. Kč</t>
  </si>
  <si>
    <r>
      <t xml:space="preserve">Smlouva o dílo se zhotovitelem akce vybraným na základě výběrového řízení na dodávky. Akce fyzicky dokončena.                                                                                                                     </t>
    </r>
    <r>
      <rPr>
        <strike/>
        <sz val="10"/>
        <color rgb="FFFF0000"/>
        <rFont val="Arial"/>
        <family val="2"/>
        <charset val="238"/>
      </rPr>
      <t xml:space="preserve">  Dne 29.11.2019 zažádáno o uvolnění dotačních prostředků ve výši 5.030.000,- Kč.</t>
    </r>
  </si>
  <si>
    <t>snížení CN o 8 tis. Kč</t>
  </si>
  <si>
    <t xml:space="preserve">Podepsán dodatek č. 1 ke Smlouvě o dílo s vybraným zhotovitelem, upravující navýšení celkových nákladů a posun dokončení termínu plnění do 10.2.2020.  </t>
  </si>
  <si>
    <t xml:space="preserve">snížení CN o 389 tis. Kč </t>
  </si>
  <si>
    <t>Čerpáno 1.1.-31.12. 2019</t>
  </si>
  <si>
    <t>9/2023</t>
  </si>
  <si>
    <t>snížení celkových nákladů o 255 tis. Kč</t>
  </si>
  <si>
    <t>snížení celkových nákladů o 216 tis. Kč, změna způsobu financování (nepoužití "Jiných zdrojů-vlastních prostředků PO" ve výši 200 tis. Kč)</t>
  </si>
  <si>
    <t>snížení celkových nákladů o 223 tis. Kč</t>
  </si>
  <si>
    <t>snížení celkových nákladů o 212 tis. Kč</t>
  </si>
  <si>
    <t>snížení celkových nákladů o 58 tis. Kč</t>
  </si>
  <si>
    <t>snížení CN o 152 tis. Kč</t>
  </si>
  <si>
    <t>0005961</t>
  </si>
  <si>
    <t xml:space="preserve"> snížení celkových nákladů akce o 14 tis. Kč</t>
  </si>
  <si>
    <t>akce ukončena, snížení celkových nákladů akce o 235 tis. Kč</t>
  </si>
  <si>
    <t>akce ukončena, snížení celkových nákladů akce o 1 tis. Kč</t>
  </si>
  <si>
    <t>snížení CN o 13 tis. Kč</t>
  </si>
  <si>
    <t>snížení CN o 1 tis.Kč</t>
  </si>
  <si>
    <t>Fotbalové klece</t>
  </si>
  <si>
    <t>snížení CN o 50 tis. Kč</t>
  </si>
  <si>
    <t>0005960</t>
  </si>
  <si>
    <t>snížení CN o 22 tis. Kč</t>
  </si>
  <si>
    <t>Školní statek Středočeského kraje, příspěvková organizace - středisko Mělník</t>
  </si>
  <si>
    <t>změna financování - převod 700 tis. Kč z r.2019 do r. 2020</t>
  </si>
  <si>
    <t>0005958</t>
  </si>
  <si>
    <t>Dokončení zateplení a výměna oken budova "C", OV, Tehov</t>
  </si>
  <si>
    <t>snížení CN o 2 tis. Kč</t>
  </si>
  <si>
    <t>0005935</t>
  </si>
  <si>
    <t>143/2020/SKOL</t>
  </si>
  <si>
    <t>Rekultivace hřiště</t>
  </si>
  <si>
    <r>
      <t>Původní odložené financování v letech 2019-2020. Realizace ukončena. Č</t>
    </r>
    <r>
      <rPr>
        <i/>
        <strike/>
        <sz val="10"/>
        <rFont val="Arial"/>
        <family val="2"/>
        <charset val="238"/>
      </rPr>
      <t xml:space="preserve">ástka 2.250 tis. Kč bude převedena rozpočtovým opatřením z kapitoly 23 – Ostatní – Specifické rezervy – jiné očekávané výdaje ve zdravotnictví do kapitoly 12 – Investiční výdaje.    </t>
    </r>
    <r>
      <rPr>
        <strike/>
        <sz val="10"/>
        <rFont val="Arial"/>
        <family val="2"/>
        <charset val="238"/>
      </rPr>
      <t>Změna způsobu financování</t>
    </r>
  </si>
  <si>
    <r>
      <t xml:space="preserve">Původní odložené financování v letech 2019-2020. Realizace ukončena. Dle požadavku a doporučení JUDr. Bezděka bude požádáno o vyplacení celé zbývající částky ve výši 2.700 tis. Kč již v roce 2019. </t>
    </r>
    <r>
      <rPr>
        <i/>
        <strike/>
        <sz val="10"/>
        <color rgb="FFFF0000"/>
        <rFont val="Arial"/>
        <family val="2"/>
        <charset val="238"/>
      </rPr>
      <t xml:space="preserve">Tato částka bude po schválení převedena rozpočtovým opatřením z kapitoly 23 – Ostatní – Specifické rezervy – jiné očekávané výdaje ve zdravotnictví do kapitoly 12 – Investiční výdaje. </t>
    </r>
  </si>
  <si>
    <r>
      <t xml:space="preserve">Změna způsobu financování - snížení podílu vlastních prostředků nemocnice. Realizace říjen - prosinec 2019 
</t>
    </r>
    <r>
      <rPr>
        <i/>
        <strike/>
        <sz val="10"/>
        <rFont val="Arial"/>
        <family val="2"/>
        <charset val="238"/>
      </rPr>
      <t>Částka 6 mil. Kč bude financována z rozpočtu kraje v případě navýšení finančních prostředků pro oblast zdravotnictví. Snížení CN o 100 tis. Kč</t>
    </r>
  </si>
  <si>
    <r>
      <t xml:space="preserve">Změna způsobu financování - snížení podílu vlastních prostředků nemocnice. Předpoklad podpisu smlouvy do 15.10.2019. Realizace říjen - prosinec 2019 
</t>
    </r>
    <r>
      <rPr>
        <i/>
        <strike/>
        <sz val="10"/>
        <color rgb="FFFF0000"/>
        <rFont val="Arial"/>
        <family val="2"/>
        <charset val="238"/>
      </rPr>
      <t xml:space="preserve">Částka 6 mil. Kč bude financována z rozpočtu kraje v případě navýšení finančních prostředků pro oblast zdravotnictví. </t>
    </r>
    <r>
      <rPr>
        <i/>
        <strike/>
        <sz val="10"/>
        <color rgb="FF0000FB"/>
        <rFont val="Arial"/>
        <family val="2"/>
        <charset val="238"/>
      </rPr>
      <t>Snížení CN o 100 tis. Kč</t>
    </r>
  </si>
  <si>
    <r>
      <t xml:space="preserve">Smlouva o dílo se zhotovitelem akce vybraným na základě výběrového řízení na dodávky. Akce fyzicky dokončena.
</t>
    </r>
    <r>
      <rPr>
        <i/>
        <strike/>
        <sz val="10"/>
        <color rgb="FFFF0000"/>
        <rFont val="Arial"/>
        <family val="2"/>
        <charset val="238"/>
      </rPr>
      <t>Akce bude financována z rozpočtu kraje v případě navýšení finančních prostředků pro oblast zdravotnictví.</t>
    </r>
  </si>
  <si>
    <t>Předpoklad v roce   2021</t>
  </si>
  <si>
    <t xml:space="preserve">čerpání proběhlo, v GINISu k 2.1. není </t>
  </si>
  <si>
    <t>snížení CN o 17 tis. Kč</t>
  </si>
  <si>
    <t>Keřka  22.8. - mají smlouvu</t>
  </si>
  <si>
    <t>Změna způsobu financování  (Jiné financování akce)</t>
  </si>
  <si>
    <t>změna financování - převod 915 tis. Kč z r. 2019 do r. 2020</t>
  </si>
  <si>
    <t>snížení CN o 45 tis. Kč,  změna financování (2,003 mil. Kč převedeno z r. 2019 do r. 2020)</t>
  </si>
  <si>
    <t>snížení CN o 25 tis. Kč, změna financování (848 tis. Kč převedeno z r. 2019 do r. 2020)</t>
  </si>
  <si>
    <t>změna financování (6,872 mil. Kč převedeno z r. 2019 do r. 2020)</t>
  </si>
  <si>
    <t>změna financování (2,617 mil. Kč převedeno z r. 2019 do r. 2020)</t>
  </si>
  <si>
    <t>snížení CN o 335 tis. Kč, změna financování (2,673 mil. Kč převedeno z r. 2019 do r. 2020)</t>
  </si>
  <si>
    <t>snížení CN o 108 tis. Kč</t>
  </si>
  <si>
    <t>změna financování - převod 500 tis. z r. 2019 do r. 2020</t>
  </si>
  <si>
    <t>Faktura na celou částku přijata 10.12.2019    NUTNÉ - průšvih, 8/19-bude 4Q</t>
  </si>
  <si>
    <t>042-33/2019/RK ze dne 31.10.2019    139-21/2019/ZK ze dne 25.11.2019</t>
  </si>
  <si>
    <r>
      <t xml:space="preserve">Probíhá příprava podkladů - tvorba zadávací dokumentace 
pro výběr zhotovitele PD, průzkum trhu.
</t>
    </r>
    <r>
      <rPr>
        <i/>
        <strike/>
        <sz val="10"/>
        <color rgb="FF0000FB"/>
        <rFont val="Arial"/>
        <family val="2"/>
        <charset val="238"/>
      </rPr>
      <t xml:space="preserve">V případě schválení přidělení investiční dotace budou finanční prostředky převedeny rozpočtovým opatřením z kapitoly 23 – Ostatní – Specifické rezervy – jiné očekávané výdaje ve zdravotnictví do kapitoly 12 – Investiční výdaje. </t>
    </r>
  </si>
  <si>
    <r>
      <t xml:space="preserve">Byl proveden průzkum trhu, vytvořen seznam přístrojů.
</t>
    </r>
    <r>
      <rPr>
        <i/>
        <strike/>
        <sz val="10"/>
        <color rgb="FF0000FB"/>
        <rFont val="Arial"/>
        <family val="2"/>
        <charset val="238"/>
      </rPr>
      <t>Akce bude financována z rozpočtu kraje v případě navýšení finančních prostředků pro oblast zdravotnictví.</t>
    </r>
  </si>
  <si>
    <t>snížení CN o 162,34 tis. Kč</t>
  </si>
  <si>
    <t>snížení CN o 393 Kč</t>
  </si>
  <si>
    <t>0005934</t>
  </si>
  <si>
    <r>
      <t>Původní</t>
    </r>
    <r>
      <rPr>
        <strike/>
        <sz val="16"/>
        <rFont val="Arial"/>
        <family val="2"/>
        <charset val="238"/>
      </rPr>
      <t xml:space="preserve"> </t>
    </r>
    <r>
      <rPr>
        <b/>
        <strike/>
        <sz val="16"/>
        <rFont val="Arial"/>
        <family val="2"/>
        <charset val="238"/>
      </rPr>
      <t xml:space="preserve">ODLOŽENÉ FINANCOVÁNÍ </t>
    </r>
    <r>
      <rPr>
        <b/>
        <strike/>
        <sz val="10"/>
        <rFont val="Arial"/>
        <family val="2"/>
        <charset val="238"/>
      </rPr>
      <t>3 mil. Kč  v</t>
    </r>
    <r>
      <rPr>
        <strike/>
        <sz val="10"/>
        <rFont val="Arial"/>
        <family val="2"/>
        <charset val="238"/>
      </rPr>
      <t xml:space="preserve"> letech 2019-2020. Realizace ukončena. </t>
    </r>
    <r>
      <rPr>
        <i/>
        <strike/>
        <sz val="10"/>
        <rFont val="Arial"/>
        <family val="2"/>
        <charset val="238"/>
      </rPr>
      <t xml:space="preserve">
</t>
    </r>
    <r>
      <rPr>
        <b/>
        <i/>
        <strike/>
        <sz val="10"/>
        <color rgb="FFFF0000"/>
        <rFont val="Arial"/>
        <family val="2"/>
        <charset val="238"/>
      </rPr>
      <t xml:space="preserve">Dne 6.11.2019 byla připsána část dotace ve výši 450.000 Kč na účet ON Kolín, a.s.; 
4.12.2019 předány na OKI podklady k proplacení částky 2.250.000 Kč, tímto je dotace zcela vyčerpána. </t>
    </r>
  </si>
  <si>
    <r>
      <t xml:space="preserve">ODLOŽENÉ FINANCOVÁNÍ </t>
    </r>
    <r>
      <rPr>
        <strike/>
        <sz val="10"/>
        <rFont val="Arial"/>
        <family val="2"/>
        <charset val="238"/>
      </rPr>
      <t>36 mil. Kč v r. 2019</t>
    </r>
  </si>
  <si>
    <t>snížení CN o 140 tis. Kč</t>
  </si>
  <si>
    <t>snížení CN o 303 tis. Kč</t>
  </si>
  <si>
    <r>
      <t xml:space="preserve">CELKEM </t>
    </r>
    <r>
      <rPr>
        <b/>
        <sz val="10"/>
        <rFont val="Arial"/>
        <family val="2"/>
        <charset val="238"/>
      </rPr>
      <t>(včetně odloženého financování)</t>
    </r>
  </si>
  <si>
    <t>Nevyčerpáno r. 2019 hodnoty</t>
  </si>
  <si>
    <t>Čerpáno 1.1.-31.12. 2020 vzorec</t>
  </si>
  <si>
    <t>Kapitálové prostředky  (před změnou č. 1)</t>
  </si>
  <si>
    <t>Poznámka - kopie z 6.1.2020</t>
  </si>
  <si>
    <t>Kapitálové prostředky  (po změně  č. 1)</t>
  </si>
  <si>
    <t>limit čerpání kap. prostředků pro rok 2020 vyplývající ze schváleného rozpočtu na rok 2020 - 10 mil. Kč</t>
  </si>
  <si>
    <t>limit čerpání kap. prostředků pro rok 2020 vyplývající ze schváleného rozpočtu na rok 2020 - 30 mil. Kč</t>
  </si>
  <si>
    <t>0006044</t>
  </si>
  <si>
    <t>0005948</t>
  </si>
  <si>
    <t>změna financování - převod 268 tis. Kč z r. 2019 do r. 2020</t>
  </si>
  <si>
    <t>0005949</t>
  </si>
  <si>
    <t>změna financování - převod 270 tis. Kč z r. 2019 do r. 2020</t>
  </si>
  <si>
    <t>0005950</t>
  </si>
  <si>
    <t>změna financování - převod 192 tis. Kč z r. 2019 do r. 2020</t>
  </si>
  <si>
    <t>0005975</t>
  </si>
  <si>
    <t>0004844</t>
  </si>
  <si>
    <t>0005987</t>
  </si>
  <si>
    <t>snížení CN o 32 tis. Kč</t>
  </si>
  <si>
    <t>0005990</t>
  </si>
  <si>
    <t>snížení CN o 79 tis. Kč</t>
  </si>
  <si>
    <t>0005992</t>
  </si>
  <si>
    <t>0005993</t>
  </si>
  <si>
    <t>0005996</t>
  </si>
  <si>
    <t>0006000</t>
  </si>
  <si>
    <t>0006002</t>
  </si>
  <si>
    <t>změna financování (43 tis. Kč převedeno z r. 2019 do r. 2020)</t>
  </si>
  <si>
    <t>0006006</t>
  </si>
  <si>
    <t>snížení CN o 335 tis. Kč</t>
  </si>
  <si>
    <t>0005956</t>
  </si>
  <si>
    <t>snížení CN o 210 tis. Kč</t>
  </si>
  <si>
    <t>limit čerpání kap. prostředků pro rok 2020 vyplývající ze schváleného rozpočtu na rok 2020 - 205 mil. Kč</t>
  </si>
  <si>
    <t>limit čerpání kap. prostředků pro rok 2020 vyplývající ze schváleného rozpočtu na rok 2020 - 80 mil. Kč</t>
  </si>
  <si>
    <t>snížení celkových nákladů o 4 tis. Kč</t>
  </si>
  <si>
    <t>změna financování - převod  39 tis. Kč z r. 2019 do r. 2020</t>
  </si>
  <si>
    <t>snížení celkových nákladů o 6 tis. Kč</t>
  </si>
  <si>
    <t>snížení celkových nákladů o 20 tis. Kč</t>
  </si>
  <si>
    <t>snížení celkových nákladů na akci o 149 tis. Kč</t>
  </si>
  <si>
    <t>změna financování - převod  1,309 mil. Kč z r. 2019 do r. 2020</t>
  </si>
  <si>
    <t>snížení celkových nákladů na akci o 46 tis. Kč</t>
  </si>
  <si>
    <t>limit čerpání kap. prostředků pro rok 2020 vyplývající ze schváleného rozpočtu na rok 2020 - 50 mil. Kč</t>
  </si>
  <si>
    <r>
      <t>Původní</t>
    </r>
    <r>
      <rPr>
        <strike/>
        <sz val="16"/>
        <rFont val="Arial"/>
        <family val="2"/>
        <charset val="238"/>
      </rPr>
      <t xml:space="preserve"> </t>
    </r>
    <r>
      <rPr>
        <b/>
        <strike/>
        <sz val="12"/>
        <rFont val="Arial"/>
        <family val="2"/>
        <charset val="238"/>
      </rPr>
      <t xml:space="preserve">ODLOŽENÉ FINANCOVÁNÍ </t>
    </r>
    <r>
      <rPr>
        <strike/>
        <sz val="10"/>
        <rFont val="Arial"/>
        <family val="2"/>
        <charset val="238"/>
      </rPr>
      <t xml:space="preserve">3 mil. Kč  v letech 2019-2020. Realizace ukončena. </t>
    </r>
    <r>
      <rPr>
        <i/>
        <strike/>
        <sz val="10"/>
        <rFont val="Arial"/>
        <family val="2"/>
        <charset val="238"/>
      </rPr>
      <t xml:space="preserve">
</t>
    </r>
  </si>
  <si>
    <r>
      <rPr>
        <b/>
        <strike/>
        <sz val="12"/>
        <rFont val="Arial"/>
        <family val="2"/>
        <charset val="238"/>
      </rPr>
      <t>ODLOŽENÉ FINANCOVÁNÍ</t>
    </r>
    <r>
      <rPr>
        <b/>
        <strike/>
        <sz val="16"/>
        <rFont val="Arial"/>
        <family val="2"/>
        <charset val="238"/>
      </rPr>
      <t xml:space="preserve"> </t>
    </r>
    <r>
      <rPr>
        <strike/>
        <sz val="10"/>
        <rFont val="Arial"/>
        <family val="2"/>
        <charset val="238"/>
      </rPr>
      <t>36 mil. Kč v r. 2019</t>
    </r>
  </si>
  <si>
    <t xml:space="preserve">Smlouva o dílo se zhotovitelem akce vybraným na základě výběrového řízení na dodávky. Akce fyzicky dokončena.                                                                                                                   </t>
  </si>
  <si>
    <t>limit čerpání kap. prostředků pro rok 2020 vyplývající ze schváleného rozpočtu na rok 2020 - 220 mil. Kč</t>
  </si>
  <si>
    <t>limit čerpání kap. prostředků pro rok 2020 vyplývající ze schváleného rozpočtu na rok 2020 - 6 mil. Kč</t>
  </si>
  <si>
    <t>limit čerpání kap. prostředků pro rok 2020 vyplývající ze schváleného rozpočtu na rok 2020 - 1 mil. Kč</t>
  </si>
  <si>
    <t>limit čerpání kap. prostředků pro rok 2020 vyplývající ze schváleného rozpočtu na rok 2020 - 8 mil. Kč</t>
  </si>
  <si>
    <t>změna financování - převod 118 tis. z r. 2019 do r. 2020</t>
  </si>
  <si>
    <t>Změna PD, nově vyhlášeno VZMR, změna financování - přesun 522 tis. Kč z r. 2019 do r. 2020</t>
  </si>
  <si>
    <t>0006034</t>
  </si>
  <si>
    <t>změna financování - přesun 226 tis. Kč z r. 2019 do r. 2020</t>
  </si>
  <si>
    <t>0006035</t>
  </si>
  <si>
    <t>změna financování - přesun 15 tis. Kč z r. 2019 do r. 2020</t>
  </si>
  <si>
    <t>limit čerpání kap. prostředků pro rok 2020 vyplývající ze schváleného rozpočtu na rok 2020 - 70 mil. Kč</t>
  </si>
  <si>
    <t>limit čerpání kap. prostředků pro rok 2020 vyplývající ze schváleného rozpočtu na rok 2020 - 700 mil. Kč</t>
  </si>
  <si>
    <t>čerpání 1.11.-31.12. 2019   k 6.1. - nedoplněno od 7.1.</t>
  </si>
  <si>
    <t xml:space="preserve"> převod do ZP</t>
  </si>
  <si>
    <t>převod do ZP</t>
  </si>
  <si>
    <t>Jiné financování akce)</t>
  </si>
  <si>
    <t>zvýšení ceny o 175 tis. Kč na základě VZMR - hrazeno z vl. zdrojů PO (změna způsobu financování)</t>
  </si>
  <si>
    <t>2019 nevyčerpáno k 10.1.2020</t>
  </si>
  <si>
    <t>048-24/2019/RK ze dne  29.7.2019 088-20/2019/ZK ze dne 26.8.2019</t>
  </si>
  <si>
    <t>066-02/2020/RK ze dne 13.1.2020    071-22/2020/ZK ze dne 27.1.2020</t>
  </si>
  <si>
    <t>celkem zbývá rozplánovat (musí být rovno nule)</t>
  </si>
  <si>
    <t>Čerpáno k aktuálnímu datu 2019 (u zm.č.6=1/2020 k 31.12.20219)</t>
  </si>
  <si>
    <t xml:space="preserve">Předpokládané čtvrtletní čerpání - 2019 </t>
  </si>
  <si>
    <t>Finanční prostředky roku 2019 (u zm. č.6  r.2020)</t>
  </si>
  <si>
    <t>Kapitálové prostředky  na rok xxxx (před změnou č. X)</t>
  </si>
  <si>
    <t>Změna č. X</t>
  </si>
  <si>
    <t>Kapitálové prostředky  na rok 2019 (po změně č. X), u zm. č.6 na r. 2020</t>
  </si>
  <si>
    <t>Poznámka  - kopie z 26.1.2020</t>
  </si>
  <si>
    <t>Čerpáno k 31.12. 2019</t>
  </si>
  <si>
    <t>rozplánování           r. 2020 (musí být rovno nule)</t>
  </si>
  <si>
    <t>stavebně ukončeno</t>
  </si>
  <si>
    <t>Čerpáno 1.1.-31.1. 2020</t>
  </si>
  <si>
    <t>celkem čerpáno k 31.12. 2019</t>
  </si>
  <si>
    <t>Plán čerpání r.  2020</t>
  </si>
  <si>
    <t>4b</t>
  </si>
  <si>
    <t>okres</t>
  </si>
  <si>
    <t>asi 10</t>
  </si>
  <si>
    <t>doplněno navíc</t>
  </si>
  <si>
    <t>23/2020/INF</t>
  </si>
  <si>
    <t>Rozšíření GINIS</t>
  </si>
  <si>
    <t>Čerpáno k 31.12. 2018 + r.2019</t>
  </si>
  <si>
    <t>Snížení ceny při realizaci akce o 521 698,- Kč</t>
  </si>
  <si>
    <t>snížení ceny o 226 251,20 Kč</t>
  </si>
  <si>
    <t>Rekonstrukce el. sítě a osvětlení pro Domov Rožďalovice</t>
  </si>
  <si>
    <t>snížení ceny o 14 942,90 Kč</t>
  </si>
  <si>
    <t>Čerpáno 1.2.-29.2. 2020</t>
  </si>
  <si>
    <t>REALIZACE - VRÁCENO DO AKTIVNÍHO SOUBORU</t>
  </si>
  <si>
    <t>11/2021</t>
  </si>
  <si>
    <t>10/2021</t>
  </si>
  <si>
    <t>Snížení CN o 43 tis Kč - úspora při stavebních pracích</t>
  </si>
  <si>
    <t>11/2022</t>
  </si>
  <si>
    <t>Instalace a oprava svodidel u silnic II. a III.tříd</t>
  </si>
  <si>
    <t>228/2020/DOP</t>
  </si>
  <si>
    <t>III/1265 Sedmpány - úprava odvodnění</t>
  </si>
  <si>
    <t>III/2751 Nemyslovice - Velké Všelisy</t>
  </si>
  <si>
    <t>měl ukončeno 3.3.2020 - asi čeká na platbu</t>
  </si>
  <si>
    <t>změna financování - přesun 200 tis. Kč z r. 2020 do roku 2021</t>
  </si>
  <si>
    <t>Výkup nové přípojky elektřiny Bratronice</t>
  </si>
  <si>
    <t>snížení celkových nákladů o 294 tis. Kč</t>
  </si>
  <si>
    <t>snížení celkových nákladů o 54 tis. Kč</t>
  </si>
  <si>
    <t>66/2020/KUL</t>
  </si>
  <si>
    <t>Vybudování vnitřního osvětlení komunikace v areálu SM v Roztokách u Prahy</t>
  </si>
  <si>
    <t>67/2020/KUL</t>
  </si>
  <si>
    <t>Rekonstrukce historického hospodářského stavení v Dolní Krupé</t>
  </si>
  <si>
    <t>68/2020/KUL</t>
  </si>
  <si>
    <t>69/2020/KUL</t>
  </si>
  <si>
    <t>Převoz seníku z Rokytnice nad Jizerou</t>
  </si>
  <si>
    <t>70/2020/KUL</t>
  </si>
  <si>
    <t>Umělecká kopie Kutnohorské iluminace</t>
  </si>
  <si>
    <t>Český Brod - obnova elektroinstalace</t>
  </si>
  <si>
    <t>Poznámka z cca 20.1.2020</t>
  </si>
  <si>
    <t>snížení celkových nákladů o 1,309 mil. Kč</t>
  </si>
  <si>
    <t>akce zrušená (původní plán. nákl.  22 tis. Kč)</t>
  </si>
  <si>
    <t>15/2020/MJT</t>
  </si>
  <si>
    <t>financováno z vlastních zdrojů  (400 tis.)</t>
  </si>
  <si>
    <t>hrazeno z PzP (1250 tis.)</t>
  </si>
  <si>
    <t>0006078</t>
  </si>
  <si>
    <t>0006080</t>
  </si>
  <si>
    <t>0006082</t>
  </si>
  <si>
    <t>0006083</t>
  </si>
  <si>
    <t>akce sloučena s akcí 96/2019/SKOL (ADA 6078)</t>
  </si>
  <si>
    <t>148/2020/SKOL</t>
  </si>
  <si>
    <t>Dokončení zateplení fasád budovy dílen odborného výcviku</t>
  </si>
  <si>
    <t>149/2020/SKOL</t>
  </si>
  <si>
    <t xml:space="preserve">Instruktážní nácviková hala </t>
  </si>
  <si>
    <t>151/2020/SKOL</t>
  </si>
  <si>
    <t>157/2020/SKOL</t>
  </si>
  <si>
    <t>Dům dětí a mládeže „Na Výstavišti“, Mladá Boleslav, Husova 201</t>
  </si>
  <si>
    <t>Stavební úpravy pro zřízení ošetřovny a izolace</t>
  </si>
  <si>
    <t>159/2020/SKOL</t>
  </si>
  <si>
    <t>Gymnázium Jiřího z Poděbrad, Poděbrady, Studentská 166</t>
  </si>
  <si>
    <t>PD - přístavba jižního křídla</t>
  </si>
  <si>
    <t>160/2020/SKOL</t>
  </si>
  <si>
    <t>Přestavba stávajících prostor kotelny na dílny odborného výcviku</t>
  </si>
  <si>
    <t>165/2020/SKOL</t>
  </si>
  <si>
    <t>Krmný vůz</t>
  </si>
  <si>
    <t>plán. CN v r. 2021 1 mil. Kč</t>
  </si>
  <si>
    <t>Ukončeno, dotace vyčerpána. Snížení CN o 774 tis. Kč, snížení podílu SK o 1.125 mil. Kč, zvýšení podílu PO o 351 tis. Kč</t>
  </si>
  <si>
    <t>Poznámka z 13.3.2020</t>
  </si>
  <si>
    <t>13.3.20 - převod čerpání z r. 2020 do 2019,   bezpečnostní záležitost</t>
  </si>
  <si>
    <t>0005939</t>
  </si>
  <si>
    <t>0005940</t>
  </si>
  <si>
    <t xml:space="preserve">Čerpáno 1.3.-31.3. 2020 </t>
  </si>
  <si>
    <t>Čerpáno 1.1.-31.3. 2020</t>
  </si>
  <si>
    <t>0006053</t>
  </si>
  <si>
    <t>Poznámka  - kopie z 26.3.2019</t>
  </si>
  <si>
    <t>Kapitálové prostředky  (před změnou č. 3)</t>
  </si>
  <si>
    <t>Kapitálové prostředky  (po změně  č. 3)</t>
  </si>
  <si>
    <t>Změna č. 3</t>
  </si>
  <si>
    <t>Finanční prostředky r. 2020</t>
  </si>
  <si>
    <t>Plán čerpání r.  2021</t>
  </si>
  <si>
    <t>rozplánování           r. 2021 (musí být rovno nule)</t>
  </si>
  <si>
    <t>Čerpáno 1.4.-30.4. 2020</t>
  </si>
  <si>
    <t>0006071</t>
  </si>
  <si>
    <t>Čerpáno 1.5.-31.5. 2020</t>
  </si>
  <si>
    <t>snížení CN o 153 tis. Kč</t>
  </si>
  <si>
    <t>Středočeský portál služeb</t>
  </si>
  <si>
    <t>2/2020/ŘDP</t>
  </si>
  <si>
    <t>Aktuální stav (Příprava VZ, Probíhá VZ, Realizace, Finanční vypořádání, Ukončeno,  Zrušeno)</t>
  </si>
  <si>
    <t>Rekonstrukce elektroinstalace, rozvodu vody a odpadů v DOZP</t>
  </si>
  <si>
    <t>Snížení CN o 118 tis. Kč</t>
  </si>
  <si>
    <t>Snížení ceny o 117 846 Kč v průběhu realizace akce</t>
  </si>
  <si>
    <t>Nákup nem. pro den. stac a odl. sl. v okr. Rakovník</t>
  </si>
  <si>
    <t>Akce zrušena z důvodu úhrady akce z kap. 17.   (pův. CN 680 tis. Kč)</t>
  </si>
  <si>
    <t xml:space="preserve">Akce zrušena z důvodu úhrady akce z kap. 17.   (pův. CN 680 tis. Kč). Finanční prostředky převedeny na AKCI: </t>
  </si>
  <si>
    <t xml:space="preserve">Rekonstrukce pokojů III. etapa </t>
  </si>
  <si>
    <t>132/2020/SOC</t>
  </si>
  <si>
    <t>16/2020/MJT</t>
  </si>
  <si>
    <t>Rekonstrukce podatelny KÚ - část pro veřejnost</t>
  </si>
  <si>
    <t>17/2020/MJT</t>
  </si>
  <si>
    <t>Dělící prosklené stěny v budově KÚ</t>
  </si>
  <si>
    <t>duplicita (pův. 4,9 mil. Kč)</t>
  </si>
  <si>
    <t>financované z jiných zdrojů (pův. CN 1,5 mil. Kč)</t>
  </si>
  <si>
    <t>0006256</t>
  </si>
  <si>
    <t>akce financována z jiných zdrojů (PzP) - celkové náklady 515 tis. Kč</t>
  </si>
  <si>
    <t>12/2023</t>
  </si>
  <si>
    <t>0006244</t>
  </si>
  <si>
    <t>0006243</t>
  </si>
  <si>
    <t xml:space="preserve">Poznámka </t>
  </si>
  <si>
    <t>Čerpáno 1.6.-30.6. 2020</t>
  </si>
  <si>
    <t xml:space="preserve">zrušeno z důvodu změny způsobu financování - z kap. 5 (původní celkové náklady 5,807 mil. Kč) - objekt v Čáslavi se prodal, výnos předán na kapitolu 5, </t>
  </si>
  <si>
    <t>Akce zrušena v návaznosti na RK 22. 6. 2020, snížení celkových nákladů o 200 tis. Kč</t>
  </si>
  <si>
    <t>akce ukončená, snížení celkových nákladů o 179 tis. Kč</t>
  </si>
  <si>
    <t>akce ukončená, snížení celkových nákladů o 179,43 tis. Kč</t>
  </si>
  <si>
    <t>0006269</t>
  </si>
  <si>
    <t>71/2020/KUL</t>
  </si>
  <si>
    <t>72/2020/KUL</t>
  </si>
  <si>
    <t>probíhá soudní spor</t>
  </si>
  <si>
    <t>Finanční vypořádání</t>
  </si>
  <si>
    <t>6/2022</t>
  </si>
  <si>
    <t>snížení nákladů o 270 tis Kč</t>
  </si>
  <si>
    <t>snížení nákladů o 192 tis Kč</t>
  </si>
  <si>
    <t>převod do ZP (pův. 6,872 mil. Kč)</t>
  </si>
  <si>
    <t>Netvořice III/1056, III/1057, III/1059, III/10510, III/1065</t>
  </si>
  <si>
    <t>238/2020/DOP</t>
  </si>
  <si>
    <t>239/2020/DOP</t>
  </si>
  <si>
    <t>241/2020/DOP</t>
  </si>
  <si>
    <t>III/22918 Kounov</t>
  </si>
  <si>
    <t>242/2020/DOP</t>
  </si>
  <si>
    <t>III/23628 Drnek</t>
  </si>
  <si>
    <t>243/2020/DOP</t>
  </si>
  <si>
    <t>II/113 Mrzky</t>
  </si>
  <si>
    <t>244/2020/DOP</t>
  </si>
  <si>
    <t>245/2020/DOP</t>
  </si>
  <si>
    <t>III/1018 Dolní Lomnice</t>
  </si>
  <si>
    <t>246/2020/DOP</t>
  </si>
  <si>
    <t>III/1064 Nedvězí</t>
  </si>
  <si>
    <t>247/2020/DOP</t>
  </si>
  <si>
    <t>III/00412, III/10227 Dlouhá Lhota</t>
  </si>
  <si>
    <t>248/2020/DOP</t>
  </si>
  <si>
    <t>III/24424 Čečelice</t>
  </si>
  <si>
    <t>249/2020/DOP</t>
  </si>
  <si>
    <t>III/32819 Běrunice</t>
  </si>
  <si>
    <t>250/2020/DOP</t>
  </si>
  <si>
    <t>III/10228 Svaté Pole</t>
  </si>
  <si>
    <t>III/24424, III/2752 Kostelní Hlavno</t>
  </si>
  <si>
    <t>III/23919 Želevčice</t>
  </si>
  <si>
    <t>Čerpáno 1.4.-30.6. 2020</t>
  </si>
  <si>
    <t>Snížení celkových nákladů o 268 tis Kč</t>
  </si>
  <si>
    <t>akce převedena na Kap. 11 (pův. 50 mil. Kč)</t>
  </si>
  <si>
    <t>Snížení CN o 943 tis. Kč  - úspora výběrovým řízením</t>
  </si>
  <si>
    <t>Změna způsobu financování - z kap. 5 (původní celkové náklady 5,807 mil. Kč)</t>
  </si>
  <si>
    <t>Změna způsobu financování - akce financována z jiných zdrojů (PzP) - celkové náklady 515 tis. Kč</t>
  </si>
  <si>
    <t>Čerpáno 1.1.-30.6. 2020</t>
  </si>
  <si>
    <t>025-13/2020/RK ze dne 30.3.2020 115-24/2020/ZK ze dne 1.6.2020</t>
  </si>
  <si>
    <t>251/2020/DOP</t>
  </si>
  <si>
    <t>252/2020/DOP</t>
  </si>
  <si>
    <t>0006327</t>
  </si>
  <si>
    <t>0006218</t>
  </si>
  <si>
    <t>Poznámka neveřejná z 13.7.2020</t>
  </si>
  <si>
    <t>036-53/2020/RK ze dne 20.7.2020  130-26/2020/ZK ze dne 3.8.2020</t>
  </si>
  <si>
    <t>Zásobník investic Středočeského kraje na rok 2020 - změna č. 4</t>
  </si>
  <si>
    <t>Čerpáno 1.7.-31.7. 2020</t>
  </si>
  <si>
    <t>0006294</t>
  </si>
  <si>
    <t>Čerpáno 1.8.-31.8. 2020</t>
  </si>
  <si>
    <t>USN č. 050-06/2020/RK ze dne 17.2.2020 - navýšit o tuto částku limit ZI pro SKOL 2020 a použít na akci přestavba kotelny na dílny - SOŠ a OUŘ Kutná Hora - nesplněno (termín 30.4.2020, Z Cingr)</t>
  </si>
  <si>
    <t>Čerpáno 1.9.-30.9. 2020</t>
  </si>
  <si>
    <t>1.Q</t>
  </si>
  <si>
    <t>2.Q</t>
  </si>
  <si>
    <t>3.Q</t>
  </si>
  <si>
    <t>4.Q</t>
  </si>
  <si>
    <t>předpoklad čerpání r. 2021</t>
  </si>
  <si>
    <t xml:space="preserve"> společná investice se SŽDC</t>
  </si>
  <si>
    <t>mimo rozpočet SK</t>
  </si>
  <si>
    <t>139/2020/ZDR</t>
  </si>
  <si>
    <t>0006412</t>
  </si>
  <si>
    <t>Pavilon centrálního příjmu</t>
  </si>
  <si>
    <t>142/2020/ZDR</t>
  </si>
  <si>
    <t>0006414</t>
  </si>
  <si>
    <t>Rekonstrukce objektu SO 03, pavilon "O"</t>
  </si>
  <si>
    <t>143/2020/ZDR</t>
  </si>
  <si>
    <t>Rekonstrukce objektu SO 05, pavilon "E"</t>
  </si>
  <si>
    <t>144/2020/ZDR</t>
  </si>
  <si>
    <t>0006419</t>
  </si>
  <si>
    <t>Pavilon č. 4 (etapa 2)</t>
  </si>
  <si>
    <t xml:space="preserve">ZZS SČK, p. o. </t>
  </si>
  <si>
    <t>146/2020/ZDR</t>
  </si>
  <si>
    <t>Vybudování nového stanoviště ZZS SK, Benešov</t>
  </si>
  <si>
    <t>147/2020/ZDR</t>
  </si>
  <si>
    <t>Vybudování nového stanoviště ZZS SK, Říčany</t>
  </si>
  <si>
    <t>148/2020/ZDR</t>
  </si>
  <si>
    <t>ON Příbram, a. s.</t>
  </si>
  <si>
    <t>150/2020/ZDR</t>
  </si>
  <si>
    <t>0006413</t>
  </si>
  <si>
    <t>Rekonstrukce 2. NP pavilonu E v areálu 2 (léčebna dlouhodobě nemocných)</t>
  </si>
  <si>
    <t>136/2020/SOC</t>
  </si>
  <si>
    <t>137/2020/SOC</t>
  </si>
  <si>
    <t>Domov seniorů Jenštejn</t>
  </si>
  <si>
    <t>Rozšíření kapacity Domova seniorů Jenštejn</t>
  </si>
  <si>
    <t>138/2020/SOC</t>
  </si>
  <si>
    <t>Rozšíření objektu Domov u Anežky Luštenice</t>
  </si>
  <si>
    <t>139/2020/SOC</t>
  </si>
  <si>
    <t>Revitalizace Domova seniorů Vidim</t>
  </si>
  <si>
    <t>140/2020/SOC</t>
  </si>
  <si>
    <t>18/2020/MJT</t>
  </si>
  <si>
    <t>6/2023</t>
  </si>
  <si>
    <t>10/2022</t>
  </si>
  <si>
    <t>9/2022</t>
  </si>
  <si>
    <t>7/2022</t>
  </si>
  <si>
    <t>III/12540, III/12547 Radovesnice I</t>
  </si>
  <si>
    <t>253/2020/DOP</t>
  </si>
  <si>
    <t>Projekt značení- vyznačení odboček na expoziční objekty Středočeského kraje</t>
  </si>
  <si>
    <t>II/322 Týnec nad Labem, most ev.č.322-005-oprava mostu v režimu "vyprojektuj a postav" ve smyslu Žluté knihy FIDIC</t>
  </si>
  <si>
    <t>11/2023</t>
  </si>
  <si>
    <t>254/2020/DOP</t>
  </si>
  <si>
    <t>Rekonstrukce Tylova domu v Kutné Hoře</t>
  </si>
  <si>
    <t>Probíhá příprava dohody o narovnání mezi SČK a SŽDC, Dohoda k posouzení je na SŽDC. Probíhají stále jednání se SŽDC.</t>
  </si>
  <si>
    <t>0006420</t>
  </si>
  <si>
    <t>Silnice II/101 Zákolany sanace svahu a silnice po havarii</t>
  </si>
  <si>
    <t>0004859</t>
  </si>
  <si>
    <t>0006290</t>
  </si>
  <si>
    <t>0006432</t>
  </si>
  <si>
    <t>0006322</t>
  </si>
  <si>
    <t>0006282</t>
  </si>
  <si>
    <t>0006489</t>
  </si>
  <si>
    <t>čerpání r.2021</t>
  </si>
  <si>
    <t>úvěr EIB</t>
  </si>
  <si>
    <t>Rekonstrukce 2. NP a 3. NP</t>
  </si>
  <si>
    <t>040-84/2020/RK ze dne 26.11.2020  021-02/2020/ZK ze dne 14.12.2020</t>
  </si>
  <si>
    <t>Výkup pozemků (včetně pod stávající sítí) - silniční síť</t>
  </si>
  <si>
    <t>FINANČNÍ VYPOŘÁDÁNÍ</t>
  </si>
  <si>
    <t>040-84/2020/RK ze dne 26.11.2020 021-2/2020/ZK ze dne 14.12.2020</t>
  </si>
  <si>
    <t>Akce bude využívána v případě potřeby dalšího investování do zabezpečení IS KÚ.</t>
  </si>
  <si>
    <t>27/2021/INF</t>
  </si>
  <si>
    <t>Portál Středočeského kraje</t>
  </si>
  <si>
    <t>74/2021/KUL</t>
  </si>
  <si>
    <t>Konverze historické budovy Středočeské vědecké knihovny v Kladně</t>
  </si>
  <si>
    <t>75/2021/KUL</t>
  </si>
  <si>
    <t>Vybudování expozice a související náklady s adaptací objektu PM Český Brod</t>
  </si>
  <si>
    <t>76/2021/KUL</t>
  </si>
  <si>
    <t>Hornický domek v areálu Ševčinské štoly</t>
  </si>
  <si>
    <t>2/2022</t>
  </si>
  <si>
    <t>8/2021</t>
  </si>
  <si>
    <t>4/2022</t>
  </si>
  <si>
    <t>1/2023</t>
  </si>
  <si>
    <t xml:space="preserve"> Dokončena projektová dokumentace</t>
  </si>
  <si>
    <t>Rekonstrukce elektroinstalace tech. zázemí domova a rekonstrukce vodoinstalace tech. zázemí domova</t>
  </si>
  <si>
    <t>12/2024</t>
  </si>
  <si>
    <t>12/2025</t>
  </si>
  <si>
    <t>11/2024</t>
  </si>
  <si>
    <t>II/339 Štipoklasy - Červené Janovice</t>
  </si>
  <si>
    <t>256/2021/DOP</t>
  </si>
  <si>
    <t>III/1114 Líšno, svah a část vozovky</t>
  </si>
  <si>
    <t>3/2023</t>
  </si>
  <si>
    <t>151/2020/ZDR</t>
  </si>
  <si>
    <t>Ústavní kuchyně a jídelna, Kladno</t>
  </si>
  <si>
    <t>77/2021/KUL</t>
  </si>
  <si>
    <t>78/2021/KUL</t>
  </si>
  <si>
    <t>sloučené, rozdělené, přejmenované akce, změna financování, změna způsobu financování, převod do jiného odboru</t>
  </si>
  <si>
    <t>písmo škrtnuto</t>
  </si>
  <si>
    <t>Nákup autobusové zastávky Přerov nad Labem</t>
  </si>
  <si>
    <t>0003625</t>
  </si>
  <si>
    <t>0006590</t>
  </si>
  <si>
    <t>0006589</t>
  </si>
  <si>
    <t>0005997</t>
  </si>
  <si>
    <t>0006591</t>
  </si>
  <si>
    <t>Pozn. - číselné hodnoty finančních prostředků jsou ukládány s přesností na haléře, pro přehlednost jsou zobrazovány zaokrouhleně na celé tis. Kč.</t>
  </si>
  <si>
    <t xml:space="preserve"> 037-16/2021/RK ze dne 8.4.2021     027-06/2021/ZK ze dne 26.4.2021</t>
  </si>
  <si>
    <t>Náhrada stávajících (nevyhovujících)  internetových stránek</t>
  </si>
  <si>
    <t>142/2021/SOC</t>
  </si>
  <si>
    <t>Demolice  bourací práce objektu č.p. 1488 Domov Kladno-Švermov</t>
  </si>
  <si>
    <t>141/2021/SOC</t>
  </si>
  <si>
    <t>Rekonstrukce fasády  včetně rozvodů STA a IT</t>
  </si>
  <si>
    <t>19/2020/MJT</t>
  </si>
  <si>
    <t>Stavebně ukončeno, zádržné ve výši 720 782,25 Kč bude vyplaceno po 13.9.2023</t>
  </si>
  <si>
    <t>Zpracovaná studie</t>
  </si>
  <si>
    <t>stavebně hotovo, čeká proplacení doplatku</t>
  </si>
  <si>
    <t>Připraveno, není finanční krytí</t>
  </si>
  <si>
    <t>stavba realizovaná, vypořádání a úvodní servis vah + kalibrace</t>
  </si>
  <si>
    <t>stavebně hotovo I. etapa, proplacení I etapy</t>
  </si>
  <si>
    <t>Stellplatz Vrchbělá - stání pro karavany a obytná auta v areálu Vrchbělá</t>
  </si>
  <si>
    <t>Rekonstrukce a přístavba budovy N a D2</t>
  </si>
  <si>
    <t>11/2019/MJT</t>
  </si>
  <si>
    <t>8/2019/MJT</t>
  </si>
  <si>
    <t>CELKEM 02 - Odbor majetku a hospodářské správy</t>
  </si>
  <si>
    <t>CELKEM 26 - Odbor veřejné mobility</t>
  </si>
  <si>
    <t>CELKEM 25 - Odbor bezpečnosti a krizového řízení</t>
  </si>
  <si>
    <t>0006642</t>
  </si>
  <si>
    <t xml:space="preserve"> Kap. 12    celkem             </t>
  </si>
  <si>
    <t>CELKEM 08 - Oddělení regionálního rozvoje</t>
  </si>
  <si>
    <t>III/33348 Kostelec n. Č. lesy</t>
  </si>
  <si>
    <t>051-39/2017/RK ze dne 13.11.2017          028-11/2017/ZK ze dne  5.12.2017</t>
  </si>
  <si>
    <t xml:space="preserve"> 046-25/2021/RK ze dne 10.6.2021  015-08/2021/ZK ze dne 28.6.2021</t>
  </si>
  <si>
    <t>143/2021/SOC</t>
  </si>
  <si>
    <t>Rekonstrukce koupelen II. Etapa</t>
  </si>
  <si>
    <t>144/2021/SOC</t>
  </si>
  <si>
    <t xml:space="preserve">Rekonstrukce společných koupelen </t>
  </si>
  <si>
    <t>145/2021/SOC</t>
  </si>
  <si>
    <t>Výměna - repase oken</t>
  </si>
  <si>
    <t>Poslední etapa repase oken - zabránění úniku tepla.</t>
  </si>
  <si>
    <t>146/2021/SOC</t>
  </si>
  <si>
    <t>Rekonstrukce terasy</t>
  </si>
  <si>
    <t>Do terasy zatéká,  což způsobuje další škody.</t>
  </si>
  <si>
    <t>257/2021/DOP</t>
  </si>
  <si>
    <t xml:space="preserve"> 046-25/2021/RK ze dne 10.6.2021     015-08/2021/ZK ze dne 28.6.2021</t>
  </si>
  <si>
    <t>20/2021/MJT</t>
  </si>
  <si>
    <t>21/2021/MJT</t>
  </si>
  <si>
    <t>Elektromobilita - vozový park KÚ</t>
  </si>
  <si>
    <t>22/2021/MJT</t>
  </si>
  <si>
    <t xml:space="preserve">PD + Rekonstrukce osvětlení  - veřejné prostory KÚ </t>
  </si>
  <si>
    <t>23/2021/MJT</t>
  </si>
  <si>
    <t>0004912</t>
  </si>
  <si>
    <t>navazující investice přístupového chodníku v souvislostí s akcí Prodloužení podchodu Roztoky</t>
  </si>
  <si>
    <t>0006703</t>
  </si>
  <si>
    <t>0006704</t>
  </si>
  <si>
    <t>0006705</t>
  </si>
  <si>
    <t>0006706</t>
  </si>
  <si>
    <t>0006707</t>
  </si>
  <si>
    <t>0006708</t>
  </si>
  <si>
    <t>0006709</t>
  </si>
  <si>
    <t>0006710</t>
  </si>
  <si>
    <t>0006711</t>
  </si>
  <si>
    <t>3/2021/OVM</t>
  </si>
  <si>
    <t>Propojení cyklistických tras Středočeský kraj - Praha, orientační dopravní značení</t>
  </si>
  <si>
    <t>4/2021/OVM</t>
  </si>
  <si>
    <t xml:space="preserve">Vyznačení odboček z cyklotras na expoziční objekty, orientační dopravní značení </t>
  </si>
  <si>
    <t>5/2021/OVM</t>
  </si>
  <si>
    <t>ORP</t>
  </si>
  <si>
    <t>040-84/2020/RK ze dne 26.11.2020  021-2/2020/ZK ze dne 14.12.2020</t>
  </si>
  <si>
    <t>III/1185 a III11811 Obecnice</t>
  </si>
  <si>
    <t>BENEŠOV-TS BN 0451 Domov seniorů-kompaktní trafostanice BPP</t>
  </si>
  <si>
    <t>celý kraj</t>
  </si>
  <si>
    <t>Mladá Boleslav</t>
  </si>
  <si>
    <t>Černošice</t>
  </si>
  <si>
    <t>Sedlčany</t>
  </si>
  <si>
    <t>Kralupy n VLT</t>
  </si>
  <si>
    <t>Říčany</t>
  </si>
  <si>
    <t>Brandýs nad Labem</t>
  </si>
  <si>
    <t>Neratovice</t>
  </si>
  <si>
    <t>Benešov</t>
  </si>
  <si>
    <t>Kutná Hora</t>
  </si>
  <si>
    <t>Kolín, Neratovice</t>
  </si>
  <si>
    <t>Nymburk</t>
  </si>
  <si>
    <t>Beroun</t>
  </si>
  <si>
    <t>Kolín</t>
  </si>
  <si>
    <t>Slaný</t>
  </si>
  <si>
    <t>Mnichovo Hradiště</t>
  </si>
  <si>
    <t>Rakovník</t>
  </si>
  <si>
    <t>Poděbrady</t>
  </si>
  <si>
    <t>Kladno</t>
  </si>
  <si>
    <t>Příbram</t>
  </si>
  <si>
    <t>Český Brod</t>
  </si>
  <si>
    <t>Mělník</t>
  </si>
  <si>
    <t>Dobříš</t>
  </si>
  <si>
    <t>Vlašim</t>
  </si>
  <si>
    <t>152/2021/ZDR</t>
  </si>
  <si>
    <t>Vybudování nového stanoviště ZZS SK, Brandýs nad Labem</t>
  </si>
  <si>
    <t>0005954</t>
  </si>
  <si>
    <t>0006720</t>
  </si>
  <si>
    <t>0006721</t>
  </si>
  <si>
    <t>0006724</t>
  </si>
  <si>
    <t>požadavek r. 2022</t>
  </si>
  <si>
    <t>podněty PČR, připraveny návrhy zlepšení BESIP</t>
  </si>
  <si>
    <t>předpoklad posunu zahájení rekonstrukce mostu do roku 2023- není finanční krytí inv akce</t>
  </si>
  <si>
    <t>Nutné řešení akutní situace. Čeká na spolusouvisející inv. akci - řešení odvodnění s obcí.</t>
  </si>
  <si>
    <t xml:space="preserve"> 080-32/2021/RK ze dne   26.8.2021     021-09/2021/ZK ze dne 13.9.2021</t>
  </si>
  <si>
    <t xml:space="preserve"> 080-32/2021/RK ze dne  26.8.2021     021-09/2021/ZK ze dne 13.9.2021</t>
  </si>
  <si>
    <t>Hořovice</t>
  </si>
  <si>
    <t>Lysá nad Labem</t>
  </si>
  <si>
    <t>Kralupy nad Vltavou</t>
  </si>
  <si>
    <t>Votice</t>
  </si>
  <si>
    <t>Brandýs nad Labem -Stará Boleslav</t>
  </si>
  <si>
    <t>hořovice</t>
  </si>
  <si>
    <t>Nákup a obnova výpočetní techniky a zařízení</t>
  </si>
  <si>
    <t>Pořízení nových kopírovacích strojů pro KÚ</t>
  </si>
  <si>
    <t>Instalace klimatizačních jednotek do vybraných kanceláří ve druhém patře budovy KÚ</t>
  </si>
  <si>
    <t>Rekonstrukce osvětlení v zasedací místnosti 1015 KÚ</t>
  </si>
  <si>
    <t>Výměna garážových vrat na KÚ</t>
  </si>
  <si>
    <t>Akustická úprava místnosti videokonference KÚ</t>
  </si>
  <si>
    <t>Modernizace schodišťové plošiny pro invalidy - vstup "C" KÚ</t>
  </si>
  <si>
    <t>Obměna vozového parku KÚ- kategorie nižší střední</t>
  </si>
  <si>
    <t>PD + Výměna rekonstrukce výtahu "B" KÚ</t>
  </si>
  <si>
    <t>24/2021/MJT</t>
  </si>
  <si>
    <t>Chytrý úřad - elektronický vnitřní informační systém KÚ</t>
  </si>
  <si>
    <t>Rozhodnutí vedení Krajského úřadu Středočeského kraje - chytrý vnitřní informační  a navigační systém.</t>
  </si>
  <si>
    <t xml:space="preserve">016-06/2017/RK ze dne 16.2.2017  022-04/2017/ZK ze dne 7.3.2017     </t>
  </si>
  <si>
    <t>173/2021/SKOL</t>
  </si>
  <si>
    <t>Vybudování přípojek k napojení na obecní kanalizaci vč. projektu</t>
  </si>
  <si>
    <t>174/2021/SKOL</t>
  </si>
  <si>
    <t>175/2021/SKOL</t>
  </si>
  <si>
    <t>176/2021/SKOL</t>
  </si>
  <si>
    <t>177/2021/SKOL</t>
  </si>
  <si>
    <t>Základní škola, Zruč nad Sázavou, Okružní 643</t>
  </si>
  <si>
    <t>178/2021/SKOL</t>
  </si>
  <si>
    <t>179/2021/SKOL</t>
  </si>
  <si>
    <t>180/2021/SKOL</t>
  </si>
  <si>
    <t>Základní škola, Brandýs nad Labem - Stará Boleslav, příspěvková organizace</t>
  </si>
  <si>
    <t xml:space="preserve">Nejprve nutná studie a PD, prioritní akce </t>
  </si>
  <si>
    <t>181/2021/SKOL</t>
  </si>
  <si>
    <t>182/2021/SKOL</t>
  </si>
  <si>
    <t>Integrovaná střední škola, Mladá Boleslav, Na Karmeli 206</t>
  </si>
  <si>
    <t>Úprava půdních prostorů DM Jaselská</t>
  </si>
  <si>
    <t>183/2021/SKOL</t>
  </si>
  <si>
    <t>184/2021/SKOL</t>
  </si>
  <si>
    <t>185/2021/SKOL</t>
  </si>
  <si>
    <t xml:space="preserve">Rekonstrukce kuchyně </t>
  </si>
  <si>
    <t>186/2021/SKOL</t>
  </si>
  <si>
    <t>Rozšíření teplé vody na toaletách</t>
  </si>
  <si>
    <t>Plynová přípojka zemního plynu do dílen</t>
  </si>
  <si>
    <t>Snížení energetické náročnosti domova Sedlčany - výměna oken a balkonových sestav a zateplení</t>
  </si>
  <si>
    <t xml:space="preserve">Rekonstrukce posledních 5 ti společných koupelen tak, aby byly všechny bezbarierové. Rekonstrukce umožní zlepšení hygienických podmínek.  </t>
  </si>
  <si>
    <t>nymburk</t>
  </si>
  <si>
    <t xml:space="preserve">III/0172 Opatovice I, most ev.č.0172-1 </t>
  </si>
  <si>
    <t>258/2021/DOP</t>
  </si>
  <si>
    <t>Okružní křižovatky Nymburk II/503xII/330 a II/503xII/331</t>
  </si>
  <si>
    <t>259/2021/DOP</t>
  </si>
  <si>
    <t>III/11816 Jelence</t>
  </si>
  <si>
    <t>79/2021/KUL</t>
  </si>
  <si>
    <t>Nákup užitkového a osobního vozu</t>
  </si>
  <si>
    <t>80/2021/KUL</t>
  </si>
  <si>
    <t>Investice v areálu Uranového dolu Bytíz</t>
  </si>
  <si>
    <t>81/2021/KUL</t>
  </si>
  <si>
    <t>Koupě Hrabalovy chaty v Kersku</t>
  </si>
  <si>
    <t>82/2021/KUL</t>
  </si>
  <si>
    <t>Oblastní muzeum Praha - východ</t>
  </si>
  <si>
    <t>Arnoldinovský dům – půdní vestavba</t>
  </si>
  <si>
    <t>83/2021/KUL</t>
  </si>
  <si>
    <t>Zpřítomnění archeologické lokality Závist</t>
  </si>
  <si>
    <t>Výměna oken včetně parapetů - OA,SpeŠ,JŠ - Beroun</t>
  </si>
  <si>
    <t>PD a zateplení střechy budovy školy - Střední škola designu a řemesel Kladno</t>
  </si>
  <si>
    <t>Zateplení střechy, oprava obložení stropu a stěn tělocvičny-ZŠ a PŠ Č. Brod</t>
  </si>
  <si>
    <t>REKO soc. zařízení DM-SOŠ a SOU řemesel KH</t>
  </si>
  <si>
    <t>Nový objekt základní školy speciální - Mladá Boleslav</t>
  </si>
  <si>
    <t>Rekonstrukce DD a ŠJ - Pyšely</t>
  </si>
  <si>
    <t>Půdní vestavba a nástavba-Gym. F. Palackého, Neratovice</t>
  </si>
  <si>
    <t>Půdní vestavba učeben - SZŠ, VOŠ Nymburk</t>
  </si>
  <si>
    <t>Fasáda budovy včetně zateplení - Sportovní gymnázium, Kladno</t>
  </si>
  <si>
    <t>Rekonstrukce elektroinstalace budovy školy-SPŠ strojírenská, Kolín</t>
  </si>
  <si>
    <t>Výměna tepelného zdroje-Gym. J. Ortena, KH</t>
  </si>
  <si>
    <t>Zabezpečení ochrany školy_VOŠ,SPŠ a JŠ, KH</t>
  </si>
  <si>
    <t>Rekonstrukce sportovního areálu-Dvořákovo G, Kralupy n/V</t>
  </si>
  <si>
    <t>Kralupy n/V</t>
  </si>
  <si>
    <t>Přístavba budovy - čajovny-DD a ŠJ Kralupy n/V</t>
  </si>
  <si>
    <t>Rekonstrukce DM-ISŠ technická Mělník</t>
  </si>
  <si>
    <t>Brandýs nad Labem-Stará Boleslav</t>
  </si>
  <si>
    <t>Zateplení budovy školy a střechy  - G a SOŠE - Sedlčany</t>
  </si>
  <si>
    <t>Výměna el. rozvodů - dílny - OU, PŠ, ZŠ Příbram</t>
  </si>
  <si>
    <t>Výměna oken-MOA, Rakovník</t>
  </si>
  <si>
    <t>Zateplení objektů-SŠ lesnická a SOU, Křivoklát</t>
  </si>
  <si>
    <t>Rekonstrukce kuchyně a jídelny DM -  SoŠ a SOU Kladno</t>
  </si>
  <si>
    <t>Mlělník</t>
  </si>
  <si>
    <t>obec získala dotaci na vybudování kanalizace</t>
  </si>
  <si>
    <t>Rekonstrukce objektu Modrý bod-SOŠ informatiky a SOU, Kolín</t>
  </si>
  <si>
    <t>Nákup pozemku-SOŠ informatiky a SOU, Kolín</t>
  </si>
  <si>
    <t>PD - Rekonstrukce elektroinstalace-VOŠ,SPŠ a JŠ, KH</t>
  </si>
  <si>
    <t>současná elektroinstalace je nevyhovují z hlediska kapacity a bezpečnosti</t>
  </si>
  <si>
    <t xml:space="preserve">Zateplení budovy školy a střechy-ZŠ Zruč n/S </t>
  </si>
  <si>
    <t>zateplením nastane úspora energií</t>
  </si>
  <si>
    <t>Odizolování základů-Gym. F. Palackého, Neratovice</t>
  </si>
  <si>
    <t>Odizolování zdiva suterénu-DD a ŠJ Kralupy n/V</t>
  </si>
  <si>
    <t>Nová budova ZŠ - Brandýs nad Labem</t>
  </si>
  <si>
    <t>Hotelová škola Poděbrady, příspěvková organizace</t>
  </si>
  <si>
    <t>Modernizace školních kuchyněk - HŠ Poděbrady</t>
  </si>
  <si>
    <t>Rekonstrukce kotelny-SPŠS Kolín</t>
  </si>
  <si>
    <t>prioritní akce, v současné době se v prostorách dílen využívají k vytápění PB láhve</t>
  </si>
  <si>
    <t>zpřístupnění zásobování kuchyně, odvozu odpadu, rozšíření parkoviště</t>
  </si>
  <si>
    <t>1/2011/MJT</t>
  </si>
  <si>
    <t>2/2011/MJT</t>
  </si>
  <si>
    <t>3/2015/MJT</t>
  </si>
  <si>
    <t>1/2011/INF</t>
  </si>
  <si>
    <t>3/2013/INF</t>
  </si>
  <si>
    <t>5/2018/INF</t>
  </si>
  <si>
    <t>6/2018/INF</t>
  </si>
  <si>
    <t>9/2018/INF</t>
  </si>
  <si>
    <t>10/2018/INF</t>
  </si>
  <si>
    <t>1/2013/DOP</t>
  </si>
  <si>
    <t>2/2006/DOP</t>
  </si>
  <si>
    <t>35/2018/DOP</t>
  </si>
  <si>
    <t>45/2018/DOP</t>
  </si>
  <si>
    <t>80/2018/DOP</t>
  </si>
  <si>
    <t>1/2016/SKOL</t>
  </si>
  <si>
    <t>3/2016/SKOL</t>
  </si>
  <si>
    <t>6/2017/SKOL</t>
  </si>
  <si>
    <t>7/2017/SKOL</t>
  </si>
  <si>
    <t>8/2017/SKOL</t>
  </si>
  <si>
    <t>11/2017/SKOL</t>
  </si>
  <si>
    <t>14/2017/SKOL</t>
  </si>
  <si>
    <t>17/2017/SKOL</t>
  </si>
  <si>
    <t>18/2017/SKOL</t>
  </si>
  <si>
    <t>20/2017/SKOL</t>
  </si>
  <si>
    <t>31/2018/SKOL</t>
  </si>
  <si>
    <t>33/2018/SKOL</t>
  </si>
  <si>
    <t>34/2018/SKOL</t>
  </si>
  <si>
    <t>38/2018/SKOL</t>
  </si>
  <si>
    <t>39/2018/SKOL</t>
  </si>
  <si>
    <t>42/2018/SKOL</t>
  </si>
  <si>
    <t>45/2018/SKOL</t>
  </si>
  <si>
    <t>53/2018/SKOL</t>
  </si>
  <si>
    <t>56/2018/SKOL</t>
  </si>
  <si>
    <t>66/2018/SKOL</t>
  </si>
  <si>
    <t>1/2011/KUL</t>
  </si>
  <si>
    <t>8/2017/KUL</t>
  </si>
  <si>
    <t>20/2018/KUL</t>
  </si>
  <si>
    <t>29/2018/KUL</t>
  </si>
  <si>
    <t>32/2018/KUL</t>
  </si>
  <si>
    <t>2/2012/ZDR</t>
  </si>
  <si>
    <t>4/2015/ZDR</t>
  </si>
  <si>
    <t>10/2016/ZDR</t>
  </si>
  <si>
    <t>1/2014/REG</t>
  </si>
  <si>
    <t>1/2017/OZP</t>
  </si>
  <si>
    <t>2/2018/OZP</t>
  </si>
  <si>
    <t>4/2017/SOC</t>
  </si>
  <si>
    <t>12/2017/SOC</t>
  </si>
  <si>
    <t>23/2017/SOC</t>
  </si>
  <si>
    <t>45/2018/SOC</t>
  </si>
  <si>
    <t>1/2018/OBŘ</t>
  </si>
  <si>
    <t>2/2016/OBŘ</t>
  </si>
  <si>
    <t>3/2018/OBŘ</t>
  </si>
  <si>
    <t>1/2017/OVM</t>
  </si>
  <si>
    <t>2/2019/OVM</t>
  </si>
  <si>
    <t>0006819</t>
  </si>
  <si>
    <t>0006823</t>
  </si>
  <si>
    <t>0006635</t>
  </si>
  <si>
    <t>0004848</t>
  </si>
  <si>
    <t>0006745</t>
  </si>
  <si>
    <t>č. inv. akce</t>
  </si>
  <si>
    <t>Zásobník investic Středočeského kraje na rok 2022 - změna č. 1</t>
  </si>
  <si>
    <t>0006828</t>
  </si>
  <si>
    <t xml:space="preserve"> 047-42/2021/RK ze dne  11.11.2021     031-11/2021/ZK ze dne 29.11.2021</t>
  </si>
  <si>
    <t>0003174</t>
  </si>
  <si>
    <t>0006744</t>
  </si>
  <si>
    <t>0006860</t>
  </si>
  <si>
    <t>0006730</t>
  </si>
  <si>
    <t>0006885</t>
  </si>
  <si>
    <t>0006891</t>
  </si>
  <si>
    <t>0006903</t>
  </si>
  <si>
    <t>0006748</t>
  </si>
  <si>
    <t>0006902</t>
  </si>
  <si>
    <t>0006351</t>
  </si>
  <si>
    <t>Rekonstrukce elektrických rozvodů a svítidel - Gym. Dr. Pekaře, Mladá Boleslav</t>
  </si>
  <si>
    <t xml:space="preserve"> Nákup potřebných licencí programového vybavení.</t>
  </si>
  <si>
    <t xml:space="preserve"> Zakázka je realizována průběžně dle potřeb IS KÚ a možností financování.</t>
  </si>
  <si>
    <t>Připraveno, není finanční krytí)</t>
  </si>
  <si>
    <t xml:space="preserve">  (Připraveno, není finanční krytí)</t>
  </si>
  <si>
    <t xml:space="preserve"> (Připraveno, není finanční krytí)</t>
  </si>
  <si>
    <t>(Připraveno, není finanční krytí)</t>
  </si>
  <si>
    <t>Plán čerpání r.  2022</t>
  </si>
  <si>
    <t>Předpoklad  r. 2023</t>
  </si>
  <si>
    <t>Předpoklad r. 2024+</t>
  </si>
  <si>
    <t>požadavek r. 2023</t>
  </si>
  <si>
    <t>požadavek r. 2024 (+)</t>
  </si>
  <si>
    <t>Aktuální limit čerpání r. 2022 - 13 mil. Kč z vlastních prostředků SK</t>
  </si>
  <si>
    <t>Aktuální limit čerpání r. 2022 - 25 mil. Kč z vlastních prostředků SK</t>
  </si>
  <si>
    <t>Aktuální limity čerpání r. 2022  - 260 mil. Kč z vlastních prostředků SK,    260 mil. Kč z prostředků EIB</t>
  </si>
  <si>
    <t>Aktuální limity čerpání r. 2022 - 75 mil. Kč z vlastních prostředků SK,    130 mil. Kč z prostředků EIB</t>
  </si>
  <si>
    <t>Aktuální limit čerpání r. 2022 - 36 mil. Kč z vlastních prostředků SK</t>
  </si>
  <si>
    <t>Aktuální limity čerpání r. 2022 - 7 mil. Kč z vlastních prostředků SK,    1,3 mld. Kč z prostředků EIB</t>
  </si>
  <si>
    <t>Aktuální limit čerpání r. 2022 - 1 mil. Kč z vlastních prostředků SK</t>
  </si>
  <si>
    <t>Aktuální limit čerpání r. 2022 - 8 mil. Kč z vlastních prostředků SK</t>
  </si>
  <si>
    <t>Aktuální limity čerpání r. 2022 - 56 mil. Kč z vlastních prostředků SK,   100 mil. Kč z prostředků EIB</t>
  </si>
  <si>
    <t>Aktuální limit čerpání r. 2022 - 14 mil. Kč z vlastních prostředků SK</t>
  </si>
  <si>
    <t>Aktuální limit čerpání r. 2022 - 2 mil. Kč z vlastních prostředků SK</t>
  </si>
  <si>
    <t>Aktuální limity čerpání r. 2022 - 500 mil. Kč z vlastních prostředků SK,    1,79 mld. Kč z prostředků EIB</t>
  </si>
  <si>
    <t>Kapitálové prostředky  (před zm. č. 1)</t>
  </si>
  <si>
    <t>Finanční prostředky r. 2022-kap.12</t>
  </si>
  <si>
    <t>Priorita    1/ 2022                  (hodnoty 1-4)</t>
  </si>
  <si>
    <t>změna financování - převod 14,708 mil. Kč z r. 2022 do r. 2023 (10mil. Kč) a do r. 2024 (4,708 mil.Kč)</t>
  </si>
  <si>
    <t>z toho EIB</t>
  </si>
  <si>
    <t>celý řádek :</t>
  </si>
  <si>
    <t>Finanční zdroje r. 2022 v tis. Kč</t>
  </si>
  <si>
    <t>Celkové požadavky na financování akcí v r. 2022 vycházející ze Zásobníku investic - změna č.1</t>
  </si>
  <si>
    <t xml:space="preserve">Legenda </t>
  </si>
  <si>
    <t>Navýšení celkových nákladů o 67 tis. Kč.  Plánujeme nákupy serverových licencí v rámci centrálního nákupu přes MV ČR, nákup nových modulů GINIS aj.</t>
  </si>
  <si>
    <t>Na rok 2022 je plánováno využití opce ze smlouvy na dokoupení zbývajících stavebních bloků.</t>
  </si>
  <si>
    <t>Modernizace zasedací místnosti Rady SčK</t>
  </si>
  <si>
    <t xml:space="preserve">Změna názvu akce.   Zrealizovaná modernizace počítačové učebny, v plánu na r.2022 je modernizace zasedací místnosti rady. </t>
  </si>
  <si>
    <t xml:space="preserve">Snížení celkových nákladů o 18 tis. Kč (dle vysoutěžené nabídky celkem o 9,2 mil. Kč).  Modernizace zastaralých síťových prvků. </t>
  </si>
  <si>
    <t>Změna financování - převod 3,162 mil. Kč z r. 2022 do r. 2023.  Pořízení vychází ze stále větších požadavků na zálohování v souvislosti s elektronizací agend úřadu.</t>
  </si>
  <si>
    <t xml:space="preserve"> Snížení celkových nákladů o 18 tis. Kč.   Nové moduly GINIS, licence je nutné řešit jako zhodnocení majetku.</t>
  </si>
  <si>
    <t>Změna financování - převod 40 mil. z r. 2022 do r. 2024</t>
  </si>
  <si>
    <t>navýšení CN o 140 mil. Kč (z toho o 20 mil. v r. 2022)</t>
  </si>
  <si>
    <t xml:space="preserve">Změna financování - převod 279 tis. Kč z r. 2022 do r. 2023.  Stavebně hotovo, čeká proplacení doplatku. </t>
  </si>
  <si>
    <t>025-05/2019/RK ze dne 4.2.2019      101-17/2019/ZK ze dne 18.2.2019</t>
  </si>
  <si>
    <t>Sníženy CN o 419 tis Kč vlivem soutěže</t>
  </si>
  <si>
    <t>025-05/2019/RK ze dne 4.2.2019     101-17/2019/ZK ze dne 18.2.2019</t>
  </si>
  <si>
    <t xml:space="preserve">snížení CN o 3,875 mil. Kč.  Během stavby byla změna vůči projektu a došlo k navýšení celkových nákladů. Pro provedení stavebních prací došlo ke snížení konečné ceny než očekávané náklady. </t>
  </si>
  <si>
    <t>048-24/2019/RK ze dne  29.7.2019     088-20/2019/ZK ze dne 26.8.2019</t>
  </si>
  <si>
    <t>048-24/2019/RK ze dne  29.7.2019    088-20/2019/ZK ze dne 26.8.2019</t>
  </si>
  <si>
    <t xml:space="preserve">snížení CN o 1,545 mil. Kč.  Během stavby byla změna vůči projektu a došlo k navýšení celkových nákladů. Pro provedení stavebních prací došlo ke snížení konečné ceny než očekávané náklady. </t>
  </si>
  <si>
    <t>původ. CN 69.9 mil. Kč  - Financování ze SFDI</t>
  </si>
  <si>
    <t>původ. CN 9,478 mil. Kč  - Financování ze SFDI</t>
  </si>
  <si>
    <t>Změna financování - převod 1,486 mil. Kč z r. 2022 do r. 2024.   Příprava PD na stavbu</t>
  </si>
  <si>
    <t>5/2023</t>
  </si>
  <si>
    <t>snížení CN o 194 tis Kč vlivem soutěže</t>
  </si>
  <si>
    <t>původně CN 6,054 mil. Kč  -  hrazeno z havarijního fondu KSÚS</t>
  </si>
  <si>
    <t>Změna způsobu financování.  Ke svému podílu projektu přihlásila obec 49%=1,685 mil. Kč,  a uhradila jej. Ze strany KÚSK je vše uhrazeno a více se nebude platit.</t>
  </si>
  <si>
    <t>Změna financování - převod 10 mil. Kč z r. 2022 do r. 2024</t>
  </si>
  <si>
    <t>Senzorické zabezpečení silnic Středočeského kraje</t>
  </si>
  <si>
    <t>Změna názvu akce,  snížení  CN o 43 mil. Kč, změna financování - převod 7,5 mil. Kč z r. 2023 do r. 2022</t>
  </si>
  <si>
    <t>Změna financování - převod 15 mil. Kč z r. 2022 do r. 2024.   Podněty PČR, připraveny návrhy zlepšení BESIP</t>
  </si>
  <si>
    <t>Změna financování - převod 8 mil. Kč z r. 2022 do r. 2024.   Rámcová smlouva, podněty PČR, připraveny návrhy zlepšení BESIP</t>
  </si>
  <si>
    <t>Změna financování - převod 173 tis. Kč z r. 2022 do r. 2023</t>
  </si>
  <si>
    <t>Změna financování - převod 632 tis. Kč z r. 2022 do r. 2023</t>
  </si>
  <si>
    <t>III/0181 Láz - voj. prostor</t>
  </si>
  <si>
    <t>Změna názvu akce.  Snížení CN o 2,4 mil. Kč, I etapa realizována v rámci v jiné zakázky.</t>
  </si>
  <si>
    <t>původně CN 4,5 mil. Kč  -  hrazeno z havarijního fondu KSÚS</t>
  </si>
  <si>
    <t>025-13/2020/RK ze dne 30.3.2020    115-24/2020/ZK ze dne 1.6.2020</t>
  </si>
  <si>
    <t>snížení CN o 20 tis Kč vlivem soutěže</t>
  </si>
  <si>
    <t>původně CN 3,602 mil. Kč  -  hrazeno z havarijního fondu KSÚS</t>
  </si>
  <si>
    <t>původně CN 4,988 mil. Kč  -  hrazeno z havarijního fondu KSÚS</t>
  </si>
  <si>
    <t>snížení CN o 11 tis Kč vlivem veřejné soutěže</t>
  </si>
  <si>
    <t>původně CN 2,53 mil. Kč  -  hrazeno z havarijního fondu KSÚS</t>
  </si>
  <si>
    <t>Zrušení položky, duplicitní s Odborem OVM</t>
  </si>
  <si>
    <t>Změna financování - převod 14,457 mil. Kč z r. 2022 do r. 2023 a 24,096 mil. Kč z r. 2022 do r. 2024    (Připraveno, není finanční krytí).  Fin. harmonogram do r. 2024</t>
  </si>
  <si>
    <t>Změna financování - převod 7,54 mil. Kč z r. 2022 do r. 2023</t>
  </si>
  <si>
    <t xml:space="preserve"> 080-32/2021/RK ze dne 26.8.2021 021-09/2021/ZK ze dne 13.9.2021</t>
  </si>
  <si>
    <t>047-42/2021/RK ze dne 11.11.2021 031-11/2021/ZK ze dne 29.11.2021</t>
  </si>
  <si>
    <t>260/2021/DOP</t>
  </si>
  <si>
    <t>Senzorický systém pro monitoring mostu přes Labe ev. č. 610-013 v Brandýse nad Labem</t>
  </si>
  <si>
    <t xml:space="preserve">Uvedený most překlenuje hlavní rameno řeky Labe a byl rekonstruován v roce 2011. Změnou proudění v řece tím, že voda neteče v ose vodního toku, ale přes vodní elektrárnu je nutné změřit napětí mostu. </t>
  </si>
  <si>
    <t>261/2021/DOP</t>
  </si>
  <si>
    <t>Areál CMS Říčany - dostavba areálu</t>
  </si>
  <si>
    <t>V Říčanech je od roku 1996 rozestavěný areál cestmistrovství. Stávající areál situovaný v centru města je pro město velkou zátěží, proto se město snaží toto cestmistrovství odsunout do plánovaných prostor. V letošním roce je v plánu pořídit technickou dokumentaci na dostavbu části tohoto areálu a v dalších letech přesunout výkon mechanismů do nových prostor.</t>
  </si>
  <si>
    <t>262/2021/DOP</t>
  </si>
  <si>
    <t>III33355 Kutná Hora, Gruntecká</t>
  </si>
  <si>
    <t>Jedná se o rekonstrukci komunikace v Kutné Hoře.</t>
  </si>
  <si>
    <t>4/2023</t>
  </si>
  <si>
    <t>263/2021/DOP</t>
  </si>
  <si>
    <t>III/3319 Kostomlaty nad Labem, ul. Doubravská - zklidnění dopravy</t>
  </si>
  <si>
    <t>Jedná se o rekonstrukci celého uličního prostoru, kdy kraj bude financovat silnici a chodníky město.</t>
  </si>
  <si>
    <t>264/2021/DOP</t>
  </si>
  <si>
    <t>III/3245 M.Králové, ul. Dymokurská</t>
  </si>
  <si>
    <t>265/2021/DOP</t>
  </si>
  <si>
    <t>III/33721 Močovice</t>
  </si>
  <si>
    <t>Jedná se o rekonstrukci celého uličního prostoru, kdy kraj bude financovat silnici a chodníky obec.</t>
  </si>
  <si>
    <t>Čáslav</t>
  </si>
  <si>
    <t>266/2021/DOP</t>
  </si>
  <si>
    <t>II/508 Mnichovice, chodník - nahrazení lávky</t>
  </si>
  <si>
    <t>Nahrazení lávky pro pěší v havarijním stavu za chodník - jedná se o součást mostu.</t>
  </si>
  <si>
    <t>267/2021/DOP</t>
  </si>
  <si>
    <t>Zklidnění dopravy v obci ZLONÍN MÍSTNÍ KOMUNIKACE MO2 7/20 (průtah sil.III.tř. č.0086 obcí)</t>
  </si>
  <si>
    <t>jedná se o napojení komunikace, která v budoucnu bude sloužit jako obchvat obce.</t>
  </si>
  <si>
    <t>Financováno z EIB</t>
  </si>
  <si>
    <t xml:space="preserve">změna financování (převod 2,5mil. Kč z r. 2022 do r. 2023)  </t>
  </si>
  <si>
    <t>10/2023</t>
  </si>
  <si>
    <t>Akce má zpracovanou projektovou dokumentaci z roku 2007, akce není připravena k realizaci, nutné zaktualizovat PD a cenu na základě PD</t>
  </si>
  <si>
    <t xml:space="preserve">změna financování (převod 316 tis.Kč z r. 2022 do r. 2023)  </t>
  </si>
  <si>
    <t xml:space="preserve">změna financování (převod 1,4mil. Kč z r. 2023 do r. 2022)  </t>
  </si>
  <si>
    <t>Realizace  z NSA-doplatek PD</t>
  </si>
  <si>
    <t>snížení CN o 539 tis. Kč</t>
  </si>
  <si>
    <t>navýšení CN o 642 tis. Kč - vícepráce (hrazeno z vl. prostředků PO)</t>
  </si>
  <si>
    <t>snížení CN o 977 tis. Kč</t>
  </si>
  <si>
    <t>změna financování (převod 988 tis. Kč z r. 2022 do r. 2023)   -v suterénu umístěna kuchyně s jídelnou, nepřijatelné podmínky z hlediska hygieny</t>
  </si>
  <si>
    <t>změna financování (převod 600 tis. Kč z r. 2022 do r. 2023) v suterénu umístěny herny, sklad potravin, nepřijatelné podmínky z hlediska hygieny</t>
  </si>
  <si>
    <t>navýšení CN o 450 tis. Kč (navýšení cen), změna financování (převod 950 tis. Kč z r.2022 do r.2023)</t>
  </si>
  <si>
    <t xml:space="preserve">změna financování (převod 5 mil. Kč z r. 2023 do r. 2022)  </t>
  </si>
  <si>
    <t>změna financování (převod 1,2 mil. Kč z r. 2023 do r. 2022)     - snížení nákladů na vytápění, současná kotelna nevyhovující z hlediska bezpečnosti</t>
  </si>
  <si>
    <t>změna financování (převod 7,5 mil. Kč z r. 2023 do r. 2022)</t>
  </si>
  <si>
    <t>187/2022/SKOL</t>
  </si>
  <si>
    <t>Gymnázium Hostivice, příspěvková organizace</t>
  </si>
  <si>
    <t>Nástavba budovy Gymnázia Hostivice</t>
  </si>
  <si>
    <t>PD - 07/2022</t>
  </si>
  <si>
    <t>188/2022/SKOL</t>
  </si>
  <si>
    <t>Snížení energetické náročnosti budovy Střední průmyslové školy v Mladé Boleslavi</t>
  </si>
  <si>
    <t>převedeno ze Zásobníku projektů do Zásobníku investic, vysoutěžen dodavatel, řeší se podpis smlouvy</t>
  </si>
  <si>
    <t>Změna způsobu financování (z kap. 05), původní CN 7,855 mil. Kč</t>
  </si>
  <si>
    <t>změna způsobu financování  (z kap. 05), původní CN 600 tis. Kč</t>
  </si>
  <si>
    <t>0005884</t>
  </si>
  <si>
    <r>
      <t>Navýšení CN o 90 mil. Kč (vývoj cen na trhu) .  Schváleno financování z úvěru SK od</t>
    </r>
    <r>
      <rPr>
        <sz val="14"/>
        <color rgb="FFFF0000"/>
        <rFont val="Arial"/>
        <family val="2"/>
        <charset val="238"/>
      </rPr>
      <t xml:space="preserve"> EIB </t>
    </r>
    <r>
      <rPr>
        <sz val="10"/>
        <color rgb="FFFF0000"/>
        <rFont val="Arial"/>
        <family val="2"/>
        <charset val="238"/>
      </rPr>
      <t>ve výši 270 mil. Kč.   Stavba rekonstrukce C2 má vydané stavební povolení platné v rámci rekonstrukce celého monobloku nemocnice s prodloužrním dokončení stavby do 31.12.2023.</t>
    </r>
  </si>
  <si>
    <t>Změna financování - převod 4 mil. Kč z r. 2022 do r. 2023.  Nemožnost souběžné rekonstrukce s pavilonem "O" z důvodu nedostatečné prostorové kapacity potřebné pro dotčená oddělení</t>
  </si>
  <si>
    <t xml:space="preserve">Fin. prostředky mimo rozpočet SK ve výši 3 935 686,- ze SFŽP </t>
  </si>
  <si>
    <t>změna financování - převod 19,575 mil. Kč z r. 2022 do r. 2023 a dalších 19,575 mil.Kč do r. 2024</t>
  </si>
  <si>
    <t>Změna financování - převod 31,234 mil. Kč z r. 2022 do r. 2024.    Částka 95.003 tis. Kč = IROP, příp. vlastní zdroje nemocnice.</t>
  </si>
  <si>
    <t>0006728</t>
  </si>
  <si>
    <t>Změna financování - převod 10,049 mil. Kč z r. 2022 do r. 2023 a 13,981 mil. Kč z r. 2022 do r. 2024</t>
  </si>
  <si>
    <t>Změna financování - převod 2mil. Kč z r. 2022 do r. 2023</t>
  </si>
  <si>
    <t>navýšení CN o 1 mil. Kč - zřízení centrálních tiskových místností</t>
  </si>
  <si>
    <t>7/20221</t>
  </si>
  <si>
    <t>zvýšení CN o 150 tis. - nutná rekonstrukce, zdražení materiálu+práce</t>
  </si>
  <si>
    <t>navýšení CN o 5 mil. Kč - další etapa (4.)</t>
  </si>
  <si>
    <t>Snížení CN o 36 tis. Kč</t>
  </si>
  <si>
    <t>Snížení CN o 15 tis. Kč</t>
  </si>
  <si>
    <t>navýšení CN o 3,3 mil. Kč - obměna vozového parku</t>
  </si>
  <si>
    <t>změna financování - částka 10,5 mil.Kč převedena z r. 2022 do roku 2024+</t>
  </si>
  <si>
    <t>změna financování - částka 12,5 mil. Kč převedena z r. 2022 do roku 2024+</t>
  </si>
  <si>
    <t>změna financování - částka 9,653 mil. Kč převedena z r. 2022 do roku 2024+</t>
  </si>
  <si>
    <t>8/2022</t>
  </si>
  <si>
    <t>změna financování - částka 17,17 mil. Kč převedena z r. 2022 do roku 2024+</t>
  </si>
  <si>
    <t>6/2026</t>
  </si>
  <si>
    <t>změna financování - částka 5,152 mil. Kč převedena z r. 2022 do roku 2023</t>
  </si>
  <si>
    <t>Rekonstrukce / revitalizace areálu Regionálního muzea v Jílovém u Prahy</t>
  </si>
  <si>
    <t>navýšení celkových nákladů akce o 8,7 mil. Kč a přejmenování akce, aby název odpovídal plánovaným rekonstrukčním a revitalizačním pracím</t>
  </si>
  <si>
    <t>snížení CN o 35 tis. Kč</t>
  </si>
  <si>
    <t>0006888</t>
  </si>
  <si>
    <t>snížení celkových nákladů o 2 mil. Kč - kupní cena nemovitosti vychází z uzavřené kupní smlouvy</t>
  </si>
  <si>
    <t>změna financování - převod 7 mil. Kč z r. 2022 do r. 2023</t>
  </si>
  <si>
    <t xml:space="preserve">Snížení CN o 814 tis. Kč  </t>
  </si>
  <si>
    <t xml:space="preserve">Snížení CN o 998 tis. Kč  </t>
  </si>
  <si>
    <t xml:space="preserve">Fáze rekonstrukce elektroinstalace je dokončena a v průběhu  1. poloviny roku 2022 (pokud to epidemiologická situace dovolí) bude provedena rekonstrukce vodoinstalace. </t>
  </si>
  <si>
    <t>Navýšení CN o 2 mil. Kč v souvislosti s částečným financováním z dotací, změna financování - převod 6,599 mil. Kč z r. 2022 do r. 2023, změna způsobu financování - 9,346 mil. Kč financováno ze zdrojů mimo rozpočet SK</t>
  </si>
  <si>
    <t>navýšení CN o 739 tis. Kč (čerpáno již ve 4.Q 2021)</t>
  </si>
  <si>
    <t xml:space="preserve">Demolice původní budovy školského zařízení a výstavba nové budovy DS v Dobříši. </t>
  </si>
  <si>
    <t xml:space="preserve"> Akce byla rozhodntím vedení SK v měsíci prosinci 2021 zrušena (pův. CN 200 mil. Kč, z toho 168,045 mil. Kč hradit z úvěru EIB) a jedná se o převedení fin. prostředků na jinou investiční akci stejného rozsahu pravděpodobně se bude jednat o Komplexní rekonstrukci pláště budov a technického vybavení Domova seniorů Sedlčany</t>
  </si>
  <si>
    <t>Změna financování - převod 9 mil. Kč z r. 2022 do r. 2023.   Probíhá příprava VZ na zpracování PD</t>
  </si>
  <si>
    <t xml:space="preserve">Změna financování - převod 4,5 mil. Kč z r. 2022 do r. 2023 a 3,5 mil. Kč z r. 2022 do r. 2024.     V průběhu realizace byla akce rozšířena o další fázi, jež bude hrazena z kap. 23 zásobník projektů, proto je posunut termín dodání PD a zahájení stavebních prací. </t>
  </si>
  <si>
    <t>Změna financování - převod 53 mil. Kč z r. 2022 do r. 2024.  Při spolufinancování s dotací by byla neakceptovatelná výše neuznatelných nákladů</t>
  </si>
  <si>
    <t>147/2022/SOC</t>
  </si>
  <si>
    <t>Snížení energetické náročnosti budov, komplexní rekonstrukce pláště budov a technického zázemí Domova seniorů Sedlčany</t>
  </si>
  <si>
    <t>Vyznačení Nelahozeves, Kralupy</t>
  </si>
  <si>
    <t>změna názvu akce</t>
  </si>
  <si>
    <t>6/2021/OVM</t>
  </si>
  <si>
    <t>Vyznačení EuroVelo 4 CT 39 Zdice - hranice Plzeňského kraje</t>
  </si>
  <si>
    <t>nutné doplnění stávajícího značení</t>
  </si>
  <si>
    <t>Rakovník, Beroun</t>
  </si>
  <si>
    <t>7/2021/OVM</t>
  </si>
  <si>
    <t>Vyznačení EuroVelo 7 CT 7 Praha - hranice Jihočeského kraje</t>
  </si>
  <si>
    <t xml:space="preserve">Černošice, Příbram, Sedlčany, </t>
  </si>
  <si>
    <t>8/2021/OVM</t>
  </si>
  <si>
    <t>Vyznačení CT1 Kouřim - Kutná Hora</t>
  </si>
  <si>
    <t>Kutná Hora, Kolín</t>
  </si>
  <si>
    <t>čerpání 1.Q.         (1.1.-31.3.)    2022   k 27.1.2022</t>
  </si>
  <si>
    <t>Změna financování, převod 38,84 mil. Kč z r.2022 do r. 2023.   Navýšení CN o 60 mil. Kč (nárůst cen na  trhu).    Předpokládané dokončení PD  včetně získání stavebního povolení v 07/2022. Následně zahájení VŘ na realizaci stavby s předpokládaným dokončením do 12/2023.</t>
  </si>
  <si>
    <t>Změna financování - převod 137,334 mil. Kč z r. 2022 do r. 2023</t>
  </si>
  <si>
    <t>čerpání do 31.12. 2021</t>
  </si>
  <si>
    <t>čerpání r.2022</t>
  </si>
  <si>
    <t>změna názvu</t>
  </si>
  <si>
    <t>Výstavba nového centrálního muzejního depozitáře pro RM Kolín</t>
  </si>
  <si>
    <t>z toho vlastní zdroje SK</t>
  </si>
  <si>
    <t>Schválený rozpočet 2022 (usnesení č. 013-11/2021/ZK ze dne 29.11.2021)</t>
  </si>
  <si>
    <t>Nevyčerpané účelové finanční prostředky z roku 2021 (zůstatek hospodaření z roku 2021)</t>
  </si>
  <si>
    <t>Finanční zdroje v r. 2022 celkem</t>
  </si>
  <si>
    <t>Financování z EIB zatím není schváleno</t>
  </si>
  <si>
    <t>025-05/2019/RK ze dne 4.2.2019    101-17/2019/ZK ze dne 18.2.2019</t>
  </si>
  <si>
    <t>025-13/2020/RK ze dne 30.3.2020   115-24/2020/ZK ze dne 1.6.2020</t>
  </si>
  <si>
    <t>018-34/2018/RK ze dne 5.11.2018   128-16/2018/ZK ze dne 24.11.2018</t>
  </si>
  <si>
    <t>025-13/2020/RK ze dne 30.3.2020  115-24/2020/ZK ze dne 1.6.2020</t>
  </si>
  <si>
    <t>061-05/2021/RK ze dne 4.2.2021    048-04/2021/ZK ze dne 22.2.2021</t>
  </si>
  <si>
    <t>018-34/2018/RK ze dne 5.11.2018   128-16/2018/ZK ze dne 26.11.2018</t>
  </si>
  <si>
    <t>018-34/2018/RK ze dne 5.11.2018  128-16/2018/ZK ze dne 24.11.2018</t>
  </si>
  <si>
    <t>026-13/2016/RK ze dne 4.4.2016    012-22 /2016/ZK ze dne 25.4.2016</t>
  </si>
  <si>
    <t>025-19/2019/RK ze dne 3.6.2019    095-19/2019/ZK ze dne 24.6.2019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</si>
</sst>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č_-;\-* #,##0.00\ _K_č_-;_-* &quot;-&quot;??\ _K_č_-;_-@_-"/>
    <numFmt numFmtId="165" formatCode="#,##0.0000000"/>
    <numFmt numFmtId="166" formatCode="#,##0.00000"/>
    <numFmt numFmtId="167" formatCode="#,##0.000"/>
    <numFmt numFmtId="168" formatCode="0.00000"/>
    <numFmt numFmtId="169" formatCode="#,##0.000000"/>
    <numFmt numFmtId="170" formatCode="0.000000"/>
    <numFmt numFmtId="171" formatCode="0.00000000"/>
  </numFmts>
  <fonts count="6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b/>
      <sz val="10"/>
      <name val="Arial"/>
      <family val="2"/>
      <charset val="238"/>
    </font>
    <font>
      <b/>
      <sz val="12"/>
      <name val="Arial"/>
      <family val="2"/>
      <charset val="238"/>
    </font>
    <font>
      <sz val="10"/>
      <color rgb="FFFF0000"/>
      <name val="Arial"/>
      <family val="2"/>
      <charset val="238"/>
    </font>
    <font>
      <b/>
      <sz val="10"/>
      <color rgb="FFFF0000"/>
      <name val="Arial"/>
      <family val="2"/>
      <charset val="238"/>
    </font>
    <font>
      <strike/>
      <sz val="10"/>
      <name val="Arial"/>
      <family val="2"/>
      <charset val="238"/>
    </font>
    <font>
      <b/>
      <strike/>
      <sz val="10"/>
      <name val="Arial"/>
      <family val="2"/>
      <charset val="238"/>
    </font>
    <font>
      <strike/>
      <sz val="10"/>
      <color rgb="FF0000FB"/>
      <name val="Arial"/>
      <family val="2"/>
      <charset val="238"/>
    </font>
    <font>
      <sz val="10"/>
      <color rgb="FF0000FB"/>
      <name val="Arial"/>
      <family val="2"/>
      <charset val="238"/>
    </font>
    <font>
      <b/>
      <sz val="10"/>
      <color rgb="FF0000FB"/>
      <name val="Arial"/>
      <family val="2"/>
      <charset val="238"/>
    </font>
    <font>
      <sz val="10"/>
      <color theme="1"/>
      <name val="Arial"/>
      <family val="2"/>
      <charset val="238"/>
    </font>
    <font>
      <b/>
      <sz val="14"/>
      <name val="Arial"/>
      <family val="2"/>
      <charset val="238"/>
    </font>
    <font>
      <b/>
      <sz val="9"/>
      <color indexed="81"/>
      <name val="Tahoma"/>
      <family val="2"/>
      <charset val="238"/>
    </font>
    <font>
      <sz val="9"/>
      <color indexed="81"/>
      <name val="Tahoma"/>
      <family val="2"/>
      <charset val="238"/>
    </font>
    <font>
      <b/>
      <sz val="10"/>
      <color theme="1"/>
      <name val="Arial"/>
      <family val="2"/>
      <charset val="238"/>
    </font>
    <font>
      <sz val="10"/>
      <name val="Arial CE"/>
      <charset val="238"/>
    </font>
    <font>
      <strike/>
      <sz val="10"/>
      <color theme="1"/>
      <name val="Arial"/>
      <family val="2"/>
      <charset val="238"/>
    </font>
    <font>
      <sz val="22"/>
      <name val="Arial"/>
      <family val="2"/>
      <charset val="238"/>
    </font>
    <font>
      <sz val="14"/>
      <name val="Arial"/>
      <family val="2"/>
      <charset val="238"/>
    </font>
    <font>
      <strike/>
      <sz val="12"/>
      <name val="Arial"/>
      <family val="2"/>
      <charset val="238"/>
    </font>
    <font>
      <sz val="12"/>
      <color theme="1"/>
      <name val="Arial"/>
      <family val="2"/>
      <charset val="238"/>
    </font>
    <font>
      <b/>
      <strike/>
      <sz val="10"/>
      <color rgb="FF0000FB"/>
      <name val="Arial"/>
      <family val="2"/>
      <charset val="238"/>
    </font>
    <font>
      <strike/>
      <sz val="10"/>
      <color rgb="FFFF0000"/>
      <name val="Arial"/>
      <family val="2"/>
      <charset val="238"/>
    </font>
    <font>
      <b/>
      <strike/>
      <u/>
      <sz val="10"/>
      <name val="Arial"/>
      <family val="2"/>
      <charset val="238"/>
    </font>
    <font>
      <b/>
      <strike/>
      <sz val="10"/>
      <color rgb="FFFF0000"/>
      <name val="Arial"/>
      <family val="2"/>
      <charset val="238"/>
    </font>
    <font>
      <strike/>
      <u/>
      <sz val="10"/>
      <name val="Arial"/>
      <family val="2"/>
      <charset val="238"/>
    </font>
    <font>
      <b/>
      <i/>
      <sz val="10"/>
      <color rgb="FFFF0000"/>
      <name val="Arial"/>
      <family val="2"/>
      <charset val="238"/>
    </font>
    <font>
      <b/>
      <u/>
      <sz val="10"/>
      <name val="Arial"/>
      <family val="2"/>
      <charset val="238"/>
    </font>
    <font>
      <b/>
      <strike/>
      <sz val="12"/>
      <name val="Arial"/>
      <family val="2"/>
      <charset val="238"/>
    </font>
    <font>
      <sz val="11"/>
      <color indexed="8"/>
      <name val="Calibri"/>
      <family val="2"/>
      <charset val="238"/>
    </font>
    <font>
      <sz val="11"/>
      <color rgb="FFFF0000"/>
      <name val="Calibri"/>
      <family val="2"/>
      <scheme val="minor"/>
    </font>
    <font>
      <sz val="11"/>
      <color rgb="FF0000FB"/>
      <name val="Calibri"/>
      <family val="2"/>
      <scheme val="minor"/>
    </font>
    <font>
      <strike/>
      <sz val="11"/>
      <color rgb="FF0000FB"/>
      <name val="Calibri"/>
      <family val="2"/>
      <scheme val="minor"/>
    </font>
    <font>
      <strike/>
      <sz val="11"/>
      <color theme="1"/>
      <name val="Calibri"/>
      <family val="2"/>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Arial"/>
      <family val="2"/>
      <charset val="238"/>
    </font>
    <font>
      <strike/>
      <sz val="12"/>
      <color rgb="FF0000FB"/>
      <name val="Arial"/>
      <family val="2"/>
      <charset val="238"/>
    </font>
    <font>
      <sz val="11"/>
      <name val="Calibri"/>
      <family val="2"/>
      <scheme val="minor"/>
    </font>
    <font>
      <strike/>
      <sz val="12"/>
      <color rgb="FFFF0000"/>
      <name val="Arial"/>
      <family val="2"/>
      <charset val="238"/>
    </font>
    <font>
      <i/>
      <strike/>
      <sz val="10"/>
      <name val="Arial"/>
      <family val="2"/>
      <charset val="238"/>
    </font>
    <font>
      <b/>
      <i/>
      <strike/>
      <sz val="10"/>
      <color rgb="FFFF0000"/>
      <name val="Arial"/>
      <family val="2"/>
      <charset val="238"/>
    </font>
    <font>
      <strike/>
      <sz val="11"/>
      <name val="Calibri"/>
      <family val="2"/>
      <scheme val="minor"/>
    </font>
    <font>
      <i/>
      <strike/>
      <sz val="10"/>
      <color rgb="FF0000FB"/>
      <name val="Arial"/>
      <family val="2"/>
      <charset val="238"/>
    </font>
    <font>
      <strike/>
      <sz val="11"/>
      <color rgb="FFFF0000"/>
      <name val="Calibri"/>
      <family val="2"/>
      <scheme val="minor"/>
    </font>
    <font>
      <i/>
      <strike/>
      <sz val="10"/>
      <color rgb="FFFF0000"/>
      <name val="Arial"/>
      <family val="2"/>
      <charset val="238"/>
    </font>
    <font>
      <b/>
      <strike/>
      <sz val="10"/>
      <color theme="1"/>
      <name val="Arial"/>
      <family val="2"/>
      <charset val="238"/>
    </font>
    <font>
      <strike/>
      <sz val="16"/>
      <name val="Arial"/>
      <family val="2"/>
      <charset val="238"/>
    </font>
    <font>
      <b/>
      <strike/>
      <sz val="16"/>
      <name val="Arial"/>
      <family val="2"/>
      <charset val="238"/>
    </font>
    <font>
      <sz val="12"/>
      <color rgb="FF0000FB"/>
      <name val="Arial"/>
      <family val="2"/>
      <charset val="238"/>
    </font>
    <font>
      <sz val="12"/>
      <color rgb="FFFF0000"/>
      <name val="Arial"/>
      <family val="2"/>
      <charset val="238"/>
    </font>
    <font>
      <b/>
      <sz val="11"/>
      <name val="Arial"/>
      <family val="2"/>
      <charset val="238"/>
    </font>
    <font>
      <b/>
      <sz val="11"/>
      <name val="Calibri"/>
      <family val="2"/>
      <scheme val="minor"/>
    </font>
    <font>
      <b/>
      <sz val="22"/>
      <name val="Calibri"/>
      <family val="2"/>
      <scheme val="minor"/>
    </font>
    <font>
      <b/>
      <sz val="12"/>
      <name val="Calibri"/>
      <family val="2"/>
      <charset val="238"/>
      <scheme val="minor"/>
    </font>
    <font>
      <b/>
      <sz val="12"/>
      <color theme="1"/>
      <name val="Arial"/>
      <family val="2"/>
      <charset val="238"/>
    </font>
    <font>
      <b/>
      <sz val="11"/>
      <color theme="1"/>
      <name val="Arial"/>
      <family val="2"/>
      <charset val="238"/>
    </font>
    <font>
      <sz val="11"/>
      <color theme="1"/>
      <name val="Arial"/>
      <family val="2"/>
      <charset val="238"/>
    </font>
    <font>
      <b/>
      <sz val="20"/>
      <name val="Calibri"/>
      <family val="2"/>
      <charset val="238"/>
      <scheme val="minor"/>
    </font>
    <font>
      <sz val="14"/>
      <color rgb="FFFF0000"/>
      <name val="Arial"/>
      <family val="2"/>
      <charset val="238"/>
    </font>
  </fonts>
  <fills count="37">
    <fill>
      <patternFill patternType="none"/>
    </fill>
    <fill>
      <patternFill patternType="gray125"/>
    </fill>
    <fill>
      <patternFill patternType="solid">
        <fgColor rgb="FFCAE8AA"/>
        <bgColor indexed="64"/>
      </patternFill>
    </fill>
    <fill>
      <patternFill patternType="solid">
        <fgColor rgb="FFFF0000"/>
        <bgColor indexed="64"/>
      </patternFill>
    </fill>
    <fill>
      <patternFill patternType="solid">
        <fgColor rgb="FF0000FB"/>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E4DFEC"/>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385C6"/>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rgb="FFFFD966"/>
        <bgColor indexed="64"/>
      </patternFill>
    </fill>
    <fill>
      <patternFill patternType="solid">
        <fgColor rgb="FF00B0F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rgb="FFFFFF66"/>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F8CBAD"/>
        <bgColor indexed="64"/>
      </patternFill>
    </fill>
    <fill>
      <patternFill patternType="solid">
        <fgColor theme="9" tint="0.39997558519241921"/>
        <bgColor indexed="64"/>
      </patternFill>
    </fill>
    <fill>
      <patternFill patternType="solid">
        <fgColor theme="9"/>
        <bgColor indexed="64"/>
      </patternFill>
    </fill>
  </fills>
  <borders count="81">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45">
    <xf numFmtId="0" fontId="0" fillId="0" borderId="0"/>
    <xf numFmtId="0" fontId="7" fillId="0" borderId="0"/>
    <xf numFmtId="0" fontId="7" fillId="0" borderId="0"/>
    <xf numFmtId="0" fontId="7" fillId="0" borderId="0"/>
    <xf numFmtId="0" fontId="6" fillId="0" borderId="0"/>
    <xf numFmtId="0" fontId="23" fillId="0" borderId="0"/>
    <xf numFmtId="0" fontId="7" fillId="0" borderId="0"/>
    <xf numFmtId="0" fontId="7" fillId="0" borderId="0"/>
    <xf numFmtId="0" fontId="5" fillId="0" borderId="0"/>
    <xf numFmtId="0" fontId="7" fillId="0" borderId="0"/>
    <xf numFmtId="164" fontId="37" fillId="0" borderId="0" applyFont="0" applyFill="0" applyBorder="0" applyAlignment="0" applyProtection="0"/>
    <xf numFmtId="164" fontId="5" fillId="0" borderId="0" applyFont="0" applyFill="0" applyBorder="0" applyAlignment="0" applyProtection="0"/>
    <xf numFmtId="0" fontId="4" fillId="0" borderId="0"/>
    <xf numFmtId="0" fontId="42" fillId="0" borderId="0"/>
    <xf numFmtId="0" fontId="3" fillId="0" borderId="0"/>
    <xf numFmtId="0" fontId="3" fillId="0" borderId="0"/>
    <xf numFmtId="164" fontId="3" fillId="0" borderId="0" applyFont="0" applyFill="0" applyBorder="0" applyAlignment="0" applyProtection="0"/>
    <xf numFmtId="0" fontId="3" fillId="0" borderId="0"/>
    <xf numFmtId="0" fontId="2" fillId="0" borderId="0"/>
    <xf numFmtId="0" fontId="2" fillId="0" borderId="0"/>
    <xf numFmtId="164" fontId="37"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1" fillId="0" borderId="0"/>
    <xf numFmtId="0" fontId="1" fillId="0" borderId="0"/>
    <xf numFmtId="164" fontId="37"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37"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4667">
    <xf numFmtId="0" fontId="0" fillId="0" borderId="0" xfId="0"/>
    <xf numFmtId="0" fontId="7" fillId="0" borderId="0" xfId="0" applyFont="1" applyAlignment="1">
      <alignment vertical="center"/>
    </xf>
    <xf numFmtId="0" fontId="9" fillId="3"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3" fontId="9" fillId="0" borderId="23" xfId="1" applyNumberFormat="1" applyFont="1" applyFill="1" applyBorder="1" applyAlignment="1">
      <alignment vertical="center" wrapText="1"/>
    </xf>
    <xf numFmtId="3" fontId="7" fillId="0" borderId="24" xfId="0" applyNumberFormat="1" applyFont="1" applyFill="1" applyBorder="1" applyAlignment="1">
      <alignment vertical="center" wrapText="1"/>
    </xf>
    <xf numFmtId="3" fontId="7" fillId="0" borderId="23" xfId="0" applyNumberFormat="1"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6" xfId="0" applyFont="1" applyFill="1" applyBorder="1" applyAlignment="1">
      <alignment horizontal="center" vertical="center" wrapText="1"/>
    </xf>
    <xf numFmtId="3" fontId="9" fillId="0" borderId="22" xfId="1" applyNumberFormat="1" applyFont="1" applyFill="1" applyBorder="1" applyAlignment="1">
      <alignment vertical="center" wrapText="1"/>
    </xf>
    <xf numFmtId="3" fontId="7" fillId="0" borderId="29" xfId="0" applyNumberFormat="1" applyFont="1" applyFill="1" applyBorder="1" applyAlignment="1">
      <alignment vertical="center" wrapText="1"/>
    </xf>
    <xf numFmtId="3" fontId="7" fillId="0" borderId="22" xfId="0" applyNumberFormat="1" applyFont="1" applyFill="1" applyBorder="1" applyAlignment="1">
      <alignment vertical="center" wrapText="1"/>
    </xf>
    <xf numFmtId="3" fontId="7" fillId="0" borderId="14" xfId="0" applyNumberFormat="1" applyFont="1" applyFill="1" applyBorder="1" applyAlignment="1">
      <alignment vertical="center" wrapText="1"/>
    </xf>
    <xf numFmtId="3" fontId="7" fillId="0" borderId="16" xfId="0" applyNumberFormat="1" applyFont="1" applyFill="1" applyBorder="1" applyAlignment="1">
      <alignment vertical="center" wrapText="1"/>
    </xf>
    <xf numFmtId="0" fontId="7" fillId="0" borderId="22" xfId="0" applyFont="1" applyFill="1" applyBorder="1" applyAlignment="1">
      <alignment horizontal="center" vertical="center" wrapText="1"/>
    </xf>
    <xf numFmtId="3" fontId="9" fillId="0" borderId="32" xfId="1" applyNumberFormat="1" applyFont="1" applyFill="1" applyBorder="1" applyAlignment="1">
      <alignment vertical="center" wrapText="1"/>
    </xf>
    <xf numFmtId="3" fontId="9" fillId="0" borderId="31" xfId="1" applyNumberFormat="1" applyFont="1" applyFill="1" applyBorder="1" applyAlignment="1">
      <alignment vertical="center" wrapText="1"/>
    </xf>
    <xf numFmtId="3" fontId="7" fillId="0" borderId="9" xfId="0" applyNumberFormat="1" applyFont="1" applyFill="1" applyBorder="1" applyAlignment="1">
      <alignment vertical="center" wrapText="1"/>
    </xf>
    <xf numFmtId="3" fontId="7" fillId="0" borderId="2"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9" fillId="0" borderId="26" xfId="1" applyNumberFormat="1" applyFont="1" applyFill="1" applyBorder="1" applyAlignment="1">
      <alignment vertical="center" wrapText="1"/>
    </xf>
    <xf numFmtId="3" fontId="7" fillId="0" borderId="32" xfId="0" applyNumberFormat="1" applyFont="1" applyFill="1" applyBorder="1" applyAlignment="1">
      <alignment vertical="center" wrapText="1"/>
    </xf>
    <xf numFmtId="3" fontId="7" fillId="0" borderId="26" xfId="0" applyNumberFormat="1" applyFont="1" applyFill="1" applyBorder="1" applyAlignment="1">
      <alignment vertical="center" wrapText="1"/>
    </xf>
    <xf numFmtId="3" fontId="13" fillId="0" borderId="35" xfId="0" applyNumberFormat="1" applyFont="1" applyFill="1" applyBorder="1" applyAlignment="1">
      <alignment vertical="center" wrapText="1"/>
    </xf>
    <xf numFmtId="3" fontId="13" fillId="0" borderId="33" xfId="0" applyNumberFormat="1" applyFont="1" applyFill="1" applyBorder="1" applyAlignment="1">
      <alignment vertical="center" wrapText="1"/>
    </xf>
    <xf numFmtId="3" fontId="14" fillId="0" borderId="26" xfId="1" applyNumberFormat="1" applyFont="1" applyFill="1" applyBorder="1" applyAlignment="1">
      <alignment vertical="center" wrapText="1"/>
    </xf>
    <xf numFmtId="3" fontId="13" fillId="0" borderId="32" xfId="0" applyNumberFormat="1" applyFont="1" applyFill="1" applyBorder="1" applyAlignment="1">
      <alignment vertical="center" wrapText="1"/>
    </xf>
    <xf numFmtId="3" fontId="13" fillId="0" borderId="26" xfId="0" applyNumberFormat="1" applyFont="1" applyFill="1" applyBorder="1" applyAlignment="1">
      <alignment vertical="center" wrapText="1"/>
    </xf>
    <xf numFmtId="3" fontId="9" fillId="0" borderId="33" xfId="1" applyNumberFormat="1" applyFont="1" applyFill="1" applyBorder="1" applyAlignment="1">
      <alignment vertical="center" wrapText="1"/>
    </xf>
    <xf numFmtId="3" fontId="7" fillId="0" borderId="35" xfId="0" applyNumberFormat="1" applyFont="1" applyFill="1" applyBorder="1" applyAlignment="1">
      <alignment vertical="center" wrapText="1"/>
    </xf>
    <xf numFmtId="3" fontId="7" fillId="0" borderId="33" xfId="0" applyNumberFormat="1" applyFont="1" applyFill="1" applyBorder="1" applyAlignment="1">
      <alignment vertical="center" wrapText="1"/>
    </xf>
    <xf numFmtId="3" fontId="7" fillId="0" borderId="27" xfId="0" applyNumberFormat="1" applyFont="1" applyFill="1" applyBorder="1" applyAlignment="1">
      <alignment vertical="center" wrapText="1"/>
    </xf>
    <xf numFmtId="3" fontId="7" fillId="0" borderId="40" xfId="0" applyNumberFormat="1" applyFont="1" applyFill="1" applyBorder="1" applyAlignment="1">
      <alignment vertical="center" wrapText="1"/>
    </xf>
    <xf numFmtId="3" fontId="7" fillId="0" borderId="37" xfId="0" applyNumberFormat="1" applyFont="1" applyFill="1" applyBorder="1" applyAlignment="1">
      <alignment vertical="center" wrapText="1"/>
    </xf>
    <xf numFmtId="3" fontId="7" fillId="0" borderId="28" xfId="0" applyNumberFormat="1" applyFont="1" applyFill="1" applyBorder="1" applyAlignment="1">
      <alignment vertical="center" wrapText="1"/>
    </xf>
    <xf numFmtId="3" fontId="7" fillId="0" borderId="34" xfId="0" applyNumberFormat="1" applyFont="1" applyFill="1" applyBorder="1" applyAlignment="1">
      <alignment vertical="center" wrapText="1"/>
    </xf>
    <xf numFmtId="3" fontId="7" fillId="0" borderId="26" xfId="0" applyNumberFormat="1" applyFont="1" applyFill="1" applyBorder="1" applyAlignment="1">
      <alignment vertical="center"/>
    </xf>
    <xf numFmtId="3" fontId="7" fillId="0" borderId="32"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31" xfId="0" applyNumberFormat="1" applyFont="1" applyFill="1" applyBorder="1" applyAlignment="1">
      <alignment vertical="center" wrapText="1"/>
    </xf>
    <xf numFmtId="3" fontId="13" fillId="0" borderId="31" xfId="0" applyNumberFormat="1" applyFont="1" applyFill="1" applyBorder="1" applyAlignment="1">
      <alignment vertical="center" wrapText="1"/>
    </xf>
    <xf numFmtId="3" fontId="13" fillId="0" borderId="32" xfId="0" applyNumberFormat="1" applyFont="1" applyFill="1" applyBorder="1" applyAlignment="1">
      <alignment horizontal="center" vertical="center" wrapText="1"/>
    </xf>
    <xf numFmtId="3" fontId="14" fillId="0" borderId="33" xfId="1" applyNumberFormat="1" applyFont="1" applyFill="1" applyBorder="1" applyAlignment="1">
      <alignment vertical="center" wrapText="1"/>
    </xf>
    <xf numFmtId="3" fontId="13" fillId="0" borderId="34" xfId="0" applyNumberFormat="1" applyFont="1" applyFill="1" applyBorder="1" applyAlignment="1">
      <alignment vertical="center" wrapText="1"/>
    </xf>
    <xf numFmtId="3" fontId="13" fillId="0" borderId="37" xfId="0" applyNumberFormat="1" applyFont="1" applyFill="1" applyBorder="1" applyAlignment="1">
      <alignment vertical="center" wrapText="1"/>
    </xf>
    <xf numFmtId="3" fontId="13" fillId="0" borderId="23" xfId="0" applyNumberFormat="1" applyFont="1" applyFill="1" applyBorder="1" applyAlignment="1">
      <alignment vertical="center" wrapText="1"/>
    </xf>
    <xf numFmtId="3" fontId="13" fillId="0" borderId="24" xfId="0" applyNumberFormat="1" applyFont="1" applyFill="1" applyBorder="1" applyAlignment="1">
      <alignment vertical="center" wrapText="1"/>
    </xf>
    <xf numFmtId="3" fontId="7" fillId="0" borderId="25" xfId="0" applyNumberFormat="1" applyFont="1" applyFill="1" applyBorder="1" applyAlignment="1">
      <alignment vertical="center" wrapText="1"/>
    </xf>
    <xf numFmtId="3" fontId="7" fillId="0" borderId="24" xfId="0" applyNumberFormat="1" applyFont="1" applyFill="1" applyBorder="1" applyAlignment="1">
      <alignment horizontal="right" vertical="center" wrapText="1"/>
    </xf>
    <xf numFmtId="3" fontId="9" fillId="0" borderId="32" xfId="0" applyNumberFormat="1" applyFont="1" applyFill="1" applyBorder="1" applyAlignment="1">
      <alignment vertical="center" wrapText="1"/>
    </xf>
    <xf numFmtId="3" fontId="9" fillId="0" borderId="13" xfId="1" applyNumberFormat="1" applyFont="1" applyFill="1" applyBorder="1" applyAlignment="1">
      <alignment vertical="center" wrapText="1"/>
    </xf>
    <xf numFmtId="3" fontId="7" fillId="0" borderId="45" xfId="0" applyNumberFormat="1" applyFont="1" applyFill="1" applyBorder="1" applyAlignment="1">
      <alignment vertical="center" wrapText="1"/>
    </xf>
    <xf numFmtId="3" fontId="7" fillId="0" borderId="15" xfId="0" applyNumberFormat="1" applyFont="1" applyFill="1" applyBorder="1" applyAlignment="1">
      <alignment vertical="center" wrapText="1"/>
    </xf>
    <xf numFmtId="3" fontId="7" fillId="0" borderId="13" xfId="0" applyNumberFormat="1" applyFont="1" applyFill="1" applyBorder="1" applyAlignment="1">
      <alignment vertical="center" wrapText="1"/>
    </xf>
    <xf numFmtId="3" fontId="9" fillId="0" borderId="2" xfId="1" applyNumberFormat="1" applyFont="1" applyFill="1" applyBorder="1" applyAlignment="1">
      <alignment vertical="center" wrapText="1"/>
    </xf>
    <xf numFmtId="3" fontId="9" fillId="0" borderId="4" xfId="1" applyNumberFormat="1" applyFont="1" applyFill="1" applyBorder="1" applyAlignment="1">
      <alignment vertical="center" wrapText="1"/>
    </xf>
    <xf numFmtId="3" fontId="7" fillId="0" borderId="4" xfId="0" applyNumberFormat="1" applyFont="1" applyFill="1" applyBorder="1" applyAlignment="1">
      <alignment vertical="center" wrapText="1"/>
    </xf>
    <xf numFmtId="0" fontId="7" fillId="0" borderId="3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4" xfId="0" applyFont="1" applyFill="1" applyBorder="1" applyAlignment="1">
      <alignment horizontal="center" vertical="center" wrapText="1"/>
    </xf>
    <xf numFmtId="3" fontId="7" fillId="9" borderId="37" xfId="0" applyNumberFormat="1"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xf numFmtId="0" fontId="7" fillId="0" borderId="0" xfId="0" applyFont="1" applyFill="1"/>
    <xf numFmtId="0" fontId="7" fillId="0" borderId="0" xfId="0" applyFont="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xf>
    <xf numFmtId="0" fontId="8" fillId="0" borderId="0" xfId="0" applyFont="1" applyAlignment="1">
      <alignment horizontal="center" vertical="center" wrapText="1"/>
    </xf>
    <xf numFmtId="49" fontId="9" fillId="0" borderId="23" xfId="0" applyNumberFormat="1" applyFont="1" applyFill="1" applyBorder="1" applyAlignment="1">
      <alignment horizontal="center" vertical="center" wrapText="1"/>
    </xf>
    <xf numFmtId="0" fontId="7" fillId="0" borderId="23" xfId="1" applyFont="1" applyFill="1" applyBorder="1" applyAlignment="1">
      <alignment horizontal="center" vertical="center" wrapText="1"/>
    </xf>
    <xf numFmtId="3" fontId="9" fillId="0" borderId="26" xfId="0" applyNumberFormat="1" applyFont="1" applyFill="1" applyBorder="1" applyAlignment="1">
      <alignment vertical="center" wrapText="1"/>
    </xf>
    <xf numFmtId="49" fontId="9" fillId="0" borderId="26" xfId="0" applyNumberFormat="1" applyFont="1" applyFill="1" applyBorder="1" applyAlignment="1">
      <alignment horizontal="center" vertical="center" wrapText="1"/>
    </xf>
    <xf numFmtId="0" fontId="7" fillId="0" borderId="26" xfId="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3" xfId="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0" fontId="7" fillId="0" borderId="37" xfId="0" applyFont="1" applyFill="1" applyBorder="1" applyAlignment="1">
      <alignment horizontal="center" vertical="center" wrapText="1"/>
    </xf>
    <xf numFmtId="49" fontId="14" fillId="0" borderId="33" xfId="0" applyNumberFormat="1"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32" xfId="1" applyFont="1" applyFill="1" applyBorder="1" applyAlignment="1">
      <alignment horizontal="center" vertical="center" wrapText="1"/>
    </xf>
    <xf numFmtId="3" fontId="14" fillId="0" borderId="23" xfId="1" applyNumberFormat="1" applyFont="1" applyFill="1" applyBorder="1" applyAlignment="1">
      <alignment vertical="center" wrapText="1"/>
    </xf>
    <xf numFmtId="3" fontId="13" fillId="0" borderId="27" xfId="0" applyNumberFormat="1" applyFont="1" applyFill="1" applyBorder="1" applyAlignment="1">
      <alignment vertical="center" wrapText="1"/>
    </xf>
    <xf numFmtId="3" fontId="13" fillId="0" borderId="40" xfId="0" applyNumberFormat="1" applyFont="1" applyFill="1" applyBorder="1" applyAlignment="1">
      <alignment vertical="center" wrapText="1"/>
    </xf>
    <xf numFmtId="0" fontId="13" fillId="0" borderId="35" xfId="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0" fontId="13" fillId="0" borderId="23" xfId="1" applyFont="1" applyFill="1" applyBorder="1" applyAlignment="1">
      <alignment horizontal="center" vertical="center" wrapText="1"/>
    </xf>
    <xf numFmtId="3" fontId="13" fillId="0" borderId="25" xfId="0" applyNumberFormat="1" applyFont="1" applyFill="1" applyBorder="1" applyAlignment="1">
      <alignment vertical="center" wrapText="1"/>
    </xf>
    <xf numFmtId="0" fontId="7" fillId="0" borderId="33" xfId="1" applyFont="1" applyFill="1" applyBorder="1" applyAlignment="1">
      <alignment horizontal="center" vertical="center" wrapText="1"/>
    </xf>
    <xf numFmtId="0" fontId="7" fillId="0" borderId="33" xfId="0"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2" xfId="1" applyFont="1" applyFill="1" applyBorder="1" applyAlignment="1">
      <alignment horizontal="center" vertical="center" wrapText="1"/>
    </xf>
    <xf numFmtId="49" fontId="9" fillId="0" borderId="26" xfId="0" applyNumberFormat="1" applyFont="1" applyFill="1" applyBorder="1" applyAlignment="1">
      <alignment horizontal="center" vertical="center" wrapText="1" shrinkToFit="1"/>
    </xf>
    <xf numFmtId="0" fontId="7" fillId="0" borderId="2"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13" borderId="16" xfId="0" applyFont="1" applyFill="1" applyBorder="1" applyAlignment="1">
      <alignment horizontal="center" vertical="center" wrapText="1"/>
    </xf>
    <xf numFmtId="49" fontId="9" fillId="0" borderId="0" xfId="0" applyNumberFormat="1" applyFont="1" applyFill="1" applyAlignment="1">
      <alignment horizontal="center" vertical="center"/>
    </xf>
    <xf numFmtId="49" fontId="9" fillId="0" borderId="2" xfId="0" applyNumberFormat="1" applyFont="1" applyFill="1" applyBorder="1" applyAlignment="1">
      <alignment horizontal="center" vertical="center" wrapText="1" shrinkToFit="1"/>
    </xf>
    <xf numFmtId="49" fontId="9" fillId="0" borderId="22" xfId="0" applyNumberFormat="1" applyFont="1" applyFill="1" applyBorder="1" applyAlignment="1">
      <alignment horizontal="center" vertical="center" wrapText="1" shrinkToFit="1"/>
    </xf>
    <xf numFmtId="49" fontId="9" fillId="0" borderId="33" xfId="0" applyNumberFormat="1" applyFont="1" applyFill="1" applyBorder="1" applyAlignment="1">
      <alignment horizontal="center" vertical="center" wrapText="1" shrinkToFit="1"/>
    </xf>
    <xf numFmtId="0" fontId="9" fillId="0" borderId="6" xfId="0"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3" fontId="7" fillId="0" borderId="0" xfId="0" applyNumberFormat="1" applyFont="1" applyAlignment="1">
      <alignment vertical="center"/>
    </xf>
    <xf numFmtId="3" fontId="7" fillId="0" borderId="0" xfId="0" applyNumberFormat="1" applyFont="1" applyFill="1" applyAlignment="1">
      <alignment vertical="center"/>
    </xf>
    <xf numFmtId="0" fontId="7" fillId="0" borderId="0" xfId="0" applyFont="1" applyFill="1" applyAlignment="1">
      <alignment vertical="center"/>
    </xf>
    <xf numFmtId="1" fontId="7" fillId="0" borderId="0" xfId="0" applyNumberFormat="1" applyFont="1" applyFill="1" applyAlignment="1">
      <alignment horizontal="center" vertical="center"/>
    </xf>
    <xf numFmtId="3" fontId="9" fillId="12" borderId="18" xfId="1" applyNumberFormat="1" applyFont="1" applyFill="1" applyBorder="1" applyAlignment="1">
      <alignment vertical="center" wrapText="1"/>
    </xf>
    <xf numFmtId="0" fontId="9" fillId="12" borderId="18" xfId="0" applyFont="1" applyFill="1" applyBorder="1" applyAlignment="1">
      <alignment horizontal="center" vertical="center" wrapText="1"/>
    </xf>
    <xf numFmtId="0" fontId="7" fillId="13" borderId="1" xfId="0" applyFont="1" applyFill="1" applyBorder="1" applyAlignment="1">
      <alignment horizontal="center" vertical="center" wrapText="1"/>
    </xf>
    <xf numFmtId="3" fontId="7" fillId="0" borderId="19" xfId="0" applyNumberFormat="1" applyFont="1" applyFill="1" applyBorder="1" applyAlignment="1">
      <alignment vertical="center" wrapText="1"/>
    </xf>
    <xf numFmtId="3" fontId="7" fillId="0" borderId="8" xfId="0" applyNumberFormat="1" applyFont="1" applyFill="1" applyBorder="1" applyAlignment="1">
      <alignment vertical="center" wrapText="1"/>
    </xf>
    <xf numFmtId="4" fontId="9" fillId="8" borderId="16" xfId="0" applyNumberFormat="1" applyFont="1" applyFill="1" applyBorder="1" applyAlignment="1">
      <alignment horizontal="center" vertical="center" wrapText="1"/>
    </xf>
    <xf numFmtId="4" fontId="9" fillId="6" borderId="52" xfId="0" applyNumberFormat="1" applyFont="1" applyFill="1" applyBorder="1" applyAlignment="1">
      <alignment horizontal="center" vertical="center" wrapText="1"/>
    </xf>
    <xf numFmtId="4" fontId="7" fillId="0" borderId="0" xfId="0" applyNumberFormat="1" applyFont="1" applyFill="1" applyBorder="1" applyAlignment="1">
      <alignment vertical="center"/>
    </xf>
    <xf numFmtId="4" fontId="9" fillId="12" borderId="18" xfId="1" applyNumberFormat="1" applyFont="1" applyFill="1" applyBorder="1" applyAlignment="1">
      <alignment horizontal="center" vertical="center" wrapText="1"/>
    </xf>
    <xf numFmtId="49" fontId="9" fillId="12" borderId="18" xfId="0" applyNumberFormat="1" applyFont="1" applyFill="1" applyBorder="1" applyAlignment="1">
      <alignment horizontal="center" vertical="center" wrapText="1"/>
    </xf>
    <xf numFmtId="3" fontId="9" fillId="12" borderId="18" xfId="1"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0" fontId="7" fillId="13" borderId="18" xfId="0"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49" fontId="9" fillId="12" borderId="18" xfId="1"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0" xfId="0" applyNumberFormat="1" applyFont="1" applyFill="1" applyAlignment="1">
      <alignment horizontal="center" vertical="center"/>
    </xf>
    <xf numFmtId="3" fontId="13" fillId="0" borderId="26" xfId="1" applyNumberFormat="1" applyFont="1" applyFill="1" applyBorder="1" applyAlignment="1">
      <alignment vertical="center" wrapText="1"/>
    </xf>
    <xf numFmtId="3" fontId="13" fillId="0" borderId="32" xfId="0" applyNumberFormat="1" applyFont="1" applyFill="1" applyBorder="1" applyAlignment="1">
      <alignment vertical="center"/>
    </xf>
    <xf numFmtId="3" fontId="13" fillId="0" borderId="26" xfId="0" applyNumberFormat="1" applyFont="1" applyFill="1" applyBorder="1" applyAlignment="1">
      <alignment vertical="center"/>
    </xf>
    <xf numFmtId="3" fontId="9" fillId="0" borderId="24" xfId="1" applyNumberFormat="1" applyFont="1" applyFill="1" applyBorder="1" applyAlignment="1">
      <alignment vertical="center" wrapText="1"/>
    </xf>
    <xf numFmtId="3" fontId="14" fillId="0" borderId="35" xfId="1" applyNumberFormat="1" applyFont="1" applyFill="1" applyBorder="1" applyAlignment="1">
      <alignment vertical="center" wrapText="1"/>
    </xf>
    <xf numFmtId="0" fontId="7" fillId="0" borderId="0" xfId="0" applyFont="1" applyFill="1" applyAlignment="1">
      <alignment horizontal="center" wrapText="1"/>
    </xf>
    <xf numFmtId="1" fontId="7" fillId="0" borderId="0" xfId="0" applyNumberFormat="1" applyFont="1" applyFill="1" applyAlignment="1">
      <alignment horizontal="center" wrapText="1"/>
    </xf>
    <xf numFmtId="1" fontId="7" fillId="4" borderId="0" xfId="0" applyNumberFormat="1" applyFont="1" applyFill="1" applyAlignment="1">
      <alignment horizontal="center" wrapText="1"/>
    </xf>
    <xf numFmtId="1" fontId="7" fillId="5" borderId="2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0" borderId="31"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3" fillId="0" borderId="32"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shrinkToFit="1"/>
    </xf>
    <xf numFmtId="49" fontId="9" fillId="0" borderId="23" xfId="0" applyNumberFormat="1" applyFont="1" applyFill="1" applyBorder="1" applyAlignment="1">
      <alignment horizontal="center" vertical="center" wrapText="1" shrinkToFit="1"/>
    </xf>
    <xf numFmtId="49" fontId="14" fillId="0" borderId="23" xfId="0" applyNumberFormat="1" applyFont="1" applyFill="1" applyBorder="1" applyAlignment="1">
      <alignment horizontal="center" vertical="center" wrapText="1" shrinkToFit="1"/>
    </xf>
    <xf numFmtId="49" fontId="14" fillId="0" borderId="33" xfId="0" applyNumberFormat="1" applyFont="1" applyFill="1" applyBorder="1" applyAlignment="1">
      <alignment horizontal="center" vertical="center" wrapText="1" shrinkToFit="1"/>
    </xf>
    <xf numFmtId="1" fontId="9" fillId="4" borderId="0"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7" fillId="0" borderId="24" xfId="0" applyFont="1" applyFill="1" applyBorder="1" applyAlignment="1">
      <alignment horizontal="center" vertical="center" wrapText="1"/>
    </xf>
    <xf numFmtId="167" fontId="7" fillId="0" borderId="0" xfId="0" applyNumberFormat="1" applyFont="1" applyFill="1" applyAlignment="1">
      <alignment vertical="center"/>
    </xf>
    <xf numFmtId="4" fontId="7" fillId="0" borderId="0" xfId="0" applyNumberFormat="1" applyFont="1" applyAlignment="1">
      <alignment vertical="center"/>
    </xf>
    <xf numFmtId="4" fontId="7" fillId="0" borderId="0" xfId="0" applyNumberFormat="1" applyFont="1" applyFill="1" applyAlignment="1">
      <alignment vertical="center"/>
    </xf>
    <xf numFmtId="4" fontId="7" fillId="0" borderId="0" xfId="0" applyNumberFormat="1" applyFont="1" applyFill="1" applyAlignment="1">
      <alignment horizontal="right" vertical="center"/>
    </xf>
    <xf numFmtId="3" fontId="9" fillId="12" borderId="6" xfId="0" applyNumberFormat="1" applyFont="1" applyFill="1" applyBorder="1" applyAlignment="1">
      <alignment horizontal="right" wrapText="1"/>
    </xf>
    <xf numFmtId="3" fontId="9" fillId="12" borderId="2" xfId="0" applyNumberFormat="1" applyFont="1" applyFill="1" applyBorder="1" applyAlignment="1"/>
    <xf numFmtId="3" fontId="9" fillId="12" borderId="23" xfId="0" applyNumberFormat="1" applyFont="1" applyFill="1" applyBorder="1" applyAlignment="1"/>
    <xf numFmtId="3" fontId="9" fillId="12" borderId="26" xfId="0" applyNumberFormat="1" applyFont="1" applyFill="1" applyBorder="1" applyAlignment="1"/>
    <xf numFmtId="3" fontId="9" fillId="12" borderId="22" xfId="0" applyNumberFormat="1" applyFont="1" applyFill="1" applyBorder="1" applyAlignment="1"/>
    <xf numFmtId="3" fontId="9" fillId="12" borderId="18" xfId="0" applyNumberFormat="1" applyFont="1" applyFill="1" applyBorder="1" applyAlignment="1"/>
    <xf numFmtId="3" fontId="9" fillId="12" borderId="11" xfId="0" applyNumberFormat="1" applyFont="1" applyFill="1" applyBorder="1" applyAlignment="1"/>
    <xf numFmtId="3" fontId="9" fillId="12" borderId="6" xfId="0" applyNumberFormat="1" applyFont="1" applyFill="1" applyBorder="1" applyAlignment="1"/>
    <xf numFmtId="1" fontId="9" fillId="0" borderId="20" xfId="0" applyNumberFormat="1" applyFont="1" applyFill="1" applyBorder="1" applyAlignment="1">
      <alignment horizontal="center" vertical="center" wrapText="1"/>
    </xf>
    <xf numFmtId="0" fontId="9" fillId="12" borderId="6"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49" fontId="9" fillId="0" borderId="13" xfId="0" applyNumberFormat="1" applyFont="1" applyFill="1" applyBorder="1" applyAlignment="1">
      <alignment horizontal="center" vertical="center" wrapText="1" shrinkToFit="1"/>
    </xf>
    <xf numFmtId="3" fontId="14" fillId="0" borderId="32" xfId="1" applyNumberFormat="1" applyFont="1" applyFill="1" applyBorder="1" applyAlignment="1">
      <alignment vertical="center" wrapText="1"/>
    </xf>
    <xf numFmtId="49" fontId="14" fillId="0" borderId="26"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0" fontId="18" fillId="0" borderId="0" xfId="0" applyFont="1"/>
    <xf numFmtId="0" fontId="18" fillId="0" borderId="0" xfId="0" applyFont="1" applyFill="1"/>
    <xf numFmtId="0" fontId="24" fillId="0" borderId="0" xfId="0" applyFont="1"/>
    <xf numFmtId="0" fontId="24" fillId="0" borderId="0" xfId="0" applyFont="1" applyFill="1"/>
    <xf numFmtId="0" fontId="13" fillId="0" borderId="0" xfId="0" applyFont="1" applyFill="1"/>
    <xf numFmtId="3" fontId="14" fillId="0" borderId="26" xfId="0" applyNumberFormat="1" applyFont="1" applyFill="1" applyBorder="1" applyAlignment="1">
      <alignment vertical="center" wrapText="1"/>
    </xf>
    <xf numFmtId="0" fontId="18" fillId="0" borderId="0" xfId="0" applyFont="1" applyAlignment="1">
      <alignment horizontal="center" vertical="center"/>
    </xf>
    <xf numFmtId="49" fontId="18" fillId="0" borderId="0" xfId="0" applyNumberFormat="1" applyFont="1" applyAlignment="1">
      <alignment horizontal="center" vertical="center"/>
    </xf>
    <xf numFmtId="3" fontId="9" fillId="0" borderId="18" xfId="1" applyNumberFormat="1" applyFont="1" applyFill="1" applyBorder="1" applyAlignment="1">
      <alignment vertical="center" wrapText="1"/>
    </xf>
    <xf numFmtId="3" fontId="9" fillId="0" borderId="3" xfId="1" applyNumberFormat="1" applyFont="1" applyFill="1" applyBorder="1" applyAlignment="1">
      <alignment vertical="center" wrapText="1"/>
    </xf>
    <xf numFmtId="49" fontId="14" fillId="0" borderId="24" xfId="0" applyNumberFormat="1" applyFont="1" applyFill="1" applyBorder="1" applyAlignment="1">
      <alignment horizontal="center" vertical="center" wrapText="1" shrinkToFit="1"/>
    </xf>
    <xf numFmtId="49" fontId="14" fillId="0" borderId="32" xfId="0" applyNumberFormat="1" applyFont="1" applyFill="1" applyBorder="1" applyAlignment="1">
      <alignment horizontal="center" vertical="center" wrapText="1" shrinkToFit="1"/>
    </xf>
    <xf numFmtId="49" fontId="9" fillId="0" borderId="3"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49" fontId="13" fillId="0" borderId="32" xfId="0" applyNumberFormat="1" applyFont="1" applyFill="1" applyBorder="1" applyAlignment="1">
      <alignment horizontal="center" vertical="center" wrapText="1" shrinkToFit="1"/>
    </xf>
    <xf numFmtId="0" fontId="13" fillId="0" borderId="31" xfId="0" applyFont="1" applyFill="1" applyBorder="1" applyAlignment="1">
      <alignment horizontal="center" vertical="center" wrapText="1"/>
    </xf>
    <xf numFmtId="4" fontId="13" fillId="0" borderId="32"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12" borderId="5" xfId="0" applyFont="1" applyFill="1" applyBorder="1" applyAlignment="1">
      <alignment horizontal="center" wrapText="1"/>
    </xf>
    <xf numFmtId="0" fontId="7" fillId="12" borderId="27" xfId="0" applyFont="1" applyFill="1" applyBorder="1" applyAlignment="1">
      <alignment horizontal="center"/>
    </xf>
    <xf numFmtId="0" fontId="7" fillId="12" borderId="37" xfId="0" applyFont="1" applyFill="1" applyBorder="1" applyAlignment="1">
      <alignment horizontal="center"/>
    </xf>
    <xf numFmtId="0" fontId="7" fillId="12" borderId="0" xfId="0" applyFont="1" applyFill="1" applyBorder="1" applyAlignment="1">
      <alignment horizontal="center"/>
    </xf>
    <xf numFmtId="4" fontId="9" fillId="12" borderId="7" xfId="0" applyNumberFormat="1" applyFont="1" applyFill="1" applyBorder="1" applyAlignment="1">
      <alignment horizontal="center"/>
    </xf>
    <xf numFmtId="0" fontId="18" fillId="0" borderId="0" xfId="0" applyFont="1" applyAlignment="1">
      <alignment horizontal="center"/>
    </xf>
    <xf numFmtId="4" fontId="9" fillId="12" borderId="12" xfId="0" applyNumberFormat="1" applyFont="1" applyFill="1" applyBorder="1" applyAlignment="1">
      <alignment horizontal="left"/>
    </xf>
    <xf numFmtId="4" fontId="7" fillId="12" borderId="4" xfId="0" applyNumberFormat="1" applyFont="1" applyFill="1" applyBorder="1" applyAlignment="1">
      <alignment horizontal="left"/>
    </xf>
    <xf numFmtId="4" fontId="7" fillId="12" borderId="25" xfId="0" applyNumberFormat="1" applyFont="1" applyFill="1" applyBorder="1" applyAlignment="1">
      <alignment horizontal="left"/>
    </xf>
    <xf numFmtId="4" fontId="7" fillId="12" borderId="31" xfId="0" applyNumberFormat="1" applyFont="1" applyFill="1" applyBorder="1" applyAlignment="1">
      <alignment horizontal="left"/>
    </xf>
    <xf numFmtId="4" fontId="7" fillId="12" borderId="28" xfId="0" applyNumberFormat="1" applyFont="1" applyFill="1" applyBorder="1" applyAlignment="1">
      <alignment horizontal="left"/>
    </xf>
    <xf numFmtId="4" fontId="9" fillId="12" borderId="10" xfId="0" applyNumberFormat="1" applyFont="1" applyFill="1" applyBorder="1" applyAlignment="1">
      <alignment horizontal="left"/>
    </xf>
    <xf numFmtId="0" fontId="15" fillId="0" borderId="0" xfId="0" applyFont="1" applyFill="1"/>
    <xf numFmtId="3" fontId="7" fillId="0" borderId="0" xfId="0" applyNumberFormat="1" applyFont="1" applyAlignment="1">
      <alignment horizontal="right" vertical="center"/>
    </xf>
    <xf numFmtId="0" fontId="18" fillId="0" borderId="0" xfId="0" applyFont="1" applyAlignment="1">
      <alignment horizontal="right"/>
    </xf>
    <xf numFmtId="4" fontId="7" fillId="0" borderId="0" xfId="0" applyNumberFormat="1" applyFont="1" applyAlignment="1">
      <alignment horizontal="right" vertical="center"/>
    </xf>
    <xf numFmtId="0" fontId="7" fillId="12" borderId="18" xfId="1" applyFont="1" applyFill="1" applyBorder="1" applyAlignment="1">
      <alignment horizontal="center" vertical="center" wrapText="1"/>
    </xf>
    <xf numFmtId="0" fontId="7" fillId="12" borderId="6"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12" borderId="5" xfId="1" applyFont="1" applyFill="1" applyBorder="1" applyAlignment="1">
      <alignment horizontal="center" vertical="center" wrapText="1"/>
    </xf>
    <xf numFmtId="49" fontId="9" fillId="0" borderId="0" xfId="0" applyNumberFormat="1" applyFont="1" applyAlignment="1">
      <alignment horizontal="center"/>
    </xf>
    <xf numFmtId="0" fontId="7" fillId="12" borderId="8" xfId="0" applyFont="1" applyFill="1" applyBorder="1" applyAlignment="1">
      <alignment horizontal="center"/>
    </xf>
    <xf numFmtId="0" fontId="22" fillId="0" borderId="0" xfId="0" applyFont="1" applyAlignment="1">
      <alignment horizontal="center"/>
    </xf>
    <xf numFmtId="0" fontId="8" fillId="0" borderId="23" xfId="0" applyFont="1" applyFill="1" applyBorder="1" applyAlignment="1">
      <alignment horizontal="center" vertical="center" wrapText="1"/>
    </xf>
    <xf numFmtId="0" fontId="10" fillId="12" borderId="18" xfId="1"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12" borderId="12" xfId="1" applyFont="1" applyFill="1" applyBorder="1" applyAlignment="1">
      <alignment horizontal="center" vertical="center" wrapText="1"/>
    </xf>
    <xf numFmtId="0" fontId="27" fillId="0" borderId="26" xfId="0" applyFont="1" applyFill="1" applyBorder="1" applyAlignment="1">
      <alignment horizontal="center" vertical="center" wrapText="1"/>
    </xf>
    <xf numFmtId="0" fontId="8" fillId="0" borderId="31" xfId="1" applyFont="1" applyFill="1" applyBorder="1" applyAlignment="1">
      <alignment horizontal="center" vertical="center" wrapText="1"/>
    </xf>
    <xf numFmtId="0" fontId="27" fillId="0" borderId="34" xfId="1" applyFont="1" applyFill="1" applyBorder="1" applyAlignment="1">
      <alignment horizontal="center" vertical="center" wrapText="1"/>
    </xf>
    <xf numFmtId="0" fontId="27" fillId="0" borderId="42" xfId="0" applyFont="1" applyFill="1" applyBorder="1" applyAlignment="1">
      <alignment horizontal="center" vertical="center"/>
    </xf>
    <xf numFmtId="0" fontId="27" fillId="0" borderId="40" xfId="0" applyFont="1" applyFill="1" applyBorder="1" applyAlignment="1">
      <alignment horizontal="center" vertical="center" wrapText="1"/>
    </xf>
    <xf numFmtId="0" fontId="27" fillId="0" borderId="37" xfId="0" applyFont="1" applyFill="1" applyBorder="1" applyAlignment="1">
      <alignment horizontal="center" vertical="center"/>
    </xf>
    <xf numFmtId="0" fontId="27" fillId="0" borderId="31" xfId="0" applyFont="1" applyFill="1" applyBorder="1" applyAlignment="1">
      <alignment horizontal="center" vertical="center" wrapText="1"/>
    </xf>
    <xf numFmtId="0" fontId="27" fillId="0" borderId="31" xfId="1" applyFont="1" applyFill="1" applyBorder="1" applyAlignment="1">
      <alignment horizontal="center" vertical="center" wrapText="1"/>
    </xf>
    <xf numFmtId="0" fontId="27" fillId="0" borderId="26"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2" xfId="1" applyFont="1" applyFill="1" applyBorder="1" applyAlignment="1">
      <alignment horizontal="center" vertical="center" wrapText="1"/>
    </xf>
    <xf numFmtId="165" fontId="8" fillId="0" borderId="0" xfId="0" applyNumberFormat="1" applyFont="1" applyFill="1" applyAlignment="1">
      <alignment horizontal="center" vertical="center"/>
    </xf>
    <xf numFmtId="0" fontId="8" fillId="12" borderId="5" xfId="0" applyFont="1" applyFill="1" applyBorder="1" applyAlignment="1">
      <alignment horizontal="center" wrapText="1"/>
    </xf>
    <xf numFmtId="0" fontId="8" fillId="12" borderId="9" xfId="0" applyFont="1" applyFill="1" applyBorder="1" applyAlignment="1">
      <alignment horizontal="center"/>
    </xf>
    <xf numFmtId="0" fontId="8" fillId="12" borderId="27" xfId="0" applyFont="1" applyFill="1" applyBorder="1" applyAlignment="1">
      <alignment horizontal="center"/>
    </xf>
    <xf numFmtId="0" fontId="8" fillId="12" borderId="37" xfId="0" applyFont="1" applyFill="1" applyBorder="1" applyAlignment="1">
      <alignment horizontal="center"/>
    </xf>
    <xf numFmtId="0" fontId="8" fillId="12" borderId="0" xfId="0" applyFont="1" applyFill="1" applyBorder="1" applyAlignment="1">
      <alignment horizontal="center"/>
    </xf>
    <xf numFmtId="4" fontId="10" fillId="12" borderId="7" xfId="0" applyNumberFormat="1" applyFont="1" applyFill="1" applyBorder="1" applyAlignment="1">
      <alignment horizontal="center"/>
    </xf>
    <xf numFmtId="0" fontId="28" fillId="0" borderId="0" xfId="0" applyFont="1" applyAlignment="1">
      <alignment horizontal="center"/>
    </xf>
    <xf numFmtId="0" fontId="27" fillId="0" borderId="37" xfId="1" applyFont="1" applyFill="1" applyBorder="1" applyAlignment="1">
      <alignment horizontal="center" vertical="center" wrapText="1"/>
    </xf>
    <xf numFmtId="0" fontId="27" fillId="0" borderId="27"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27" fillId="0" borderId="32" xfId="1" applyFont="1" applyFill="1" applyBorder="1" applyAlignment="1">
      <alignment horizontal="center" vertical="center" wrapText="1"/>
    </xf>
    <xf numFmtId="0" fontId="7" fillId="0" borderId="3"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Fill="1" applyAlignment="1">
      <alignment horizontal="center" vertical="center"/>
    </xf>
    <xf numFmtId="166" fontId="7" fillId="0" borderId="0" xfId="0" applyNumberFormat="1" applyFont="1" applyAlignment="1">
      <alignment horizontal="center" vertical="center"/>
    </xf>
    <xf numFmtId="1" fontId="7" fillId="0" borderId="0" xfId="0" applyNumberFormat="1" applyFont="1" applyFill="1" applyBorder="1" applyAlignment="1">
      <alignment horizontal="center" vertical="center" wrapText="1"/>
    </xf>
    <xf numFmtId="3" fontId="9" fillId="0" borderId="9" xfId="1" applyNumberFormat="1" applyFont="1" applyFill="1" applyBorder="1" applyAlignment="1">
      <alignment vertical="center" wrapText="1"/>
    </xf>
    <xf numFmtId="3" fontId="7" fillId="0" borderId="53" xfId="0" applyNumberFormat="1" applyFont="1" applyFill="1" applyBorder="1" applyAlignment="1">
      <alignment vertical="center" wrapText="1"/>
    </xf>
    <xf numFmtId="3" fontId="9" fillId="0" borderId="2" xfId="0" applyNumberFormat="1" applyFont="1" applyFill="1" applyBorder="1" applyAlignment="1">
      <alignment vertical="center" wrapText="1"/>
    </xf>
    <xf numFmtId="3" fontId="9" fillId="0" borderId="9" xfId="0" applyNumberFormat="1" applyFont="1" applyFill="1" applyBorder="1" applyAlignment="1">
      <alignment vertical="center" wrapText="1"/>
    </xf>
    <xf numFmtId="3" fontId="7" fillId="0" borderId="36" xfId="0" applyNumberFormat="1" applyFont="1" applyFill="1" applyBorder="1" applyAlignment="1">
      <alignment vertical="center" wrapText="1"/>
    </xf>
    <xf numFmtId="49"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shrinkToFit="1"/>
    </xf>
    <xf numFmtId="0" fontId="7" fillId="0" borderId="48" xfId="0" applyFont="1" applyFill="1" applyBorder="1" applyAlignment="1">
      <alignment horizontal="center" vertical="center" wrapText="1"/>
    </xf>
    <xf numFmtId="0" fontId="7" fillId="0" borderId="1" xfId="0" applyFont="1" applyFill="1" applyBorder="1" applyAlignment="1">
      <alignment horizontal="center"/>
    </xf>
    <xf numFmtId="0" fontId="7" fillId="0" borderId="30" xfId="0" applyFont="1" applyFill="1" applyBorder="1" applyAlignment="1">
      <alignment horizontal="center" vertical="center" wrapText="1"/>
    </xf>
    <xf numFmtId="3" fontId="9" fillId="0" borderId="14" xfId="1" applyNumberFormat="1" applyFont="1" applyFill="1" applyBorder="1" applyAlignment="1">
      <alignment vertical="center" wrapText="1"/>
    </xf>
    <xf numFmtId="3" fontId="7" fillId="0" borderId="16" xfId="0" applyNumberFormat="1" applyFont="1" applyFill="1" applyBorder="1" applyAlignment="1">
      <alignment vertical="center"/>
    </xf>
    <xf numFmtId="3" fontId="7" fillId="0" borderId="30" xfId="0" applyNumberFormat="1" applyFont="1" applyFill="1" applyBorder="1" applyAlignment="1">
      <alignment vertical="center" wrapText="1"/>
    </xf>
    <xf numFmtId="3" fontId="7" fillId="0" borderId="54" xfId="0" applyNumberFormat="1" applyFont="1" applyFill="1" applyBorder="1" applyAlignment="1">
      <alignment vertical="center" wrapText="1"/>
    </xf>
    <xf numFmtId="0" fontId="13" fillId="0" borderId="0" xfId="0" applyFont="1" applyFill="1" applyBorder="1" applyAlignment="1">
      <alignment horizontal="center" vertical="center" wrapText="1"/>
    </xf>
    <xf numFmtId="3" fontId="9" fillId="0" borderId="37" xfId="1" applyNumberFormat="1" applyFont="1" applyFill="1" applyBorder="1" applyAlignment="1">
      <alignment vertical="center" wrapText="1"/>
    </xf>
    <xf numFmtId="3" fontId="7" fillId="0" borderId="51" xfId="0" applyNumberFormat="1" applyFont="1" applyFill="1" applyBorder="1" applyAlignment="1">
      <alignment vertical="center" wrapText="1"/>
    </xf>
    <xf numFmtId="3" fontId="7" fillId="0" borderId="42" xfId="0" applyNumberFormat="1" applyFont="1" applyFill="1" applyBorder="1" applyAlignment="1">
      <alignment vertical="center" wrapText="1"/>
    </xf>
    <xf numFmtId="3" fontId="7" fillId="0" borderId="22" xfId="0" applyNumberFormat="1" applyFont="1" applyFill="1" applyBorder="1" applyAlignment="1">
      <alignment vertical="center"/>
    </xf>
    <xf numFmtId="49" fontId="14" fillId="0" borderId="23" xfId="0" applyNumberFormat="1" applyFont="1" applyFill="1" applyBorder="1" applyAlignment="1">
      <alignment horizontal="center" vertical="center" wrapText="1"/>
    </xf>
    <xf numFmtId="3" fontId="13" fillId="0" borderId="26" xfId="3" applyNumberFormat="1" applyFont="1" applyFill="1" applyBorder="1" applyAlignment="1">
      <alignment vertical="center"/>
    </xf>
    <xf numFmtId="0" fontId="27" fillId="0" borderId="32" xfId="0" applyFont="1" applyFill="1" applyBorder="1" applyAlignment="1">
      <alignment horizontal="center" vertical="center" wrapText="1"/>
    </xf>
    <xf numFmtId="3" fontId="13" fillId="0" borderId="33" xfId="3" applyNumberFormat="1" applyFont="1" applyFill="1" applyBorder="1" applyAlignment="1">
      <alignment vertical="center"/>
    </xf>
    <xf numFmtId="3" fontId="13" fillId="0" borderId="35" xfId="0" applyNumberFormat="1" applyFont="1" applyFill="1" applyBorder="1" applyAlignment="1">
      <alignment vertical="center"/>
    </xf>
    <xf numFmtId="0" fontId="27" fillId="0" borderId="33" xfId="1" applyFont="1" applyFill="1" applyBorder="1" applyAlignment="1">
      <alignment horizontal="center" vertical="center" wrapText="1"/>
    </xf>
    <xf numFmtId="3" fontId="14" fillId="0" borderId="26" xfId="1" applyNumberFormat="1" applyFont="1" applyFill="1" applyBorder="1" applyAlignment="1">
      <alignment horizontal="right" vertical="center" wrapText="1"/>
    </xf>
    <xf numFmtId="0" fontId="13" fillId="0" borderId="13"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shrinkToFit="1"/>
    </xf>
    <xf numFmtId="0" fontId="7" fillId="0" borderId="16" xfId="0" applyFont="1" applyFill="1" applyBorder="1" applyAlignment="1">
      <alignment horizontal="center" vertical="center" wrapText="1"/>
    </xf>
    <xf numFmtId="3" fontId="9" fillId="0" borderId="14" xfId="0" applyNumberFormat="1" applyFont="1" applyFill="1" applyBorder="1" applyAlignment="1">
      <alignment vertical="center" wrapText="1"/>
    </xf>
    <xf numFmtId="1" fontId="14" fillId="0" borderId="0" xfId="0" applyNumberFormat="1" applyFont="1" applyFill="1" applyBorder="1" applyAlignment="1">
      <alignment horizontal="center" vertical="center" wrapText="1"/>
    </xf>
    <xf numFmtId="3" fontId="13" fillId="0" borderId="22" xfId="0" applyNumberFormat="1" applyFont="1" applyFill="1" applyBorder="1" applyAlignment="1">
      <alignment vertical="center" wrapText="1"/>
    </xf>
    <xf numFmtId="3" fontId="7" fillId="0" borderId="46" xfId="0" applyNumberFormat="1" applyFont="1" applyFill="1" applyBorder="1" applyAlignment="1">
      <alignment vertical="center" wrapText="1"/>
    </xf>
    <xf numFmtId="49" fontId="7" fillId="0" borderId="26"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wrapText="1" shrinkToFit="1"/>
    </xf>
    <xf numFmtId="0" fontId="27" fillId="0" borderId="34" xfId="0" applyFont="1" applyFill="1" applyBorder="1" applyAlignment="1">
      <alignment horizontal="center" vertical="center" wrapText="1"/>
    </xf>
    <xf numFmtId="49" fontId="13" fillId="0" borderId="26" xfId="0" applyNumberFormat="1" applyFont="1" applyFill="1" applyBorder="1" applyAlignment="1">
      <alignment horizontal="center" vertical="center"/>
    </xf>
    <xf numFmtId="0" fontId="13" fillId="0" borderId="44" xfId="1" applyFont="1" applyFill="1" applyBorder="1" applyAlignment="1">
      <alignment horizontal="center" vertical="center" wrapText="1"/>
    </xf>
    <xf numFmtId="0" fontId="13" fillId="0" borderId="27" xfId="1" applyFont="1" applyFill="1" applyBorder="1" applyAlignment="1">
      <alignment horizontal="center" vertical="center" wrapText="1"/>
    </xf>
    <xf numFmtId="0" fontId="8" fillId="0" borderId="28" xfId="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45" xfId="1" applyFont="1" applyFill="1" applyBorder="1" applyAlignment="1">
      <alignment horizontal="center" vertical="center" wrapText="1"/>
    </xf>
    <xf numFmtId="0" fontId="27" fillId="0" borderId="13" xfId="1" applyFont="1" applyFill="1" applyBorder="1" applyAlignment="1">
      <alignment horizontal="center" vertical="center" wrapText="1"/>
    </xf>
    <xf numFmtId="3" fontId="14" fillId="0" borderId="13" xfId="1" applyNumberFormat="1" applyFont="1" applyFill="1" applyBorder="1" applyAlignment="1">
      <alignment vertical="center" wrapText="1"/>
    </xf>
    <xf numFmtId="3" fontId="13" fillId="0" borderId="13" xfId="0" applyNumberFormat="1" applyFont="1" applyFill="1" applyBorder="1" applyAlignment="1">
      <alignment vertical="center" wrapText="1"/>
    </xf>
    <xf numFmtId="3" fontId="13" fillId="0" borderId="45" xfId="0" applyNumberFormat="1" applyFont="1" applyFill="1" applyBorder="1" applyAlignment="1">
      <alignment vertical="center" wrapText="1"/>
    </xf>
    <xf numFmtId="3" fontId="14" fillId="0" borderId="13" xfId="0" applyNumberFormat="1" applyFont="1" applyFill="1" applyBorder="1" applyAlignment="1">
      <alignment vertical="center" wrapText="1"/>
    </xf>
    <xf numFmtId="49" fontId="13" fillId="0" borderId="13" xfId="0" applyNumberFormat="1" applyFont="1" applyFill="1" applyBorder="1" applyAlignment="1">
      <alignment horizontal="center" vertical="center" wrapText="1"/>
    </xf>
    <xf numFmtId="0" fontId="7" fillId="0" borderId="23" xfId="0" applyFont="1" applyFill="1" applyBorder="1" applyAlignment="1">
      <alignment horizontal="center" vertical="center"/>
    </xf>
    <xf numFmtId="49" fontId="7" fillId="0" borderId="26" xfId="1"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9" fillId="12" borderId="18" xfId="1" applyFont="1" applyFill="1" applyBorder="1" applyAlignment="1">
      <alignment horizontal="center" vertical="center" wrapText="1"/>
    </xf>
    <xf numFmtId="0" fontId="9" fillId="12" borderId="6" xfId="1" applyFont="1" applyFill="1" applyBorder="1" applyAlignment="1">
      <alignment horizontal="center" vertical="center" wrapText="1"/>
    </xf>
    <xf numFmtId="0" fontId="9" fillId="12" borderId="12" xfId="1"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2" borderId="5" xfId="0" applyFont="1" applyFill="1" applyBorder="1" applyAlignment="1">
      <alignment horizontal="center" vertical="center" wrapText="1"/>
    </xf>
    <xf numFmtId="3" fontId="7" fillId="12" borderId="18" xfId="0" applyNumberFormat="1" applyFont="1" applyFill="1" applyBorder="1" applyAlignment="1">
      <alignment vertical="center" wrapText="1"/>
    </xf>
    <xf numFmtId="4" fontId="9" fillId="12" borderId="6" xfId="0" applyNumberFormat="1" applyFont="1" applyFill="1" applyBorder="1" applyAlignment="1">
      <alignment horizontal="center" vertical="center" wrapText="1"/>
    </xf>
    <xf numFmtId="4" fontId="9" fillId="12" borderId="5" xfId="0" applyNumberFormat="1" applyFont="1" applyFill="1" applyBorder="1" applyAlignment="1">
      <alignment horizontal="center" vertical="center" wrapText="1"/>
    </xf>
    <xf numFmtId="4" fontId="9" fillId="12" borderId="18" xfId="0" applyNumberFormat="1" applyFont="1" applyFill="1" applyBorder="1" applyAlignment="1">
      <alignment horizontal="center" vertical="center" wrapText="1"/>
    </xf>
    <xf numFmtId="4" fontId="9" fillId="12" borderId="5" xfId="0" applyNumberFormat="1" applyFont="1" applyFill="1" applyBorder="1" applyAlignment="1">
      <alignment horizontal="right" vertical="center" wrapText="1"/>
    </xf>
    <xf numFmtId="3" fontId="9" fillId="12" borderId="18" xfId="1" applyNumberFormat="1" applyFont="1" applyFill="1" applyBorder="1" applyAlignment="1">
      <alignment horizontal="center" vertical="center"/>
    </xf>
    <xf numFmtId="4" fontId="9" fillId="12" borderId="12" xfId="1" applyNumberFormat="1" applyFont="1" applyFill="1" applyBorder="1" applyAlignment="1">
      <alignment horizontal="center" vertical="center" wrapText="1"/>
    </xf>
    <xf numFmtId="4" fontId="10" fillId="12" borderId="18" xfId="1" applyNumberFormat="1" applyFont="1" applyFill="1" applyBorder="1" applyAlignment="1">
      <alignment horizontal="center" vertical="center" wrapText="1"/>
    </xf>
    <xf numFmtId="3" fontId="9" fillId="0" borderId="29" xfId="1" applyNumberFormat="1" applyFont="1" applyFill="1" applyBorder="1" applyAlignment="1">
      <alignment vertical="center" wrapText="1"/>
    </xf>
    <xf numFmtId="3" fontId="9" fillId="0" borderId="16" xfId="1" applyNumberFormat="1" applyFont="1" applyFill="1" applyBorder="1" applyAlignment="1">
      <alignment vertical="center" wrapText="1"/>
    </xf>
    <xf numFmtId="3" fontId="9" fillId="0" borderId="8" xfId="1" applyNumberFormat="1" applyFont="1" applyFill="1" applyBorder="1" applyAlignment="1">
      <alignment vertical="center" wrapText="1"/>
    </xf>
    <xf numFmtId="3" fontId="9" fillId="0" borderId="25" xfId="1" applyNumberFormat="1" applyFont="1" applyFill="1" applyBorder="1" applyAlignment="1">
      <alignment vertical="center" wrapText="1"/>
    </xf>
    <xf numFmtId="3" fontId="9" fillId="0" borderId="11" xfId="1" applyNumberFormat="1" applyFont="1" applyFill="1" applyBorder="1" applyAlignment="1">
      <alignment vertical="center" wrapText="1"/>
    </xf>
    <xf numFmtId="3" fontId="7" fillId="0" borderId="1" xfId="0" applyNumberFormat="1" applyFont="1" applyFill="1" applyBorder="1" applyAlignment="1">
      <alignment vertical="center" wrapText="1"/>
    </xf>
    <xf numFmtId="49" fontId="9" fillId="0" borderId="3" xfId="0" applyNumberFormat="1" applyFont="1" applyFill="1" applyBorder="1" applyAlignment="1">
      <alignment horizontal="center" vertical="center" wrapText="1" shrinkToFit="1"/>
    </xf>
    <xf numFmtId="3" fontId="9" fillId="0" borderId="28" xfId="1" applyNumberFormat="1" applyFont="1" applyFill="1" applyBorder="1" applyAlignment="1">
      <alignment vertical="center" wrapText="1"/>
    </xf>
    <xf numFmtId="3" fontId="7" fillId="0" borderId="28" xfId="0" applyNumberFormat="1" applyFont="1" applyFill="1" applyBorder="1" applyAlignment="1">
      <alignment vertical="center"/>
    </xf>
    <xf numFmtId="49" fontId="7" fillId="0" borderId="14"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3" fontId="9" fillId="0" borderId="16" xfId="0" applyNumberFormat="1" applyFont="1" applyFill="1" applyBorder="1" applyAlignment="1">
      <alignment vertical="center" wrapText="1"/>
    </xf>
    <xf numFmtId="0" fontId="7" fillId="0" borderId="19" xfId="0" applyFont="1" applyFill="1" applyBorder="1" applyAlignment="1">
      <alignment horizontal="center" vertical="center" wrapText="1"/>
    </xf>
    <xf numFmtId="0" fontId="8" fillId="0" borderId="22" xfId="0" applyFont="1" applyFill="1" applyBorder="1" applyAlignment="1">
      <alignment horizontal="center" vertical="center" wrapText="1"/>
    </xf>
    <xf numFmtId="3" fontId="7" fillId="0" borderId="29" xfId="0" applyNumberFormat="1" applyFont="1" applyFill="1" applyBorder="1" applyAlignment="1">
      <alignment horizontal="right" vertical="center" wrapText="1"/>
    </xf>
    <xf numFmtId="3" fontId="9" fillId="0" borderId="1" xfId="1" applyNumberFormat="1" applyFont="1" applyFill="1" applyBorder="1" applyAlignment="1">
      <alignment vertical="center" wrapText="1"/>
    </xf>
    <xf numFmtId="3" fontId="9" fillId="8" borderId="26" xfId="0" applyNumberFormat="1" applyFont="1" applyFill="1" applyBorder="1" applyAlignment="1">
      <alignment vertical="center" wrapText="1"/>
    </xf>
    <xf numFmtId="3" fontId="9" fillId="9" borderId="32" xfId="0" applyNumberFormat="1" applyFont="1" applyFill="1" applyBorder="1" applyAlignment="1">
      <alignment vertical="center" wrapText="1"/>
    </xf>
    <xf numFmtId="0" fontId="7" fillId="0" borderId="28" xfId="0" applyFont="1" applyFill="1" applyBorder="1" applyAlignment="1">
      <alignment horizontal="center" vertical="center" wrapText="1"/>
    </xf>
    <xf numFmtId="1" fontId="7" fillId="0" borderId="29"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9" fillId="5" borderId="55" xfId="0" applyFont="1" applyFill="1" applyBorder="1" applyAlignment="1">
      <alignment horizontal="center" vertical="center" wrapText="1"/>
    </xf>
    <xf numFmtId="1" fontId="7" fillId="5" borderId="56" xfId="0" applyNumberFormat="1" applyFont="1" applyFill="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25" fillId="2" borderId="0" xfId="0" applyFont="1" applyFill="1" applyBorder="1" applyAlignment="1">
      <alignment horizontal="center" vertical="center"/>
    </xf>
    <xf numFmtId="49" fontId="9" fillId="12"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9" fillId="3" borderId="0" xfId="0" applyFont="1" applyFill="1" applyAlignment="1">
      <alignment horizontal="center" vertical="center" wrapText="1"/>
    </xf>
    <xf numFmtId="0" fontId="9" fillId="0" borderId="0" xfId="0" applyFont="1" applyFill="1" applyAlignment="1">
      <alignment horizontal="center" vertical="center" wrapText="1"/>
    </xf>
    <xf numFmtId="0" fontId="7" fillId="0" borderId="28" xfId="0" applyFont="1" applyBorder="1" applyAlignment="1">
      <alignment horizontal="center" vertical="center" wrapText="1"/>
    </xf>
    <xf numFmtId="1" fontId="7" fillId="0" borderId="0" xfId="0" applyNumberFormat="1" applyFont="1" applyBorder="1" applyAlignment="1">
      <alignment horizontal="center" vertical="center" wrapText="1"/>
    </xf>
    <xf numFmtId="1" fontId="7" fillId="0" borderId="29" xfId="0" applyNumberFormat="1" applyFont="1" applyBorder="1" applyAlignment="1">
      <alignment horizontal="center" vertical="center" wrapText="1"/>
    </xf>
    <xf numFmtId="0" fontId="7" fillId="0" borderId="26" xfId="0" applyFont="1" applyBorder="1" applyAlignment="1">
      <alignment horizontal="center" vertical="center" wrapText="1"/>
    </xf>
    <xf numFmtId="3" fontId="7" fillId="0" borderId="26" xfId="0" applyNumberFormat="1" applyFont="1" applyBorder="1" applyAlignment="1">
      <alignment vertical="center" wrapText="1"/>
    </xf>
    <xf numFmtId="0" fontId="7" fillId="0" borderId="32" xfId="0" applyFont="1" applyBorder="1" applyAlignment="1">
      <alignment horizontal="center" vertical="center" wrapText="1"/>
    </xf>
    <xf numFmtId="0" fontId="7" fillId="0" borderId="35" xfId="0" applyFont="1" applyBorder="1" applyAlignment="1">
      <alignment horizontal="center" vertical="center" wrapText="1"/>
    </xf>
    <xf numFmtId="1" fontId="7" fillId="0" borderId="1" xfId="0" applyNumberFormat="1" applyFont="1" applyBorder="1" applyAlignment="1">
      <alignment horizontal="center" vertical="center" wrapText="1"/>
    </xf>
    <xf numFmtId="49" fontId="7" fillId="0" borderId="28" xfId="0" applyNumberFormat="1" applyFont="1" applyFill="1" applyBorder="1" applyAlignment="1">
      <alignment horizontal="center" vertical="center" wrapText="1"/>
    </xf>
    <xf numFmtId="3" fontId="9" fillId="0" borderId="27" xfId="1" applyNumberFormat="1" applyFont="1" applyFill="1" applyBorder="1" applyAlignment="1">
      <alignment vertical="center" wrapText="1"/>
    </xf>
    <xf numFmtId="3" fontId="7" fillId="0" borderId="20" xfId="0" applyNumberFormat="1" applyFont="1" applyFill="1" applyBorder="1" applyAlignment="1">
      <alignment vertical="center" wrapText="1"/>
    </xf>
    <xf numFmtId="0" fontId="29" fillId="0" borderId="0" xfId="0"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3" fontId="7" fillId="0" borderId="20" xfId="0" applyNumberFormat="1" applyFont="1" applyFill="1" applyBorder="1" applyAlignment="1">
      <alignment vertical="center"/>
    </xf>
    <xf numFmtId="3" fontId="7" fillId="0" borderId="42" xfId="0" applyNumberFormat="1" applyFont="1" applyFill="1" applyBorder="1" applyAlignment="1">
      <alignment vertical="center"/>
    </xf>
    <xf numFmtId="3" fontId="9" fillId="0" borderId="19" xfId="1" applyNumberFormat="1" applyFont="1" applyFill="1" applyBorder="1" applyAlignment="1">
      <alignment vertical="center" wrapText="1"/>
    </xf>
    <xf numFmtId="3" fontId="7" fillId="0" borderId="48" xfId="0" applyNumberFormat="1" applyFont="1" applyFill="1" applyBorder="1" applyAlignment="1">
      <alignment vertical="center" wrapText="1"/>
    </xf>
    <xf numFmtId="3" fontId="7" fillId="0" borderId="51" xfId="0" applyNumberFormat="1" applyFont="1" applyFill="1" applyBorder="1" applyAlignment="1">
      <alignment vertical="center"/>
    </xf>
    <xf numFmtId="0" fontId="7" fillId="0" borderId="27" xfId="0" applyFont="1" applyFill="1" applyBorder="1" applyAlignment="1">
      <alignment horizontal="center" vertical="center" wrapText="1"/>
    </xf>
    <xf numFmtId="3" fontId="13" fillId="0" borderId="36" xfId="0" applyNumberFormat="1" applyFont="1" applyFill="1" applyBorder="1" applyAlignment="1">
      <alignment vertical="center" wrapText="1"/>
    </xf>
    <xf numFmtId="3" fontId="13" fillId="0" borderId="20" xfId="0" applyNumberFormat="1" applyFont="1" applyFill="1" applyBorder="1" applyAlignment="1">
      <alignment vertical="center" wrapText="1"/>
    </xf>
    <xf numFmtId="3" fontId="14" fillId="9" borderId="32" xfId="0" applyNumberFormat="1" applyFont="1" applyFill="1" applyBorder="1" applyAlignment="1">
      <alignment vertical="center" wrapText="1"/>
    </xf>
    <xf numFmtId="3" fontId="13" fillId="0" borderId="26" xfId="0" applyNumberFormat="1" applyFont="1" applyFill="1" applyBorder="1" applyAlignment="1">
      <alignment horizontal="right" vertical="center" wrapText="1"/>
    </xf>
    <xf numFmtId="3" fontId="13" fillId="0" borderId="32" xfId="0" applyNumberFormat="1" applyFont="1" applyFill="1" applyBorder="1" applyAlignment="1">
      <alignment horizontal="right" vertical="center" wrapText="1"/>
    </xf>
    <xf numFmtId="49" fontId="13" fillId="0" borderId="31" xfId="0" applyNumberFormat="1" applyFont="1" applyFill="1" applyBorder="1" applyAlignment="1">
      <alignment horizontal="center" vertical="center" wrapText="1"/>
    </xf>
    <xf numFmtId="0" fontId="16" fillId="0" borderId="32" xfId="0" applyFont="1" applyFill="1" applyBorder="1" applyAlignment="1">
      <alignment horizontal="center" vertical="center" wrapText="1"/>
    </xf>
    <xf numFmtId="49" fontId="9" fillId="0" borderId="23"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0" fontId="7" fillId="0" borderId="23" xfId="1" applyFont="1" applyFill="1" applyBorder="1" applyAlignment="1">
      <alignment horizontal="center" vertical="center"/>
    </xf>
    <xf numFmtId="3" fontId="9" fillId="0" borderId="23" xfId="1" applyNumberFormat="1" applyFont="1" applyFill="1" applyBorder="1" applyAlignment="1">
      <alignment vertical="center"/>
    </xf>
    <xf numFmtId="3" fontId="7" fillId="0" borderId="24" xfId="0" applyNumberFormat="1" applyFont="1" applyFill="1" applyBorder="1" applyAlignment="1">
      <alignment vertical="center"/>
    </xf>
    <xf numFmtId="3" fontId="9" fillId="8" borderId="23" xfId="0" applyNumberFormat="1" applyFont="1" applyFill="1" applyBorder="1" applyAlignment="1">
      <alignment vertical="center"/>
    </xf>
    <xf numFmtId="3" fontId="7" fillId="0" borderId="27" xfId="0" applyNumberFormat="1" applyFont="1" applyFill="1" applyBorder="1" applyAlignment="1">
      <alignment vertical="center"/>
    </xf>
    <xf numFmtId="0" fontId="9" fillId="3" borderId="0"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1" fontId="7"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49" fontId="9" fillId="0" borderId="26" xfId="0" applyNumberFormat="1" applyFont="1" applyFill="1" applyBorder="1" applyAlignment="1">
      <alignment horizontal="center" vertical="center"/>
    </xf>
    <xf numFmtId="0" fontId="7" fillId="0" borderId="33" xfId="1" applyFont="1" applyFill="1" applyBorder="1" applyAlignment="1">
      <alignment horizontal="center" vertical="center"/>
    </xf>
    <xf numFmtId="3" fontId="9" fillId="0" borderId="26" xfId="1" applyNumberFormat="1" applyFont="1" applyFill="1" applyBorder="1" applyAlignment="1">
      <alignment vertical="center"/>
    </xf>
    <xf numFmtId="3" fontId="9" fillId="8" borderId="26" xfId="0" applyNumberFormat="1" applyFont="1" applyFill="1" applyBorder="1" applyAlignment="1">
      <alignment vertical="center"/>
    </xf>
    <xf numFmtId="0" fontId="7" fillId="0" borderId="32" xfId="0" applyFont="1" applyFill="1" applyBorder="1" applyAlignment="1">
      <alignment horizontal="center" vertical="center"/>
    </xf>
    <xf numFmtId="0" fontId="7" fillId="0" borderId="26" xfId="0" applyFont="1" applyFill="1" applyBorder="1" applyAlignment="1">
      <alignment horizontal="center" vertical="center"/>
    </xf>
    <xf numFmtId="49" fontId="7" fillId="0" borderId="31" xfId="0" applyNumberFormat="1" applyFont="1" applyFill="1" applyBorder="1" applyAlignment="1">
      <alignment horizontal="center" vertical="center"/>
    </xf>
    <xf numFmtId="0" fontId="7" fillId="0" borderId="26" xfId="1" applyFont="1" applyFill="1" applyBorder="1" applyAlignment="1">
      <alignment horizontal="center" vertical="center"/>
    </xf>
    <xf numFmtId="3" fontId="7" fillId="0" borderId="37" xfId="0" applyNumberFormat="1" applyFont="1" applyFill="1" applyBorder="1" applyAlignment="1">
      <alignment vertical="center"/>
    </xf>
    <xf numFmtId="0" fontId="7" fillId="0" borderId="24" xfId="0" applyFont="1" applyFill="1" applyBorder="1" applyAlignment="1">
      <alignment horizontal="center" vertical="center"/>
    </xf>
    <xf numFmtId="0" fontId="15" fillId="0" borderId="0" xfId="0" applyFont="1" applyFill="1" applyBorder="1" applyAlignment="1">
      <alignment horizontal="center" vertical="center"/>
    </xf>
    <xf numFmtId="3" fontId="9" fillId="0" borderId="22" xfId="1" applyNumberFormat="1" applyFont="1" applyFill="1" applyBorder="1" applyAlignment="1">
      <alignment vertical="center"/>
    </xf>
    <xf numFmtId="0" fontId="7" fillId="0" borderId="13" xfId="0" applyFont="1" applyFill="1" applyBorder="1" applyAlignment="1">
      <alignment horizontal="center" vertical="center"/>
    </xf>
    <xf numFmtId="49" fontId="7" fillId="0" borderId="42"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9" fillId="3" borderId="1" xfId="0" applyFont="1" applyFill="1" applyBorder="1" applyAlignment="1">
      <alignment horizontal="center" vertical="center"/>
    </xf>
    <xf numFmtId="49" fontId="7" fillId="0" borderId="26" xfId="0" applyNumberFormat="1" applyFont="1" applyBorder="1" applyAlignment="1">
      <alignment horizontal="center" vertical="center" wrapText="1"/>
    </xf>
    <xf numFmtId="49" fontId="7" fillId="0" borderId="36" xfId="0" applyNumberFormat="1" applyFont="1" applyFill="1" applyBorder="1" applyAlignment="1">
      <alignment horizontal="center" vertical="center" wrapText="1"/>
    </xf>
    <xf numFmtId="3" fontId="9" fillId="0" borderId="26" xfId="0" applyNumberFormat="1" applyFont="1" applyBorder="1" applyAlignment="1">
      <alignment vertical="center" wrapText="1"/>
    </xf>
    <xf numFmtId="49" fontId="13" fillId="0" borderId="23" xfId="0" applyNumberFormat="1" applyFont="1" applyBorder="1" applyAlignment="1">
      <alignment horizontal="center" vertical="center" wrapText="1"/>
    </xf>
    <xf numFmtId="49" fontId="14" fillId="0" borderId="26" xfId="0" applyNumberFormat="1" applyFont="1" applyBorder="1" applyAlignment="1">
      <alignment horizontal="center" vertical="center" wrapText="1" shrinkToFit="1"/>
    </xf>
    <xf numFmtId="0" fontId="13" fillId="0" borderId="26" xfId="0" applyFont="1" applyBorder="1" applyAlignment="1">
      <alignment horizontal="center" vertical="center" wrapText="1"/>
    </xf>
    <xf numFmtId="0" fontId="13" fillId="0" borderId="26" xfId="1" applyFont="1" applyBorder="1" applyAlignment="1">
      <alignment horizontal="center" vertical="center" wrapText="1"/>
    </xf>
    <xf numFmtId="0" fontId="13" fillId="0" borderId="32" xfId="1" applyFont="1" applyBorder="1" applyAlignment="1">
      <alignment horizontal="center" vertical="center" wrapText="1"/>
    </xf>
    <xf numFmtId="0" fontId="27" fillId="0" borderId="31" xfId="0" applyFont="1" applyBorder="1" applyAlignment="1">
      <alignment horizontal="center" vertical="center" wrapText="1"/>
    </xf>
    <xf numFmtId="3" fontId="14" fillId="0" borderId="26" xfId="1" applyNumberFormat="1" applyFont="1" applyBorder="1" applyAlignment="1">
      <alignment vertical="center" wrapText="1"/>
    </xf>
    <xf numFmtId="3" fontId="14" fillId="0" borderId="26" xfId="0" applyNumberFormat="1" applyFont="1" applyBorder="1" applyAlignment="1">
      <alignment vertical="center" wrapText="1"/>
    </xf>
    <xf numFmtId="3" fontId="13" fillId="0" borderId="26" xfId="0" applyNumberFormat="1" applyFont="1" applyBorder="1" applyAlignment="1">
      <alignment vertical="center" wrapText="1"/>
    </xf>
    <xf numFmtId="3" fontId="13" fillId="0" borderId="26" xfId="3" applyNumberFormat="1" applyFont="1" applyBorder="1" applyAlignment="1">
      <alignment vertical="center"/>
    </xf>
    <xf numFmtId="49" fontId="13" fillId="0" borderId="26" xfId="0" applyNumberFormat="1" applyFont="1" applyBorder="1" applyAlignment="1">
      <alignment horizontal="center" vertical="center" wrapText="1"/>
    </xf>
    <xf numFmtId="3" fontId="13" fillId="0" borderId="26" xfId="3" applyNumberFormat="1" applyFont="1" applyBorder="1" applyAlignment="1">
      <alignment horizontal="center" vertical="center" wrapText="1"/>
    </xf>
    <xf numFmtId="3" fontId="14" fillId="0" borderId="26" xfId="3" applyNumberFormat="1" applyFont="1" applyBorder="1" applyAlignment="1">
      <alignment vertical="center"/>
    </xf>
    <xf numFmtId="0" fontId="13" fillId="0" borderId="32" xfId="0" applyFont="1" applyBorder="1" applyAlignment="1">
      <alignment horizontal="center" vertical="center" wrapText="1"/>
    </xf>
    <xf numFmtId="0" fontId="9" fillId="0" borderId="29" xfId="0" applyFont="1" applyBorder="1" applyAlignment="1">
      <alignment horizontal="center" vertical="center" wrapText="1"/>
    </xf>
    <xf numFmtId="49" fontId="7" fillId="17" borderId="26"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31" xfId="0" applyNumberFormat="1" applyFont="1" applyBorder="1" applyAlignment="1">
      <alignment horizontal="center" vertical="center" wrapText="1"/>
    </xf>
    <xf numFmtId="1" fontId="9" fillId="12" borderId="18" xfId="1" applyNumberFormat="1" applyFont="1" applyFill="1" applyBorder="1" applyAlignment="1">
      <alignment horizontal="center" vertical="center" wrapText="1"/>
    </xf>
    <xf numFmtId="3" fontId="14" fillId="0" borderId="40" xfId="1" applyNumberFormat="1" applyFont="1" applyFill="1" applyBorder="1" applyAlignment="1">
      <alignment vertical="center" wrapText="1"/>
    </xf>
    <xf numFmtId="0" fontId="13" fillId="0" borderId="3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wrapText="1"/>
    </xf>
    <xf numFmtId="0" fontId="13" fillId="0" borderId="0" xfId="0" applyFont="1" applyFill="1" applyAlignment="1">
      <alignment horizontal="center" vertical="center"/>
    </xf>
    <xf numFmtId="3" fontId="13" fillId="0" borderId="20" xfId="0" applyNumberFormat="1" applyFont="1" applyFill="1" applyBorder="1" applyAlignment="1">
      <alignment vertical="center"/>
    </xf>
    <xf numFmtId="3" fontId="13" fillId="0" borderId="23" xfId="0" applyNumberFormat="1" applyFont="1" applyFill="1" applyBorder="1" applyAlignment="1">
      <alignment vertical="center"/>
    </xf>
    <xf numFmtId="3" fontId="14" fillId="0" borderId="26" xfId="0" applyNumberFormat="1" applyFont="1" applyFill="1" applyBorder="1" applyAlignment="1">
      <alignment vertical="center"/>
    </xf>
    <xf numFmtId="168" fontId="7" fillId="0" borderId="57" xfId="0" applyNumberFormat="1" applyFont="1" applyBorder="1" applyAlignment="1">
      <alignment horizontal="center" vertical="center" wrapText="1"/>
    </xf>
    <xf numFmtId="0" fontId="9" fillId="0" borderId="12" xfId="0" applyFont="1" applyFill="1" applyBorder="1" applyAlignment="1">
      <alignment horizontal="center" vertical="center" wrapText="1"/>
    </xf>
    <xf numFmtId="3" fontId="7" fillId="0" borderId="5" xfId="0" applyNumberFormat="1" applyFont="1" applyFill="1" applyBorder="1" applyAlignment="1">
      <alignment horizontal="center" vertical="center"/>
    </xf>
    <xf numFmtId="1" fontId="7" fillId="0" borderId="5"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3" fontId="9" fillId="0" borderId="12" xfId="1" applyNumberFormat="1" applyFont="1" applyFill="1" applyBorder="1" applyAlignment="1">
      <alignment horizontal="center" vertical="center" wrapText="1"/>
    </xf>
    <xf numFmtId="1" fontId="7" fillId="0" borderId="5" xfId="1" applyNumberFormat="1" applyFont="1" applyFill="1" applyBorder="1" applyAlignment="1">
      <alignment horizontal="center" vertical="center" wrapText="1"/>
    </xf>
    <xf numFmtId="1" fontId="9" fillId="0" borderId="5" xfId="1"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xf>
    <xf numFmtId="0" fontId="7" fillId="0" borderId="28" xfId="0" applyFont="1" applyFill="1" applyBorder="1" applyAlignment="1">
      <alignment horizontal="center" vertical="center"/>
    </xf>
    <xf numFmtId="1" fontId="9" fillId="4" borderId="29" xfId="0" applyNumberFormat="1" applyFont="1" applyFill="1" applyBorder="1" applyAlignment="1">
      <alignment horizontal="center" vertical="center" wrapText="1"/>
    </xf>
    <xf numFmtId="1" fontId="9" fillId="4" borderId="16"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xf>
    <xf numFmtId="0" fontId="11" fillId="0" borderId="0" xfId="0" applyFont="1" applyFill="1" applyAlignment="1">
      <alignment horizontal="center" vertical="center"/>
    </xf>
    <xf numFmtId="0" fontId="29" fillId="3" borderId="0" xfId="0" applyFont="1" applyFill="1" applyBorder="1" applyAlignment="1">
      <alignment horizontal="center" vertical="center" wrapText="1"/>
    </xf>
    <xf numFmtId="1" fontId="29" fillId="4" borderId="0"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18" fillId="0" borderId="3" xfId="0" applyFont="1" applyBorder="1"/>
    <xf numFmtId="0" fontId="18" fillId="0" borderId="22" xfId="0" applyFont="1" applyBorder="1" applyAlignment="1">
      <alignment horizontal="center" vertical="center" wrapText="1"/>
    </xf>
    <xf numFmtId="0" fontId="18" fillId="0" borderId="22" xfId="0" applyFont="1" applyFill="1" applyBorder="1"/>
    <xf numFmtId="0" fontId="18" fillId="0" borderId="22" xfId="0" applyFont="1" applyBorder="1"/>
    <xf numFmtId="0" fontId="9" fillId="13" borderId="26" xfId="0" applyFont="1" applyFill="1" applyBorder="1" applyAlignment="1">
      <alignment horizontal="center" vertical="center" wrapText="1"/>
    </xf>
    <xf numFmtId="0" fontId="14" fillId="13" borderId="26" xfId="0" applyFont="1" applyFill="1" applyBorder="1" applyAlignment="1">
      <alignment horizontal="center" vertical="center" wrapText="1"/>
    </xf>
    <xf numFmtId="0" fontId="29" fillId="13" borderId="26" xfId="0" applyFont="1" applyFill="1" applyBorder="1" applyAlignment="1">
      <alignment horizontal="center" vertical="center" wrapText="1"/>
    </xf>
    <xf numFmtId="0" fontId="16" fillId="0" borderId="22" xfId="0" applyFont="1" applyBorder="1"/>
    <xf numFmtId="0" fontId="11" fillId="0" borderId="22" xfId="0" applyFont="1" applyFill="1" applyBorder="1"/>
    <xf numFmtId="49" fontId="14"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1" applyFont="1" applyFill="1" applyBorder="1" applyAlignment="1">
      <alignment horizontal="center" vertical="center"/>
    </xf>
    <xf numFmtId="0" fontId="27" fillId="0" borderId="8" xfId="1" applyFont="1" applyFill="1" applyBorder="1" applyAlignment="1">
      <alignment horizontal="center" vertical="center" wrapText="1"/>
    </xf>
    <xf numFmtId="3" fontId="14" fillId="0" borderId="9" xfId="1" applyNumberFormat="1" applyFont="1" applyFill="1" applyBorder="1" applyAlignment="1">
      <alignment vertical="center"/>
    </xf>
    <xf numFmtId="3" fontId="14" fillId="0" borderId="26" xfId="1" applyNumberFormat="1" applyFont="1" applyFill="1" applyBorder="1" applyAlignment="1">
      <alignment vertical="center"/>
    </xf>
    <xf numFmtId="3" fontId="13" fillId="0" borderId="2" xfId="0" applyNumberFormat="1" applyFont="1" applyFill="1" applyBorder="1" applyAlignment="1">
      <alignment vertical="center"/>
    </xf>
    <xf numFmtId="3" fontId="14" fillId="9" borderId="2" xfId="0" applyNumberFormat="1" applyFont="1" applyFill="1" applyBorder="1" applyAlignment="1">
      <alignment vertical="center"/>
    </xf>
    <xf numFmtId="3" fontId="13" fillId="0" borderId="8" xfId="0" applyNumberFormat="1" applyFont="1" applyFill="1" applyBorder="1" applyAlignment="1">
      <alignment vertical="center"/>
    </xf>
    <xf numFmtId="49" fontId="13" fillId="0" borderId="50" xfId="0" applyNumberFormat="1" applyFont="1" applyFill="1" applyBorder="1" applyAlignment="1">
      <alignment horizontal="center" vertical="center"/>
    </xf>
    <xf numFmtId="49" fontId="13" fillId="0" borderId="23"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0" fontId="13" fillId="0" borderId="26" xfId="0" applyFont="1" applyFill="1" applyBorder="1" applyAlignment="1">
      <alignment horizontal="center" vertical="center"/>
    </xf>
    <xf numFmtId="0" fontId="13" fillId="0" borderId="26" xfId="1" applyFont="1" applyFill="1" applyBorder="1" applyAlignment="1">
      <alignment horizontal="center" vertical="center"/>
    </xf>
    <xf numFmtId="3" fontId="14" fillId="0" borderId="32" xfId="1" applyNumberFormat="1" applyFont="1" applyFill="1" applyBorder="1" applyAlignment="1">
      <alignment vertical="center"/>
    </xf>
    <xf numFmtId="3" fontId="14" fillId="9" borderId="26" xfId="0" applyNumberFormat="1" applyFont="1" applyFill="1" applyBorder="1" applyAlignment="1">
      <alignment vertical="center"/>
    </xf>
    <xf numFmtId="3" fontId="13" fillId="0" borderId="37" xfId="0" applyNumberFormat="1" applyFont="1" applyFill="1" applyBorder="1" applyAlignment="1">
      <alignment vertical="center"/>
    </xf>
    <xf numFmtId="1" fontId="17" fillId="4" borderId="0" xfId="0" applyNumberFormat="1" applyFont="1" applyFill="1" applyBorder="1" applyAlignment="1">
      <alignment horizontal="center" vertical="center" wrapText="1"/>
    </xf>
    <xf numFmtId="0" fontId="16" fillId="0" borderId="0" xfId="0" applyFont="1" applyFill="1" applyAlignment="1">
      <alignment horizontal="center" vertical="center"/>
    </xf>
    <xf numFmtId="49" fontId="7" fillId="0" borderId="13"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3" fontId="9" fillId="0" borderId="13" xfId="1" applyNumberFormat="1" applyFont="1" applyFill="1" applyBorder="1" applyAlignment="1">
      <alignment vertical="center"/>
    </xf>
    <xf numFmtId="3" fontId="7" fillId="0" borderId="13" xfId="0" applyNumberFormat="1" applyFont="1" applyFill="1" applyBorder="1" applyAlignment="1">
      <alignment horizontal="right" vertical="center"/>
    </xf>
    <xf numFmtId="3" fontId="14" fillId="0" borderId="2" xfId="1" applyNumberFormat="1" applyFont="1" applyFill="1" applyBorder="1" applyAlignment="1">
      <alignment vertical="center"/>
    </xf>
    <xf numFmtId="49" fontId="13" fillId="0" borderId="31" xfId="0" applyNumberFormat="1" applyFont="1" applyBorder="1" applyAlignment="1">
      <alignment horizontal="center" vertical="center" wrapText="1"/>
    </xf>
    <xf numFmtId="0" fontId="13" fillId="0" borderId="31" xfId="0" applyNumberFormat="1" applyFont="1" applyFill="1" applyBorder="1" applyAlignment="1">
      <alignment horizontal="center" vertical="center" wrapText="1"/>
    </xf>
    <xf numFmtId="0" fontId="13" fillId="0" borderId="28" xfId="0" applyFont="1" applyFill="1" applyBorder="1" applyAlignment="1">
      <alignment horizontal="center" vertical="center" wrapText="1"/>
    </xf>
    <xf numFmtId="0" fontId="24" fillId="0" borderId="22" xfId="0" applyFont="1" applyBorder="1"/>
    <xf numFmtId="3" fontId="7" fillId="0" borderId="26" xfId="0" applyNumberFormat="1" applyFont="1" applyFill="1" applyBorder="1" applyAlignment="1">
      <alignment horizontal="right" vertical="center"/>
    </xf>
    <xf numFmtId="0" fontId="7" fillId="0" borderId="22" xfId="0" applyFont="1" applyFill="1" applyBorder="1"/>
    <xf numFmtId="0" fontId="9" fillId="12" borderId="12" xfId="0" applyFont="1" applyFill="1" applyBorder="1" applyAlignment="1">
      <alignment horizontal="center" vertical="center" wrapText="1"/>
    </xf>
    <xf numFmtId="49" fontId="7" fillId="0" borderId="15" xfId="0" applyNumberFormat="1" applyFont="1" applyFill="1" applyBorder="1" applyAlignment="1">
      <alignment horizontal="center" vertical="center"/>
    </xf>
    <xf numFmtId="3" fontId="9" fillId="12" borderId="12" xfId="1"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xf>
    <xf numFmtId="49" fontId="13" fillId="0" borderId="31" xfId="0" applyNumberFormat="1" applyFont="1" applyFill="1" applyBorder="1" applyAlignment="1">
      <alignment horizontal="center" vertical="center"/>
    </xf>
    <xf numFmtId="0" fontId="9" fillId="3" borderId="6" xfId="0" applyFont="1" applyFill="1" applyBorder="1" applyAlignment="1">
      <alignment horizontal="center" vertical="center" wrapText="1"/>
    </xf>
    <xf numFmtId="3" fontId="9" fillId="0" borderId="0" xfId="0" applyNumberFormat="1" applyFont="1" applyAlignment="1">
      <alignment vertical="center"/>
    </xf>
    <xf numFmtId="3" fontId="13" fillId="9" borderId="8" xfId="1" applyNumberFormat="1" applyFont="1" applyFill="1" applyBorder="1" applyAlignment="1">
      <alignment vertical="center"/>
    </xf>
    <xf numFmtId="3" fontId="13" fillId="9" borderId="37" xfId="1" applyNumberFormat="1" applyFont="1" applyFill="1" applyBorder="1" applyAlignment="1">
      <alignment vertical="center"/>
    </xf>
    <xf numFmtId="168" fontId="7" fillId="0" borderId="29" xfId="0" applyNumberFormat="1" applyFont="1" applyFill="1" applyBorder="1" applyAlignment="1">
      <alignment horizontal="right" vertical="center"/>
    </xf>
    <xf numFmtId="168" fontId="7" fillId="0" borderId="6" xfId="0" applyNumberFormat="1" applyFont="1" applyFill="1" applyBorder="1" applyAlignment="1">
      <alignment horizontal="right" vertical="center"/>
    </xf>
    <xf numFmtId="168" fontId="7" fillId="0" borderId="29" xfId="0" applyNumberFormat="1" applyFont="1" applyBorder="1" applyAlignment="1">
      <alignment horizontal="right" vertical="center"/>
    </xf>
    <xf numFmtId="168" fontId="15" fillId="0" borderId="29" xfId="0" applyNumberFormat="1" applyFont="1" applyFill="1" applyBorder="1" applyAlignment="1">
      <alignment horizontal="right" vertical="center"/>
    </xf>
    <xf numFmtId="168" fontId="13" fillId="0" borderId="29" xfId="0" applyNumberFormat="1" applyFont="1" applyFill="1" applyBorder="1" applyAlignment="1">
      <alignment horizontal="right" vertical="center"/>
    </xf>
    <xf numFmtId="168" fontId="7" fillId="0" borderId="16" xfId="0" applyNumberFormat="1" applyFont="1" applyFill="1" applyBorder="1" applyAlignment="1">
      <alignment horizontal="right" vertical="center"/>
    </xf>
    <xf numFmtId="0" fontId="7" fillId="0" borderId="0" xfId="0" applyFont="1" applyAlignment="1">
      <alignment horizontal="right" vertical="center"/>
    </xf>
    <xf numFmtId="166" fontId="7" fillId="0" borderId="28" xfId="0" applyNumberFormat="1" applyFont="1" applyFill="1" applyBorder="1" applyAlignment="1">
      <alignment horizontal="right" vertical="center"/>
    </xf>
    <xf numFmtId="0" fontId="9" fillId="3" borderId="12" xfId="0" applyFont="1" applyFill="1" applyBorder="1" applyAlignment="1">
      <alignment horizontal="center" vertical="center" wrapText="1"/>
    </xf>
    <xf numFmtId="0" fontId="7" fillId="0" borderId="5" xfId="0" applyFont="1" applyFill="1" applyBorder="1" applyAlignment="1">
      <alignment horizontal="center" vertical="center"/>
    </xf>
    <xf numFmtId="0" fontId="18" fillId="0" borderId="18" xfId="0" applyFont="1" applyBorder="1"/>
    <xf numFmtId="1" fontId="7" fillId="0" borderId="5" xfId="0" applyNumberFormat="1" applyFont="1" applyFill="1" applyBorder="1" applyAlignment="1">
      <alignment horizontal="center" vertical="center"/>
    </xf>
    <xf numFmtId="1" fontId="9" fillId="4" borderId="6"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1" fontId="9" fillId="0" borderId="1" xfId="0" applyNumberFormat="1" applyFont="1" applyFill="1" applyBorder="1" applyAlignment="1">
      <alignment horizontal="center" vertical="center" wrapText="1"/>
    </xf>
    <xf numFmtId="0" fontId="9" fillId="3" borderId="55" xfId="0" applyFont="1" applyFill="1" applyBorder="1" applyAlignment="1">
      <alignment horizontal="center" vertical="center" wrapText="1"/>
    </xf>
    <xf numFmtId="0" fontId="7" fillId="12" borderId="14" xfId="0" applyFont="1" applyFill="1" applyBorder="1" applyAlignment="1">
      <alignment horizontal="center" vertical="center" wrapText="1"/>
    </xf>
    <xf numFmtId="3" fontId="9" fillId="12" borderId="14" xfId="1" applyNumberFormat="1" applyFont="1" applyFill="1" applyBorder="1" applyAlignment="1">
      <alignment vertical="center" wrapText="1"/>
    </xf>
    <xf numFmtId="0" fontId="9" fillId="3" borderId="16" xfId="0" applyFont="1" applyFill="1" applyBorder="1" applyAlignment="1">
      <alignment horizontal="center" vertical="center" wrapText="1"/>
    </xf>
    <xf numFmtId="0" fontId="9" fillId="0" borderId="30" xfId="0" applyFont="1" applyFill="1" applyBorder="1" applyAlignment="1">
      <alignment horizontal="center" vertical="center" wrapText="1"/>
    </xf>
    <xf numFmtId="3" fontId="13" fillId="0" borderId="29" xfId="0" applyNumberFormat="1" applyFont="1" applyFill="1" applyBorder="1" applyAlignment="1">
      <alignment vertical="center" wrapText="1"/>
    </xf>
    <xf numFmtId="3" fontId="7" fillId="0" borderId="3" xfId="0" applyNumberFormat="1" applyFont="1" applyFill="1" applyBorder="1" applyAlignment="1">
      <alignment vertical="center" wrapText="1"/>
    </xf>
    <xf numFmtId="3" fontId="13" fillId="0" borderId="2" xfId="0" applyNumberFormat="1" applyFont="1" applyFill="1" applyBorder="1" applyAlignment="1">
      <alignment horizontal="right" vertical="center"/>
    </xf>
    <xf numFmtId="3" fontId="13" fillId="0" borderId="26" xfId="0" applyNumberFormat="1" applyFont="1" applyFill="1" applyBorder="1" applyAlignment="1">
      <alignment horizontal="right" vertical="center"/>
    </xf>
    <xf numFmtId="3" fontId="13" fillId="0" borderId="9" xfId="0" applyNumberFormat="1" applyFont="1" applyFill="1" applyBorder="1" applyAlignment="1">
      <alignment horizontal="right" vertical="center"/>
    </xf>
    <xf numFmtId="3" fontId="7" fillId="0" borderId="32" xfId="0" applyNumberFormat="1" applyFont="1" applyFill="1" applyBorder="1" applyAlignment="1">
      <alignment horizontal="right" vertical="center"/>
    </xf>
    <xf numFmtId="3" fontId="13" fillId="0" borderId="32" xfId="0" applyNumberFormat="1" applyFont="1" applyFill="1" applyBorder="1" applyAlignment="1">
      <alignment horizontal="right" vertical="center"/>
    </xf>
    <xf numFmtId="3" fontId="7" fillId="0" borderId="45" xfId="0" applyNumberFormat="1" applyFont="1" applyFill="1" applyBorder="1" applyAlignment="1">
      <alignment horizontal="right" vertical="center"/>
    </xf>
    <xf numFmtId="3" fontId="9" fillId="0" borderId="33" xfId="1" applyNumberFormat="1" applyFont="1" applyFill="1" applyBorder="1" applyAlignment="1">
      <alignment vertical="center"/>
    </xf>
    <xf numFmtId="3" fontId="13" fillId="9" borderId="32" xfId="0" applyNumberFormat="1" applyFont="1" applyFill="1" applyBorder="1" applyAlignment="1">
      <alignment vertical="center" wrapText="1"/>
    </xf>
    <xf numFmtId="3" fontId="13" fillId="0" borderId="47" xfId="0" applyNumberFormat="1" applyFont="1" applyFill="1" applyBorder="1" applyAlignment="1">
      <alignment vertical="center"/>
    </xf>
    <xf numFmtId="3" fontId="13" fillId="0" borderId="41" xfId="0" applyNumberFormat="1" applyFont="1" applyFill="1" applyBorder="1" applyAlignment="1">
      <alignment vertical="center" wrapText="1"/>
    </xf>
    <xf numFmtId="3" fontId="13" fillId="0" borderId="47" xfId="0" applyNumberFormat="1" applyFont="1" applyFill="1" applyBorder="1" applyAlignment="1">
      <alignment vertical="center" wrapText="1"/>
    </xf>
    <xf numFmtId="3" fontId="13" fillId="0" borderId="41" xfId="0" applyNumberFormat="1" applyFont="1" applyFill="1" applyBorder="1" applyAlignment="1">
      <alignment vertical="center"/>
    </xf>
    <xf numFmtId="3" fontId="13" fillId="9" borderId="37" xfId="3" applyNumberFormat="1" applyFont="1" applyFill="1" applyBorder="1" applyAlignment="1">
      <alignment vertical="center"/>
    </xf>
    <xf numFmtId="3" fontId="13" fillId="9" borderId="37" xfId="0" applyNumberFormat="1" applyFont="1" applyFill="1" applyBorder="1" applyAlignment="1">
      <alignment vertical="center" wrapText="1"/>
    </xf>
    <xf numFmtId="3" fontId="13" fillId="0" borderId="20" xfId="0" applyNumberFormat="1" applyFont="1" applyBorder="1" applyAlignment="1">
      <alignment vertical="center" wrapText="1"/>
    </xf>
    <xf numFmtId="3" fontId="13" fillId="0" borderId="47" xfId="0" applyNumberFormat="1" applyFont="1" applyBorder="1" applyAlignment="1">
      <alignment vertical="center" wrapText="1"/>
    </xf>
    <xf numFmtId="3" fontId="13" fillId="0" borderId="41" xfId="0" applyNumberFormat="1" applyFont="1" applyBorder="1" applyAlignment="1">
      <alignment vertical="center" wrapText="1"/>
    </xf>
    <xf numFmtId="3" fontId="13" fillId="0" borderId="63" xfId="0" applyNumberFormat="1" applyFont="1" applyFill="1" applyBorder="1" applyAlignment="1">
      <alignment vertical="center"/>
    </xf>
    <xf numFmtId="3" fontId="13" fillId="0" borderId="64" xfId="0" applyNumberFormat="1" applyFont="1" applyFill="1" applyBorder="1" applyAlignment="1">
      <alignment vertical="center"/>
    </xf>
    <xf numFmtId="3" fontId="13" fillId="0" borderId="46" xfId="0" applyNumberFormat="1" applyFont="1" applyFill="1" applyBorder="1" applyAlignment="1">
      <alignment vertical="center"/>
    </xf>
    <xf numFmtId="0" fontId="7" fillId="0" borderId="39" xfId="0" applyFont="1" applyBorder="1" applyAlignment="1">
      <alignment horizontal="center" vertical="center" wrapText="1"/>
    </xf>
    <xf numFmtId="3" fontId="7" fillId="0" borderId="0" xfId="0" applyNumberFormat="1" applyFont="1" applyFill="1" applyBorder="1" applyAlignment="1">
      <alignment horizontal="right" vertical="center"/>
    </xf>
    <xf numFmtId="3" fontId="7" fillId="0" borderId="5" xfId="0" applyNumberFormat="1" applyFont="1" applyFill="1" applyBorder="1" applyAlignment="1">
      <alignment horizontal="right" vertical="center"/>
    </xf>
    <xf numFmtId="49" fontId="14" fillId="0" borderId="23" xfId="0" applyNumberFormat="1" applyFont="1" applyBorder="1" applyAlignment="1">
      <alignment horizontal="center" vertical="center" wrapText="1"/>
    </xf>
    <xf numFmtId="0" fontId="13" fillId="0" borderId="23" xfId="1" applyFont="1" applyBorder="1" applyAlignment="1">
      <alignment horizontal="center" vertical="center" wrapText="1"/>
    </xf>
    <xf numFmtId="49" fontId="14" fillId="0" borderId="24" xfId="0" applyNumberFormat="1" applyFont="1" applyFill="1" applyBorder="1" applyAlignment="1">
      <alignment horizontal="center" vertical="center"/>
    </xf>
    <xf numFmtId="0" fontId="13" fillId="0" borderId="23" xfId="0" applyFont="1" applyFill="1" applyBorder="1" applyAlignment="1">
      <alignment horizontal="center" vertical="center"/>
    </xf>
    <xf numFmtId="0" fontId="13" fillId="0" borderId="23" xfId="1" applyFont="1" applyFill="1" applyBorder="1" applyAlignment="1">
      <alignment horizontal="center" vertical="center"/>
    </xf>
    <xf numFmtId="3" fontId="14" fillId="0" borderId="23" xfId="1" applyNumberFormat="1" applyFont="1" applyFill="1" applyBorder="1" applyAlignment="1">
      <alignment vertical="center"/>
    </xf>
    <xf numFmtId="3" fontId="13" fillId="9" borderId="37" xfId="0" applyNumberFormat="1" applyFont="1" applyFill="1" applyBorder="1" applyAlignment="1">
      <alignment vertical="center"/>
    </xf>
    <xf numFmtId="3" fontId="14" fillId="8" borderId="26" xfId="0" applyNumberFormat="1" applyFont="1" applyFill="1" applyBorder="1" applyAlignment="1">
      <alignment vertical="center"/>
    </xf>
    <xf numFmtId="3" fontId="13" fillId="0" borderId="27" xfId="0" applyNumberFormat="1" applyFont="1" applyFill="1" applyBorder="1" applyAlignment="1">
      <alignment vertical="center"/>
    </xf>
    <xf numFmtId="3" fontId="13" fillId="0" borderId="24" xfId="0" applyNumberFormat="1" applyFont="1" applyFill="1" applyBorder="1" applyAlignment="1">
      <alignment vertical="center"/>
    </xf>
    <xf numFmtId="0" fontId="13" fillId="0" borderId="24" xfId="0" applyFont="1" applyFill="1" applyBorder="1" applyAlignment="1">
      <alignment horizontal="center" vertical="center"/>
    </xf>
    <xf numFmtId="49" fontId="14" fillId="0" borderId="32" xfId="0" applyNumberFormat="1" applyFont="1" applyFill="1" applyBorder="1" applyAlignment="1">
      <alignment horizontal="center" vertical="center"/>
    </xf>
    <xf numFmtId="3" fontId="14" fillId="9" borderId="32" xfId="0" applyNumberFormat="1" applyFont="1" applyFill="1" applyBorder="1" applyAlignment="1">
      <alignment vertical="center"/>
    </xf>
    <xf numFmtId="0" fontId="11" fillId="0" borderId="32"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7" fillId="11" borderId="24" xfId="0" applyFont="1" applyFill="1" applyBorder="1" applyAlignment="1">
      <alignment horizontal="center" vertical="center" wrapText="1"/>
    </xf>
    <xf numFmtId="0" fontId="7" fillId="11" borderId="32" xfId="0" applyFont="1" applyFill="1" applyBorder="1" applyAlignment="1">
      <alignment horizontal="center" vertical="center" wrapText="1"/>
    </xf>
    <xf numFmtId="0" fontId="11" fillId="0" borderId="32" xfId="1" applyFont="1" applyFill="1" applyBorder="1" applyAlignment="1">
      <alignment horizontal="center" vertical="center" wrapText="1"/>
    </xf>
    <xf numFmtId="0" fontId="9" fillId="12" borderId="16" xfId="0" applyFont="1" applyFill="1" applyBorder="1" applyAlignment="1">
      <alignment horizontal="center" vertical="center" wrapText="1"/>
    </xf>
    <xf numFmtId="0" fontId="7" fillId="6" borderId="32"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4" xfId="0" applyFont="1" applyFill="1" applyBorder="1" applyAlignment="1">
      <alignment horizontal="center" vertical="center" wrapText="1"/>
    </xf>
    <xf numFmtId="0" fontId="7" fillId="6" borderId="24" xfId="0" applyFont="1" applyFill="1" applyBorder="1" applyAlignment="1">
      <alignment horizontal="center" vertical="center"/>
    </xf>
    <xf numFmtId="0" fontId="7" fillId="11" borderId="29" xfId="0" applyFont="1" applyFill="1" applyBorder="1" applyAlignment="1">
      <alignment horizontal="center" vertical="center" wrapText="1"/>
    </xf>
    <xf numFmtId="0" fontId="7" fillId="0" borderId="20"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0" xfId="0" applyFont="1" applyFill="1" applyBorder="1" applyAlignment="1">
      <alignment horizontal="center" vertical="center" wrapText="1"/>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49" fontId="7" fillId="0" borderId="0" xfId="1" applyNumberFormat="1" applyFont="1" applyFill="1" applyBorder="1" applyAlignment="1">
      <alignment horizontal="center" vertical="center" wrapText="1"/>
    </xf>
    <xf numFmtId="0" fontId="9" fillId="12" borderId="18" xfId="1" applyFont="1" applyFill="1" applyBorder="1" applyAlignment="1">
      <alignment vertical="center" wrapText="1"/>
    </xf>
    <xf numFmtId="49" fontId="14" fillId="0" borderId="22" xfId="0" applyNumberFormat="1" applyFont="1" applyFill="1" applyBorder="1" applyAlignment="1">
      <alignment horizontal="center" vertical="center" wrapText="1" shrinkToFit="1"/>
    </xf>
    <xf numFmtId="0" fontId="13" fillId="0" borderId="22" xfId="0" applyFont="1" applyFill="1" applyBorder="1" applyAlignment="1">
      <alignment horizontal="center" vertical="center" wrapText="1"/>
    </xf>
    <xf numFmtId="0" fontId="13" fillId="0" borderId="29" xfId="1" applyFont="1" applyFill="1" applyBorder="1" applyAlignment="1">
      <alignment horizontal="center" vertical="center" wrapText="1"/>
    </xf>
    <xf numFmtId="3" fontId="14" fillId="0" borderId="22" xfId="1" applyNumberFormat="1" applyFont="1" applyFill="1" applyBorder="1" applyAlignment="1">
      <alignment vertical="center" wrapText="1"/>
    </xf>
    <xf numFmtId="3" fontId="14" fillId="0" borderId="29" xfId="1" applyNumberFormat="1" applyFont="1" applyFill="1" applyBorder="1" applyAlignment="1">
      <alignment vertical="center" wrapText="1"/>
    </xf>
    <xf numFmtId="3" fontId="13" fillId="0" borderId="28" xfId="0" applyNumberFormat="1" applyFont="1" applyFill="1" applyBorder="1" applyAlignment="1">
      <alignment vertical="center" wrapText="1"/>
    </xf>
    <xf numFmtId="3" fontId="13" fillId="0" borderId="0" xfId="0" applyNumberFormat="1" applyFont="1" applyFill="1" applyBorder="1" applyAlignment="1">
      <alignment vertical="center" wrapText="1"/>
    </xf>
    <xf numFmtId="0" fontId="13" fillId="0" borderId="29" xfId="0"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1" fontId="9" fillId="12" borderId="14" xfId="0" applyNumberFormat="1" applyFont="1" applyFill="1" applyBorder="1" applyAlignment="1">
      <alignment horizontal="center" vertical="center" wrapText="1"/>
    </xf>
    <xf numFmtId="49" fontId="9" fillId="12" borderId="18" xfId="0" applyNumberFormat="1" applyFont="1" applyFill="1" applyBorder="1" applyAlignment="1">
      <alignment horizontal="center" vertical="center" wrapText="1" shrinkToFit="1"/>
    </xf>
    <xf numFmtId="1" fontId="9" fillId="12" borderId="18" xfId="0" applyNumberFormat="1" applyFont="1" applyFill="1" applyBorder="1" applyAlignment="1">
      <alignment horizontal="center" vertical="center" wrapText="1"/>
    </xf>
    <xf numFmtId="0" fontId="7" fillId="12" borderId="38" xfId="0" applyFont="1" applyFill="1" applyBorder="1" applyAlignment="1">
      <alignment horizontal="center" vertical="center" wrapText="1"/>
    </xf>
    <xf numFmtId="0" fontId="10" fillId="12" borderId="39" xfId="1" applyFont="1" applyFill="1" applyBorder="1" applyAlignment="1">
      <alignment horizontal="center" vertical="center" wrapText="1"/>
    </xf>
    <xf numFmtId="4" fontId="9" fillId="12" borderId="6" xfId="1" applyNumberFormat="1" applyFont="1" applyFill="1" applyBorder="1" applyAlignment="1">
      <alignment horizontal="center" vertical="center" wrapText="1"/>
    </xf>
    <xf numFmtId="49" fontId="7" fillId="12" borderId="18" xfId="0" applyNumberFormat="1" applyFont="1" applyFill="1" applyBorder="1" applyAlignment="1">
      <alignment horizontal="center" vertical="center" wrapText="1"/>
    </xf>
    <xf numFmtId="3" fontId="10" fillId="12" borderId="18" xfId="1" applyNumberFormat="1" applyFont="1" applyFill="1" applyBorder="1" applyAlignment="1">
      <alignment horizontal="left" vertical="center"/>
    </xf>
    <xf numFmtId="49" fontId="7" fillId="12" borderId="18" xfId="1" applyNumberFormat="1" applyFont="1" applyFill="1" applyBorder="1" applyAlignment="1">
      <alignment horizontal="center" vertical="center" wrapText="1"/>
    </xf>
    <xf numFmtId="3" fontId="7" fillId="0" borderId="0" xfId="0" applyNumberFormat="1" applyFont="1" applyFill="1" applyBorder="1" applyAlignment="1">
      <alignment vertical="center"/>
    </xf>
    <xf numFmtId="3" fontId="14" fillId="0" borderId="32" xfId="0" applyNumberFormat="1" applyFont="1" applyFill="1" applyBorder="1" applyAlignment="1">
      <alignment vertical="center" wrapText="1"/>
    </xf>
    <xf numFmtId="0" fontId="11" fillId="0" borderId="2" xfId="0" applyFont="1" applyFill="1" applyBorder="1" applyAlignment="1">
      <alignment horizontal="center" vertical="center" wrapText="1"/>
    </xf>
    <xf numFmtId="49" fontId="13" fillId="0" borderId="29" xfId="0" applyNumberFormat="1" applyFont="1" applyFill="1" applyBorder="1" applyAlignment="1">
      <alignment horizontal="center" vertical="center" wrapText="1" shrinkToFit="1"/>
    </xf>
    <xf numFmtId="0" fontId="13" fillId="0" borderId="0" xfId="1" applyFont="1" applyFill="1" applyBorder="1" applyAlignment="1">
      <alignment horizontal="center" vertical="center" wrapText="1"/>
    </xf>
    <xf numFmtId="0" fontId="27" fillId="0" borderId="0" xfId="0" applyFont="1" applyFill="1" applyBorder="1" applyAlignment="1">
      <alignment horizontal="center" vertical="center" wrapText="1"/>
    </xf>
    <xf numFmtId="49" fontId="13" fillId="0" borderId="22" xfId="0" applyNumberFormat="1" applyFont="1" applyFill="1" applyBorder="1" applyAlignment="1">
      <alignment horizontal="center" vertical="center"/>
    </xf>
    <xf numFmtId="0" fontId="27" fillId="0" borderId="0" xfId="0" applyFont="1" applyFill="1" applyBorder="1" applyAlignment="1">
      <alignment horizontal="center" vertical="center"/>
    </xf>
    <xf numFmtId="3" fontId="13" fillId="0" borderId="22" xfId="1" applyNumberFormat="1" applyFont="1" applyFill="1" applyBorder="1" applyAlignment="1">
      <alignment vertical="center" wrapText="1"/>
    </xf>
    <xf numFmtId="3" fontId="13" fillId="0" borderId="22" xfId="3" applyNumberFormat="1" applyFont="1" applyFill="1" applyBorder="1" applyAlignment="1">
      <alignment vertical="center"/>
    </xf>
    <xf numFmtId="3" fontId="13" fillId="0" borderId="29" xfId="0" applyNumberFormat="1" applyFont="1" applyFill="1" applyBorder="1" applyAlignment="1">
      <alignment vertical="center"/>
    </xf>
    <xf numFmtId="49" fontId="14" fillId="0" borderId="14"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shrinkToFit="1"/>
    </xf>
    <xf numFmtId="0" fontId="13" fillId="0" borderId="14" xfId="0" applyFont="1" applyFill="1" applyBorder="1" applyAlignment="1">
      <alignment horizontal="center" vertical="center" wrapText="1"/>
    </xf>
    <xf numFmtId="0" fontId="13" fillId="0" borderId="16" xfId="1" applyFont="1" applyFill="1" applyBorder="1" applyAlignment="1">
      <alignment horizontal="center" vertical="center" wrapText="1"/>
    </xf>
    <xf numFmtId="0" fontId="27" fillId="0" borderId="30" xfId="1" applyFont="1" applyFill="1" applyBorder="1" applyAlignment="1">
      <alignment horizontal="center" vertical="center" wrapText="1"/>
    </xf>
    <xf numFmtId="3" fontId="14" fillId="0" borderId="14" xfId="1" applyNumberFormat="1" applyFont="1" applyFill="1" applyBorder="1" applyAlignment="1">
      <alignment vertical="center" wrapText="1"/>
    </xf>
    <xf numFmtId="3" fontId="13" fillId="0" borderId="14" xfId="0" applyNumberFormat="1" applyFont="1" applyFill="1" applyBorder="1" applyAlignment="1">
      <alignment vertical="center" wrapText="1"/>
    </xf>
    <xf numFmtId="3" fontId="13" fillId="0" borderId="30" xfId="0" applyNumberFormat="1" applyFont="1" applyFill="1" applyBorder="1" applyAlignment="1">
      <alignment vertical="center" wrapText="1"/>
    </xf>
    <xf numFmtId="3" fontId="13" fillId="0" borderId="16" xfId="0" applyNumberFormat="1" applyFont="1" applyFill="1" applyBorder="1" applyAlignment="1">
      <alignment vertical="center" wrapText="1"/>
    </xf>
    <xf numFmtId="3" fontId="14" fillId="0" borderId="14" xfId="0" applyNumberFormat="1" applyFont="1" applyFill="1" applyBorder="1" applyAlignment="1">
      <alignment vertical="center" wrapText="1"/>
    </xf>
    <xf numFmtId="4" fontId="13" fillId="0" borderId="16"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wrapText="1" shrinkToFit="1"/>
    </xf>
    <xf numFmtId="0" fontId="27" fillId="0" borderId="29" xfId="1" applyFont="1" applyFill="1" applyBorder="1" applyAlignment="1">
      <alignment horizontal="center" vertical="center" wrapText="1"/>
    </xf>
    <xf numFmtId="0" fontId="7" fillId="0" borderId="63" xfId="0" applyFont="1" applyFill="1" applyBorder="1" applyAlignment="1">
      <alignment vertical="center"/>
    </xf>
    <xf numFmtId="0" fontId="7" fillId="0" borderId="64" xfId="0" applyFont="1" applyFill="1" applyBorder="1" applyAlignment="1">
      <alignment vertical="center"/>
    </xf>
    <xf numFmtId="0" fontId="7" fillId="0" borderId="46" xfId="0" applyFont="1" applyFill="1" applyBorder="1" applyAlignment="1">
      <alignment vertical="center"/>
    </xf>
    <xf numFmtId="166" fontId="7" fillId="0" borderId="28" xfId="0" applyNumberFormat="1" applyFont="1" applyFill="1" applyBorder="1" applyAlignment="1">
      <alignment vertical="center"/>
    </xf>
    <xf numFmtId="4" fontId="7" fillId="0" borderId="29" xfId="0" applyNumberFormat="1" applyFont="1" applyFill="1" applyBorder="1" applyAlignment="1">
      <alignment vertical="center"/>
    </xf>
    <xf numFmtId="3" fontId="7" fillId="0" borderId="1" xfId="0" applyNumberFormat="1" applyFont="1" applyFill="1" applyBorder="1" applyAlignment="1">
      <alignment vertical="center"/>
    </xf>
    <xf numFmtId="4" fontId="7" fillId="0" borderId="1" xfId="0" applyNumberFormat="1" applyFont="1" applyFill="1" applyBorder="1" applyAlignment="1">
      <alignment vertical="center"/>
    </xf>
    <xf numFmtId="4" fontId="7" fillId="0" borderId="16" xfId="0" applyNumberFormat="1" applyFont="1" applyFill="1" applyBorder="1" applyAlignment="1">
      <alignment vertical="center"/>
    </xf>
    <xf numFmtId="0" fontId="7" fillId="0" borderId="10" xfId="0"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3" fontId="9" fillId="0" borderId="28" xfId="1" applyNumberFormat="1" applyFont="1" applyFill="1" applyBorder="1" applyAlignment="1">
      <alignment horizontal="center" vertical="center" wrapText="1"/>
    </xf>
    <xf numFmtId="3" fontId="7" fillId="0" borderId="5" xfId="0" applyNumberFormat="1" applyFont="1" applyFill="1" applyBorder="1" applyAlignment="1">
      <alignment vertical="center"/>
    </xf>
    <xf numFmtId="4" fontId="7" fillId="0" borderId="5" xfId="0" applyNumberFormat="1" applyFont="1" applyFill="1" applyBorder="1" applyAlignment="1">
      <alignment vertical="center"/>
    </xf>
    <xf numFmtId="4" fontId="7" fillId="0" borderId="6" xfId="0" applyNumberFormat="1" applyFont="1" applyFill="1" applyBorder="1" applyAlignment="1">
      <alignment vertical="center"/>
    </xf>
    <xf numFmtId="1" fontId="9" fillId="0" borderId="6" xfId="0" applyNumberFormat="1" applyFont="1" applyFill="1" applyBorder="1" applyAlignment="1">
      <alignment horizontal="center" vertical="center" wrapText="1"/>
    </xf>
    <xf numFmtId="1" fontId="9" fillId="0" borderId="6" xfId="1" applyNumberFormat="1" applyFont="1" applyFill="1" applyBorder="1" applyAlignment="1">
      <alignment horizontal="center" vertical="center" wrapText="1"/>
    </xf>
    <xf numFmtId="1" fontId="7" fillId="8" borderId="0" xfId="0" applyNumberFormat="1" applyFont="1" applyFill="1" applyBorder="1" applyAlignment="1">
      <alignment horizontal="center" vertical="center"/>
    </xf>
    <xf numFmtId="3" fontId="12" fillId="0" borderId="23" xfId="1" applyNumberFormat="1" applyFont="1" applyFill="1" applyBorder="1" applyAlignment="1">
      <alignment vertical="center" wrapText="1"/>
    </xf>
    <xf numFmtId="0" fontId="9" fillId="12" borderId="6" xfId="1" applyFont="1" applyFill="1" applyBorder="1" applyAlignment="1">
      <alignment vertical="center" wrapText="1"/>
    </xf>
    <xf numFmtId="0" fontId="7" fillId="11" borderId="9" xfId="0" applyFont="1" applyFill="1" applyBorder="1" applyAlignment="1">
      <alignment horizontal="center" vertical="center" wrapText="1"/>
    </xf>
    <xf numFmtId="0" fontId="11" fillId="0" borderId="26" xfId="0" applyFont="1" applyFill="1" applyBorder="1" applyAlignment="1">
      <alignment horizontal="center" vertical="center" wrapText="1"/>
    </xf>
    <xf numFmtId="3" fontId="12" fillId="0" borderId="33" xfId="1" applyNumberFormat="1" applyFont="1" applyFill="1" applyBorder="1" applyAlignment="1">
      <alignment vertical="center" wrapText="1"/>
    </xf>
    <xf numFmtId="3" fontId="14" fillId="9" borderId="35" xfId="0" applyNumberFormat="1" applyFont="1" applyFill="1" applyBorder="1" applyAlignment="1">
      <alignment vertical="center" wrapText="1"/>
    </xf>
    <xf numFmtId="0" fontId="24" fillId="0" borderId="22" xfId="0" applyFont="1" applyFill="1" applyBorder="1"/>
    <xf numFmtId="3" fontId="12" fillId="0" borderId="26" xfId="1" applyNumberFormat="1" applyFont="1" applyFill="1" applyBorder="1" applyAlignment="1">
      <alignment vertical="center" wrapText="1"/>
    </xf>
    <xf numFmtId="3" fontId="14" fillId="0" borderId="31" xfId="1" applyNumberFormat="1" applyFont="1" applyFill="1" applyBorder="1" applyAlignment="1">
      <alignment vertical="center" wrapText="1"/>
    </xf>
    <xf numFmtId="0" fontId="7" fillId="0" borderId="18" xfId="1" applyFont="1" applyFill="1" applyBorder="1" applyAlignment="1">
      <alignment horizontal="center" vertical="center" wrapText="1"/>
    </xf>
    <xf numFmtId="3" fontId="9" fillId="0" borderId="6" xfId="1" applyNumberFormat="1" applyFont="1" applyFill="1" applyBorder="1" applyAlignment="1">
      <alignment vertical="center" wrapText="1"/>
    </xf>
    <xf numFmtId="0" fontId="7" fillId="0" borderId="6" xfId="0" applyFont="1" applyFill="1" applyBorder="1" applyAlignment="1">
      <alignment horizontal="center" vertical="center" wrapText="1"/>
    </xf>
    <xf numFmtId="0" fontId="13" fillId="0" borderId="20" xfId="1" applyFont="1" applyFill="1" applyBorder="1" applyAlignment="1">
      <alignment horizontal="center" vertical="center" wrapText="1"/>
    </xf>
    <xf numFmtId="0" fontId="27" fillId="0" borderId="20" xfId="1" applyFont="1" applyFill="1" applyBorder="1" applyAlignment="1">
      <alignment horizontal="center" vertical="center" wrapText="1"/>
    </xf>
    <xf numFmtId="3" fontId="14" fillId="0" borderId="20" xfId="1" applyNumberFormat="1" applyFont="1" applyFill="1" applyBorder="1" applyAlignment="1">
      <alignment vertical="center" wrapText="1"/>
    </xf>
    <xf numFmtId="1" fontId="13" fillId="8" borderId="0" xfId="0" applyNumberFormat="1" applyFont="1" applyFill="1" applyBorder="1" applyAlignment="1">
      <alignment horizontal="center" vertical="center" wrapText="1"/>
    </xf>
    <xf numFmtId="3" fontId="13" fillId="0" borderId="33" xfId="1" applyNumberFormat="1" applyFont="1" applyFill="1" applyBorder="1" applyAlignment="1">
      <alignment vertical="center" wrapText="1"/>
    </xf>
    <xf numFmtId="0" fontId="13" fillId="0" borderId="13" xfId="1" applyFont="1" applyFill="1" applyBorder="1" applyAlignment="1">
      <alignment horizontal="center" vertical="center" wrapText="1"/>
    </xf>
    <xf numFmtId="0" fontId="27" fillId="0" borderId="1" xfId="0" applyFont="1" applyFill="1" applyBorder="1" applyAlignment="1">
      <alignment horizontal="center" vertical="center"/>
    </xf>
    <xf numFmtId="3" fontId="14" fillId="0" borderId="30" xfId="1" applyNumberFormat="1" applyFont="1" applyFill="1" applyBorder="1" applyAlignment="1">
      <alignment vertical="center" wrapText="1"/>
    </xf>
    <xf numFmtId="3" fontId="13" fillId="0" borderId="48" xfId="0" applyNumberFormat="1" applyFont="1" applyFill="1" applyBorder="1" applyAlignment="1">
      <alignment vertical="center" wrapText="1"/>
    </xf>
    <xf numFmtId="3" fontId="14" fillId="9" borderId="45" xfId="0" applyNumberFormat="1" applyFont="1" applyFill="1" applyBorder="1" applyAlignment="1">
      <alignment vertical="center" wrapText="1"/>
    </xf>
    <xf numFmtId="3" fontId="13" fillId="0" borderId="1" xfId="0" applyNumberFormat="1" applyFont="1" applyFill="1" applyBorder="1" applyAlignment="1">
      <alignment vertical="center" wrapText="1"/>
    </xf>
    <xf numFmtId="0" fontId="13" fillId="0" borderId="1" xfId="0"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1" fontId="15" fillId="8" borderId="0" xfId="0" applyNumberFormat="1" applyFont="1" applyFill="1" applyBorder="1" applyAlignment="1">
      <alignment horizontal="center" vertical="center" wrapText="1"/>
    </xf>
    <xf numFmtId="1" fontId="13" fillId="8" borderId="1" xfId="0" applyNumberFormat="1" applyFont="1" applyFill="1" applyBorder="1" applyAlignment="1">
      <alignment horizontal="center" vertical="center" wrapText="1"/>
    </xf>
    <xf numFmtId="3" fontId="14" fillId="8" borderId="26" xfId="0" applyNumberFormat="1" applyFont="1" applyFill="1" applyBorder="1" applyAlignment="1">
      <alignment vertical="center" wrapText="1"/>
    </xf>
    <xf numFmtId="3" fontId="13" fillId="0" borderId="32" xfId="0" applyNumberFormat="1" applyFont="1" applyBorder="1" applyAlignment="1">
      <alignment vertical="center"/>
    </xf>
    <xf numFmtId="3" fontId="13" fillId="0" borderId="26" xfId="0" applyNumberFormat="1" applyFont="1" applyBorder="1" applyAlignment="1">
      <alignment vertical="center"/>
    </xf>
    <xf numFmtId="3" fontId="13" fillId="0" borderId="35" xfId="0" applyNumberFormat="1" applyFont="1" applyBorder="1" applyAlignment="1">
      <alignment vertical="center" wrapText="1"/>
    </xf>
    <xf numFmtId="49" fontId="13" fillId="0" borderId="36" xfId="0" applyNumberFormat="1" applyFont="1" applyBorder="1" applyAlignment="1">
      <alignment horizontal="center" vertical="center" wrapText="1"/>
    </xf>
    <xf numFmtId="0" fontId="13" fillId="0" borderId="33" xfId="1" applyFont="1" applyBorder="1" applyAlignment="1">
      <alignment horizontal="center" vertical="center" wrapText="1"/>
    </xf>
    <xf numFmtId="0" fontId="13" fillId="0" borderId="35" xfId="1" applyFont="1" applyBorder="1" applyAlignment="1">
      <alignment horizontal="center" vertical="center" wrapText="1"/>
    </xf>
    <xf numFmtId="0" fontId="27" fillId="0" borderId="34" xfId="1" applyFont="1" applyBorder="1" applyAlignment="1">
      <alignment horizontal="center" vertical="center" wrapText="1"/>
    </xf>
    <xf numFmtId="3" fontId="14" fillId="0" borderId="33" xfId="1" applyNumberFormat="1" applyFont="1" applyBorder="1" applyAlignment="1">
      <alignment vertical="center" wrapText="1"/>
    </xf>
    <xf numFmtId="3" fontId="14" fillId="0" borderId="33" xfId="0" applyNumberFormat="1" applyFont="1" applyBorder="1" applyAlignment="1">
      <alignment vertical="center" wrapText="1"/>
    </xf>
    <xf numFmtId="3" fontId="13" fillId="0" borderId="35" xfId="0" applyNumberFormat="1" applyFont="1" applyBorder="1" applyAlignment="1">
      <alignment vertical="center"/>
    </xf>
    <xf numFmtId="3" fontId="13" fillId="0" borderId="33" xfId="0" applyNumberFormat="1" applyFont="1" applyBorder="1" applyAlignment="1">
      <alignment vertical="center"/>
    </xf>
    <xf numFmtId="3" fontId="13" fillId="0" borderId="33" xfId="0" applyNumberFormat="1" applyFont="1" applyBorder="1" applyAlignment="1">
      <alignment vertical="center" wrapText="1"/>
    </xf>
    <xf numFmtId="0" fontId="13" fillId="0" borderId="35" xfId="0" applyFont="1" applyBorder="1" applyAlignment="1">
      <alignment horizontal="center" vertical="center" wrapText="1"/>
    </xf>
    <xf numFmtId="49" fontId="14" fillId="0" borderId="26" xfId="0" applyNumberFormat="1" applyFont="1" applyBorder="1" applyAlignment="1">
      <alignment horizontal="center" vertical="center" wrapText="1"/>
    </xf>
    <xf numFmtId="0" fontId="27" fillId="0" borderId="26" xfId="0" applyFont="1" applyBorder="1" applyAlignment="1">
      <alignment horizontal="center" vertical="center" wrapText="1"/>
    </xf>
    <xf numFmtId="3" fontId="14" fillId="0" borderId="26" xfId="0" applyNumberFormat="1" applyFont="1" applyBorder="1" applyAlignment="1">
      <alignment horizontal="right" vertical="center"/>
    </xf>
    <xf numFmtId="3" fontId="13" fillId="0" borderId="26" xfId="0" applyNumberFormat="1" applyFont="1" applyBorder="1" applyAlignment="1">
      <alignment horizontal="right" vertical="center"/>
    </xf>
    <xf numFmtId="0" fontId="27" fillId="0" borderId="31" xfId="0" applyFont="1" applyBorder="1" applyAlignment="1">
      <alignment horizontal="center" vertical="center"/>
    </xf>
    <xf numFmtId="3" fontId="14" fillId="0" borderId="31" xfId="0" applyNumberFormat="1" applyFont="1" applyBorder="1" applyAlignment="1">
      <alignment vertical="center" wrapText="1"/>
    </xf>
    <xf numFmtId="3" fontId="13" fillId="0" borderId="32" xfId="0" applyNumberFormat="1" applyFont="1" applyBorder="1" applyAlignment="1">
      <alignment horizontal="right" vertical="center"/>
    </xf>
    <xf numFmtId="3" fontId="9" fillId="0" borderId="31" xfId="0" applyNumberFormat="1" applyFont="1" applyBorder="1" applyAlignment="1">
      <alignment vertical="center" wrapText="1"/>
    </xf>
    <xf numFmtId="1" fontId="7" fillId="8" borderId="22" xfId="0" applyNumberFormat="1" applyFont="1" applyFill="1" applyBorder="1" applyAlignment="1">
      <alignment horizontal="center" vertical="center" wrapText="1"/>
    </xf>
    <xf numFmtId="4" fontId="7" fillId="19" borderId="20" xfId="0" applyNumberFormat="1" applyFont="1" applyFill="1" applyBorder="1" applyAlignment="1">
      <alignment horizontal="center" vertical="center" wrapText="1"/>
    </xf>
    <xf numFmtId="4" fontId="7" fillId="0" borderId="37" xfId="0" applyNumberFormat="1" applyFont="1" applyFill="1" applyBorder="1" applyAlignment="1">
      <alignment horizontal="center" vertical="center" wrapText="1"/>
    </xf>
    <xf numFmtId="4" fontId="7" fillId="0" borderId="40" xfId="0" applyNumberFormat="1" applyFont="1" applyFill="1" applyBorder="1" applyAlignment="1">
      <alignment horizontal="center" vertical="center" wrapText="1"/>
    </xf>
    <xf numFmtId="0" fontId="7" fillId="19" borderId="37" xfId="0" applyFont="1" applyFill="1" applyBorder="1" applyAlignment="1">
      <alignment horizontal="center" vertical="center" wrapText="1"/>
    </xf>
    <xf numFmtId="3" fontId="11" fillId="0" borderId="32" xfId="0" applyNumberFormat="1" applyFont="1" applyFill="1" applyBorder="1" applyAlignment="1">
      <alignment horizontal="center" vertical="center" wrapText="1"/>
    </xf>
    <xf numFmtId="3" fontId="29" fillId="0" borderId="26" xfId="0" applyNumberFormat="1" applyFont="1" applyBorder="1" applyAlignment="1">
      <alignment vertical="center" wrapText="1"/>
    </xf>
    <xf numFmtId="3" fontId="9" fillId="0" borderId="31" xfId="1" applyNumberFormat="1" applyFont="1" applyFill="1" applyBorder="1" applyAlignment="1">
      <alignment horizontal="right" vertical="center" wrapText="1"/>
    </xf>
    <xf numFmtId="3" fontId="7" fillId="0" borderId="71" xfId="0" applyNumberFormat="1" applyFont="1" applyFill="1" applyBorder="1" applyAlignment="1">
      <alignment vertical="center" wrapText="1"/>
    </xf>
    <xf numFmtId="0" fontId="17" fillId="3" borderId="0" xfId="0" applyFont="1" applyFill="1" applyBorder="1" applyAlignment="1">
      <alignment horizontal="center" vertical="center" wrapText="1"/>
    </xf>
    <xf numFmtId="0" fontId="16" fillId="0" borderId="22" xfId="0" applyFont="1" applyFill="1" applyBorder="1"/>
    <xf numFmtId="49" fontId="14" fillId="0" borderId="31" xfId="0" applyNumberFormat="1" applyFont="1" applyFill="1" applyBorder="1" applyAlignment="1">
      <alignment horizontal="center" vertical="center" wrapText="1" shrinkToFit="1"/>
    </xf>
    <xf numFmtId="3" fontId="14" fillId="0" borderId="31" xfId="1" applyNumberFormat="1" applyFont="1" applyFill="1" applyBorder="1" applyAlignment="1">
      <alignment horizontal="right" vertical="center" wrapText="1"/>
    </xf>
    <xf numFmtId="4" fontId="13" fillId="0" borderId="26"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 fontId="13" fillId="0" borderId="37" xfId="0" applyNumberFormat="1" applyFont="1" applyFill="1" applyBorder="1" applyAlignment="1">
      <alignment horizontal="center" vertical="center" wrapText="1"/>
    </xf>
    <xf numFmtId="3" fontId="13" fillId="0" borderId="41" xfId="1" applyNumberFormat="1" applyFont="1" applyFill="1" applyBorder="1" applyAlignment="1">
      <alignment vertical="center" wrapText="1"/>
    </xf>
    <xf numFmtId="49" fontId="13" fillId="0" borderId="32" xfId="0" applyNumberFormat="1"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6" borderId="32" xfId="0" applyFont="1" applyFill="1" applyBorder="1" applyAlignment="1">
      <alignment horizontal="center" vertical="center" wrapText="1"/>
    </xf>
    <xf numFmtId="4" fontId="13" fillId="0" borderId="42" xfId="0" applyNumberFormat="1" applyFont="1" applyFill="1" applyBorder="1" applyAlignment="1">
      <alignment horizontal="center" vertical="center" wrapText="1"/>
    </xf>
    <xf numFmtId="49" fontId="9" fillId="3" borderId="18" xfId="0" applyNumberFormat="1" applyFont="1" applyFill="1" applyBorder="1" applyAlignment="1">
      <alignment horizontal="center" vertical="center" wrapText="1"/>
    </xf>
    <xf numFmtId="49" fontId="7" fillId="3" borderId="26" xfId="0" applyNumberFormat="1" applyFont="1" applyFill="1" applyBorder="1" applyAlignment="1">
      <alignment horizontal="center" vertical="center" wrapText="1"/>
    </xf>
    <xf numFmtId="49" fontId="13" fillId="3" borderId="26" xfId="0" applyNumberFormat="1" applyFont="1" applyFill="1" applyBorder="1" applyAlignment="1">
      <alignment horizontal="center" vertical="center" wrapText="1"/>
    </xf>
    <xf numFmtId="0" fontId="9" fillId="3" borderId="18" xfId="0" applyFont="1" applyFill="1" applyBorder="1" applyAlignment="1">
      <alignment horizontal="center" vertical="center" wrapText="1"/>
    </xf>
    <xf numFmtId="4" fontId="13" fillId="0" borderId="35" xfId="0" applyNumberFormat="1" applyFont="1" applyFill="1" applyBorder="1" applyAlignment="1">
      <alignment horizontal="center" vertical="center" wrapText="1"/>
    </xf>
    <xf numFmtId="49" fontId="14" fillId="0" borderId="34" xfId="0" applyNumberFormat="1" applyFont="1" applyFill="1" applyBorder="1" applyAlignment="1">
      <alignment horizontal="center" vertical="center" wrapText="1" shrinkToFit="1"/>
    </xf>
    <xf numFmtId="3" fontId="13" fillId="9" borderId="40" xfId="0" applyNumberFormat="1" applyFont="1" applyFill="1" applyBorder="1" applyAlignment="1">
      <alignment vertical="center" wrapText="1"/>
    </xf>
    <xf numFmtId="49" fontId="7" fillId="3" borderId="26" xfId="0" applyNumberFormat="1" applyFont="1" applyFill="1" applyBorder="1" applyAlignment="1">
      <alignment horizontal="center" vertical="center"/>
    </xf>
    <xf numFmtId="49" fontId="13" fillId="3" borderId="13"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wrapText="1"/>
    </xf>
    <xf numFmtId="49" fontId="13" fillId="3" borderId="26" xfId="0" applyNumberFormat="1" applyFont="1" applyFill="1" applyBorder="1" applyAlignment="1">
      <alignment horizontal="center" vertical="center"/>
    </xf>
    <xf numFmtId="49" fontId="13" fillId="3" borderId="2" xfId="0" applyNumberFormat="1" applyFont="1" applyFill="1" applyBorder="1" applyAlignment="1">
      <alignment horizontal="center" vertical="center"/>
    </xf>
    <xf numFmtId="49" fontId="7" fillId="3" borderId="22" xfId="0" applyNumberFormat="1" applyFont="1" applyFill="1" applyBorder="1" applyAlignment="1">
      <alignment horizontal="center" vertical="center" wrapText="1"/>
    </xf>
    <xf numFmtId="4" fontId="9" fillId="3" borderId="18" xfId="1"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1" fontId="9" fillId="4" borderId="5"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shrinkToFit="1"/>
    </xf>
    <xf numFmtId="3" fontId="14" fillId="0" borderId="15" xfId="1" applyNumberFormat="1" applyFont="1" applyFill="1" applyBorder="1" applyAlignment="1">
      <alignment horizontal="right" vertical="center" wrapText="1"/>
    </xf>
    <xf numFmtId="3" fontId="13" fillId="0" borderId="60" xfId="0" applyNumberFormat="1" applyFont="1" applyFill="1" applyBorder="1" applyAlignment="1">
      <alignment vertical="center" wrapText="1"/>
    </xf>
    <xf numFmtId="3" fontId="13" fillId="0" borderId="17" xfId="0" applyNumberFormat="1" applyFont="1" applyFill="1" applyBorder="1" applyAlignment="1">
      <alignment vertical="center" wrapText="1"/>
    </xf>
    <xf numFmtId="3" fontId="13" fillId="9" borderId="19" xfId="0" applyNumberFormat="1" applyFont="1" applyFill="1" applyBorder="1" applyAlignment="1">
      <alignment vertical="center" wrapText="1"/>
    </xf>
    <xf numFmtId="3" fontId="14" fillId="8" borderId="13" xfId="0" applyNumberFormat="1" applyFont="1" applyFill="1" applyBorder="1" applyAlignment="1">
      <alignment vertical="center" wrapText="1"/>
    </xf>
    <xf numFmtId="3" fontId="13" fillId="0" borderId="19" xfId="0" applyNumberFormat="1" applyFont="1" applyFill="1" applyBorder="1" applyAlignment="1">
      <alignment vertical="center" wrapText="1"/>
    </xf>
    <xf numFmtId="4" fontId="13" fillId="0" borderId="62" xfId="0" applyNumberFormat="1" applyFont="1" applyFill="1" applyBorder="1" applyAlignment="1">
      <alignment horizontal="center" vertical="center" wrapText="1"/>
    </xf>
    <xf numFmtId="4" fontId="13" fillId="0" borderId="13" xfId="0" applyNumberFormat="1" applyFont="1" applyFill="1" applyBorder="1" applyAlignment="1">
      <alignment horizontal="center" vertical="center" wrapText="1"/>
    </xf>
    <xf numFmtId="49" fontId="13" fillId="0" borderId="54" xfId="0" applyNumberFormat="1" applyFont="1" applyFill="1" applyBorder="1" applyAlignment="1">
      <alignment horizontal="center" vertical="center" wrapText="1"/>
    </xf>
    <xf numFmtId="0" fontId="13" fillId="0" borderId="43" xfId="0" applyFont="1" applyFill="1" applyBorder="1" applyAlignment="1">
      <alignment horizontal="center" vertical="center"/>
    </xf>
    <xf numFmtId="1" fontId="9" fillId="4" borderId="7" xfId="0" applyNumberFormat="1" applyFont="1" applyFill="1" applyBorder="1" applyAlignment="1">
      <alignment horizontal="center" vertical="center" wrapText="1"/>
    </xf>
    <xf numFmtId="0" fontId="18" fillId="0" borderId="3" xfId="0" applyFont="1" applyFill="1" applyBorder="1"/>
    <xf numFmtId="0" fontId="18" fillId="0" borderId="18" xfId="0" applyFont="1" applyFill="1" applyBorder="1"/>
    <xf numFmtId="0" fontId="7" fillId="0" borderId="10" xfId="0" applyFont="1" applyFill="1" applyBorder="1" applyAlignment="1">
      <alignment horizontal="center" vertical="center"/>
    </xf>
    <xf numFmtId="1" fontId="7" fillId="8" borderId="7" xfId="0" applyNumberFormat="1" applyFont="1" applyFill="1" applyBorder="1" applyAlignment="1">
      <alignment horizontal="center" vertical="center"/>
    </xf>
    <xf numFmtId="0" fontId="7" fillId="0" borderId="64" xfId="0" applyFont="1" applyFill="1" applyBorder="1" applyAlignment="1">
      <alignment horizontal="center" vertical="center"/>
    </xf>
    <xf numFmtId="0" fontId="13" fillId="0" borderId="64" xfId="0" applyFont="1" applyFill="1" applyBorder="1" applyAlignment="1">
      <alignment horizontal="center" vertical="center"/>
    </xf>
    <xf numFmtId="0" fontId="7"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30" xfId="0" applyFont="1" applyFill="1" applyBorder="1" applyAlignment="1">
      <alignment horizontal="center" vertical="center" wrapText="1"/>
    </xf>
    <xf numFmtId="1" fontId="14" fillId="4" borderId="1"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8" fillId="0" borderId="0" xfId="0" applyFont="1" applyBorder="1"/>
    <xf numFmtId="0" fontId="18" fillId="0" borderId="0" xfId="0" applyFont="1" applyFill="1" applyBorder="1"/>
    <xf numFmtId="0" fontId="7" fillId="0" borderId="36" xfId="0" applyFont="1" applyFill="1" applyBorder="1" applyAlignment="1">
      <alignment horizontal="center" vertical="center" wrapText="1"/>
    </xf>
    <xf numFmtId="0" fontId="7" fillId="0" borderId="36" xfId="0" applyFont="1" applyBorder="1" applyAlignment="1">
      <alignment horizontal="center" vertical="center" wrapText="1"/>
    </xf>
    <xf numFmtId="0" fontId="15" fillId="0" borderId="36"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73" xfId="0" applyFont="1" applyBorder="1" applyAlignment="1">
      <alignment horizontal="center" vertical="center" wrapText="1"/>
    </xf>
    <xf numFmtId="0" fontId="7" fillId="5" borderId="54" xfId="0" applyFont="1" applyFill="1" applyBorder="1" applyAlignment="1">
      <alignment horizontal="center" vertical="center" wrapText="1"/>
    </xf>
    <xf numFmtId="0" fontId="7" fillId="0" borderId="47"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3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7" fillId="19" borderId="42" xfId="0" applyFont="1" applyFill="1" applyBorder="1" applyAlignment="1">
      <alignment horizontal="center" vertical="center" wrapText="1"/>
    </xf>
    <xf numFmtId="0" fontId="7" fillId="20" borderId="20" xfId="0" applyFont="1" applyFill="1" applyBorder="1" applyAlignment="1">
      <alignment horizontal="center" vertical="center" wrapText="1"/>
    </xf>
    <xf numFmtId="4" fontId="7" fillId="19" borderId="37" xfId="0" quotePrefix="1" applyNumberFormat="1" applyFont="1" applyFill="1" applyBorder="1" applyAlignment="1">
      <alignment horizontal="center" vertical="center" wrapText="1"/>
    </xf>
    <xf numFmtId="4" fontId="34" fillId="19" borderId="37" xfId="0" applyNumberFormat="1" applyFont="1" applyFill="1" applyBorder="1" applyAlignment="1">
      <alignment horizontal="center" vertical="center" wrapText="1"/>
    </xf>
    <xf numFmtId="0" fontId="7" fillId="19" borderId="20" xfId="0" applyFont="1" applyFill="1" applyBorder="1" applyAlignment="1">
      <alignment horizontal="center" vertical="center" wrapText="1"/>
    </xf>
    <xf numFmtId="4" fontId="7" fillId="19" borderId="37" xfId="0" applyNumberFormat="1" applyFont="1" applyFill="1" applyBorder="1" applyAlignment="1">
      <alignment horizontal="center" vertical="center" wrapText="1"/>
    </xf>
    <xf numFmtId="0" fontId="34" fillId="19" borderId="37" xfId="0" applyFont="1" applyFill="1" applyBorder="1" applyAlignment="1">
      <alignment horizontal="center" vertical="center" wrapText="1"/>
    </xf>
    <xf numFmtId="4" fontId="7" fillId="19" borderId="42" xfId="0" applyNumberFormat="1" applyFont="1" applyFill="1" applyBorder="1" applyAlignment="1">
      <alignment horizontal="center" vertical="center" wrapText="1"/>
    </xf>
    <xf numFmtId="1" fontId="32" fillId="4" borderId="0" xfId="0" applyNumberFormat="1"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2" fillId="13" borderId="26" xfId="0" applyFont="1" applyFill="1" applyBorder="1" applyAlignment="1">
      <alignment horizontal="center" vertical="center" wrapText="1"/>
    </xf>
    <xf numFmtId="3" fontId="7" fillId="0" borderId="73" xfId="0" applyNumberFormat="1" applyFont="1" applyFill="1" applyBorder="1" applyAlignment="1">
      <alignment vertical="center" wrapText="1"/>
    </xf>
    <xf numFmtId="3" fontId="17" fillId="0" borderId="32" xfId="1" applyNumberFormat="1" applyFont="1" applyFill="1" applyBorder="1" applyAlignment="1">
      <alignment vertical="center" wrapText="1"/>
    </xf>
    <xf numFmtId="3" fontId="7" fillId="0" borderId="75" xfId="0" applyNumberFormat="1" applyFont="1" applyFill="1" applyBorder="1" applyAlignment="1">
      <alignment vertical="center" wrapText="1"/>
    </xf>
    <xf numFmtId="49" fontId="7" fillId="0" borderId="22" xfId="0" applyNumberFormat="1" applyFont="1" applyFill="1" applyBorder="1" applyAlignment="1">
      <alignment horizontal="center" vertical="center" wrapText="1"/>
    </xf>
    <xf numFmtId="3" fontId="7" fillId="0" borderId="36" xfId="0" applyNumberFormat="1" applyFont="1" applyFill="1" applyBorder="1" applyAlignment="1">
      <alignment vertical="center"/>
    </xf>
    <xf numFmtId="3" fontId="7" fillId="0" borderId="44" xfId="0" applyNumberFormat="1" applyFont="1" applyFill="1" applyBorder="1" applyAlignment="1">
      <alignment vertical="center" wrapText="1"/>
    </xf>
    <xf numFmtId="3" fontId="13" fillId="0" borderId="54" xfId="0" applyNumberFormat="1" applyFont="1" applyFill="1" applyBorder="1" applyAlignment="1">
      <alignment vertical="center" wrapText="1"/>
    </xf>
    <xf numFmtId="3" fontId="13" fillId="0" borderId="36" xfId="0" applyNumberFormat="1" applyFont="1" applyBorder="1" applyAlignment="1">
      <alignment vertical="center" wrapText="1"/>
    </xf>
    <xf numFmtId="0" fontId="7" fillId="0" borderId="26"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3" xfId="0" applyNumberFormat="1" applyFont="1" applyFill="1" applyBorder="1" applyAlignment="1">
      <alignment horizontal="center" vertical="center" wrapText="1"/>
    </xf>
    <xf numFmtId="4" fontId="27" fillId="0" borderId="26" xfId="1" applyNumberFormat="1" applyFont="1" applyFill="1" applyBorder="1" applyAlignment="1">
      <alignment horizontal="center" vertical="center" wrapText="1"/>
    </xf>
    <xf numFmtId="3" fontId="13" fillId="0" borderId="36" xfId="0" applyNumberFormat="1" applyFont="1" applyFill="1" applyBorder="1" applyAlignment="1">
      <alignment vertical="center"/>
    </xf>
    <xf numFmtId="3" fontId="13" fillId="0" borderId="53" xfId="0" applyNumberFormat="1" applyFont="1" applyFill="1" applyBorder="1" applyAlignment="1">
      <alignment vertical="center"/>
    </xf>
    <xf numFmtId="4" fontId="14" fillId="0" borderId="18" xfId="2" applyNumberFormat="1" applyFont="1" applyFill="1" applyBorder="1" applyAlignment="1">
      <alignment horizontal="center" vertical="center" wrapText="1"/>
    </xf>
    <xf numFmtId="4" fontId="36" fillId="0" borderId="18" xfId="2" applyNumberFormat="1" applyFont="1" applyFill="1" applyBorder="1" applyAlignment="1">
      <alignment horizontal="center" vertical="center" wrapText="1"/>
    </xf>
    <xf numFmtId="3" fontId="14" fillId="0" borderId="18" xfId="1" applyNumberFormat="1" applyFont="1" applyFill="1" applyBorder="1" applyAlignment="1">
      <alignment vertical="center" wrapText="1"/>
    </xf>
    <xf numFmtId="3" fontId="13" fillId="0" borderId="55" xfId="0" applyNumberFormat="1" applyFont="1" applyFill="1" applyBorder="1" applyAlignment="1">
      <alignment vertical="center" wrapText="1"/>
    </xf>
    <xf numFmtId="3" fontId="13" fillId="0" borderId="38" xfId="0" applyNumberFormat="1" applyFont="1" applyFill="1" applyBorder="1" applyAlignment="1">
      <alignment vertical="center" wrapText="1"/>
    </xf>
    <xf numFmtId="3" fontId="13" fillId="0" borderId="56" xfId="0" applyNumberFormat="1" applyFont="1" applyFill="1" applyBorder="1" applyAlignment="1">
      <alignment vertical="center" wrapText="1"/>
    </xf>
    <xf numFmtId="3" fontId="13" fillId="0" borderId="57" xfId="0" applyNumberFormat="1" applyFont="1" applyFill="1" applyBorder="1" applyAlignment="1">
      <alignment vertical="center" wrapText="1"/>
    </xf>
    <xf numFmtId="3" fontId="13" fillId="9" borderId="5" xfId="0" applyNumberFormat="1" applyFont="1" applyFill="1" applyBorder="1" applyAlignment="1">
      <alignment vertical="center" wrapText="1"/>
    </xf>
    <xf numFmtId="3" fontId="14" fillId="9" borderId="6" xfId="0" applyNumberFormat="1" applyFont="1" applyFill="1" applyBorder="1" applyAlignment="1">
      <alignment vertical="center" wrapText="1"/>
    </xf>
    <xf numFmtId="3" fontId="13" fillId="0" borderId="18" xfId="0" applyNumberFormat="1" applyFont="1" applyFill="1" applyBorder="1" applyAlignment="1">
      <alignment vertical="center" wrapText="1"/>
    </xf>
    <xf numFmtId="3" fontId="13" fillId="0" borderId="6" xfId="0" applyNumberFormat="1" applyFont="1" applyFill="1" applyBorder="1" applyAlignment="1">
      <alignment vertical="center" wrapText="1"/>
    </xf>
    <xf numFmtId="0" fontId="13" fillId="0" borderId="18" xfId="0"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1" fontId="13" fillId="3" borderId="29" xfId="0" applyNumberFormat="1" applyFont="1" applyFill="1" applyBorder="1" applyAlignment="1">
      <alignment horizontal="center" vertical="center" wrapText="1"/>
    </xf>
    <xf numFmtId="1" fontId="7" fillId="3" borderId="29" xfId="0" applyNumberFormat="1" applyFont="1" applyFill="1" applyBorder="1" applyAlignment="1">
      <alignment horizontal="center" vertical="center" wrapText="1"/>
    </xf>
    <xf numFmtId="1" fontId="9" fillId="3" borderId="0" xfId="0" applyNumberFormat="1" applyFont="1" applyFill="1" applyBorder="1" applyAlignment="1">
      <alignment horizontal="center" vertical="center"/>
    </xf>
    <xf numFmtId="1" fontId="7" fillId="3" borderId="7" xfId="0" applyNumberFormat="1" applyFont="1" applyFill="1" applyBorder="1" applyAlignment="1">
      <alignment horizontal="center" vertical="center"/>
    </xf>
    <xf numFmtId="1" fontId="7" fillId="3" borderId="0" xfId="0" applyNumberFormat="1" applyFont="1" applyFill="1" applyBorder="1" applyAlignment="1">
      <alignment horizontal="center" vertical="center"/>
    </xf>
    <xf numFmtId="1" fontId="7" fillId="3" borderId="5" xfId="0" applyNumberFormat="1" applyFont="1" applyFill="1" applyBorder="1" applyAlignment="1">
      <alignment horizontal="center" vertical="center"/>
    </xf>
    <xf numFmtId="1" fontId="7" fillId="10" borderId="0" xfId="0" applyNumberFormat="1" applyFont="1" applyFill="1" applyBorder="1" applyAlignment="1">
      <alignment horizontal="center" vertical="center" wrapText="1"/>
    </xf>
    <xf numFmtId="3" fontId="9" fillId="0" borderId="0" xfId="1" applyNumberFormat="1" applyFont="1" applyFill="1" applyBorder="1" applyAlignment="1">
      <alignment vertical="center" wrapText="1"/>
    </xf>
    <xf numFmtId="3" fontId="9" fillId="0" borderId="34" xfId="1" applyNumberFormat="1" applyFont="1" applyFill="1" applyBorder="1" applyAlignment="1">
      <alignment vertical="center" wrapText="1"/>
    </xf>
    <xf numFmtId="3" fontId="14" fillId="0" borderId="34" xfId="1" applyNumberFormat="1" applyFont="1" applyFill="1" applyBorder="1" applyAlignment="1">
      <alignment vertical="center" wrapText="1"/>
    </xf>
    <xf numFmtId="3" fontId="14" fillId="0" borderId="31" xfId="0" applyNumberFormat="1" applyFont="1" applyFill="1" applyBorder="1" applyAlignment="1">
      <alignment vertical="center"/>
    </xf>
    <xf numFmtId="3" fontId="9" fillId="0" borderId="15" xfId="1" applyNumberFormat="1" applyFont="1" applyFill="1" applyBorder="1" applyAlignment="1">
      <alignment vertical="center" wrapText="1"/>
    </xf>
    <xf numFmtId="3" fontId="14" fillId="0" borderId="31" xfId="3" applyNumberFormat="1" applyFont="1" applyBorder="1" applyAlignment="1">
      <alignment vertical="center"/>
    </xf>
    <xf numFmtId="3" fontId="14" fillId="0" borderId="34" xfId="0" applyNumberFormat="1" applyFont="1" applyBorder="1" applyAlignment="1">
      <alignment vertical="center" wrapText="1"/>
    </xf>
    <xf numFmtId="3" fontId="9" fillId="0" borderId="28" xfId="0" applyNumberFormat="1" applyFont="1" applyFill="1" applyBorder="1" applyAlignment="1">
      <alignment vertical="center" wrapText="1"/>
    </xf>
    <xf numFmtId="3" fontId="9" fillId="0" borderId="5" xfId="1" applyNumberFormat="1" applyFont="1" applyFill="1" applyBorder="1" applyAlignment="1">
      <alignment vertical="center" wrapText="1"/>
    </xf>
    <xf numFmtId="3" fontId="9" fillId="0" borderId="31" xfId="1" applyNumberFormat="1" applyFont="1" applyFill="1" applyBorder="1" applyAlignment="1">
      <alignment vertical="center"/>
    </xf>
    <xf numFmtId="3" fontId="14" fillId="0" borderId="31" xfId="1" applyNumberFormat="1" applyFont="1" applyFill="1" applyBorder="1" applyAlignment="1">
      <alignment vertical="center"/>
    </xf>
    <xf numFmtId="3" fontId="14" fillId="0" borderId="25" xfId="1" applyNumberFormat="1" applyFont="1" applyFill="1" applyBorder="1" applyAlignment="1">
      <alignment vertical="center"/>
    </xf>
    <xf numFmtId="3" fontId="13" fillId="0" borderId="32" xfId="3" applyNumberFormat="1" applyFont="1" applyBorder="1" applyAlignment="1">
      <alignment vertical="center"/>
    </xf>
    <xf numFmtId="3" fontId="9" fillId="0" borderId="37" xfId="0" applyNumberFormat="1" applyFont="1" applyFill="1" applyBorder="1" applyAlignment="1">
      <alignment vertical="center" wrapText="1"/>
    </xf>
    <xf numFmtId="3" fontId="13" fillId="0" borderId="31" xfId="3" applyNumberFormat="1" applyFont="1" applyBorder="1" applyAlignment="1">
      <alignment vertical="center"/>
    </xf>
    <xf numFmtId="3" fontId="13" fillId="0" borderId="31" xfId="0" applyNumberFormat="1" applyFont="1" applyBorder="1" applyAlignment="1">
      <alignment vertical="center" wrapText="1"/>
    </xf>
    <xf numFmtId="3" fontId="14" fillId="0" borderId="31" xfId="0" applyNumberFormat="1" applyFont="1" applyFill="1" applyBorder="1" applyAlignment="1">
      <alignment vertical="center" wrapText="1"/>
    </xf>
    <xf numFmtId="3" fontId="14" fillId="0" borderId="34" xfId="0" applyNumberFormat="1" applyFont="1" applyFill="1" applyBorder="1" applyAlignment="1">
      <alignment vertical="center" wrapText="1"/>
    </xf>
    <xf numFmtId="3" fontId="14" fillId="0" borderId="15" xfId="0" applyNumberFormat="1" applyFont="1" applyFill="1" applyBorder="1" applyAlignment="1">
      <alignment vertical="center" wrapText="1"/>
    </xf>
    <xf numFmtId="3" fontId="7" fillId="0" borderId="31" xfId="0" applyNumberFormat="1" applyFont="1" applyFill="1" applyBorder="1" applyAlignment="1">
      <alignment vertical="center"/>
    </xf>
    <xf numFmtId="3" fontId="13" fillId="0" borderId="31" xfId="0" applyNumberFormat="1" applyFont="1" applyFill="1" applyBorder="1" applyAlignment="1">
      <alignment vertical="center"/>
    </xf>
    <xf numFmtId="3" fontId="13" fillId="0" borderId="4" xfId="0" applyNumberFormat="1" applyFont="1" applyFill="1" applyBorder="1" applyAlignment="1">
      <alignment vertical="center"/>
    </xf>
    <xf numFmtId="3" fontId="13" fillId="0" borderId="12" xfId="0" applyNumberFormat="1" applyFont="1" applyFill="1" applyBorder="1" applyAlignment="1">
      <alignment vertical="center" wrapText="1"/>
    </xf>
    <xf numFmtId="3" fontId="13" fillId="0" borderId="32" xfId="3" applyNumberFormat="1" applyFont="1" applyFill="1" applyBorder="1" applyAlignment="1">
      <alignment vertical="center"/>
    </xf>
    <xf numFmtId="3" fontId="13" fillId="0" borderId="35" xfId="3" applyNumberFormat="1" applyFont="1" applyFill="1" applyBorder="1" applyAlignment="1">
      <alignment vertical="center"/>
    </xf>
    <xf numFmtId="3" fontId="13" fillId="0" borderId="29" xfId="3" applyNumberFormat="1" applyFont="1" applyFill="1" applyBorder="1" applyAlignment="1">
      <alignment vertical="center"/>
    </xf>
    <xf numFmtId="3" fontId="14" fillId="0" borderId="16" xfId="0" applyNumberFormat="1" applyFont="1" applyFill="1" applyBorder="1" applyAlignment="1">
      <alignment vertical="center" wrapText="1"/>
    </xf>
    <xf numFmtId="3" fontId="13" fillId="0" borderId="32" xfId="0" applyNumberFormat="1" applyFont="1" applyBorder="1" applyAlignment="1">
      <alignment vertical="center" wrapText="1"/>
    </xf>
    <xf numFmtId="3" fontId="13" fillId="0" borderId="2" xfId="0" applyNumberFormat="1" applyFont="1" applyFill="1" applyBorder="1" applyAlignment="1">
      <alignment vertical="center" wrapText="1"/>
    </xf>
    <xf numFmtId="3" fontId="7" fillId="0" borderId="9" xfId="0" applyNumberFormat="1" applyFont="1" applyFill="1" applyBorder="1" applyAlignment="1">
      <alignment vertical="center"/>
    </xf>
    <xf numFmtId="3" fontId="9" fillId="0" borderId="2" xfId="1" applyNumberFormat="1" applyFont="1" applyFill="1" applyBorder="1" applyAlignment="1">
      <alignment vertical="center"/>
    </xf>
    <xf numFmtId="0" fontId="14" fillId="0" borderId="18" xfId="0" applyFont="1" applyFill="1" applyBorder="1" applyAlignment="1">
      <alignment horizontal="center" vertical="center" wrapText="1"/>
    </xf>
    <xf numFmtId="3" fontId="9" fillId="0" borderId="22" xfId="0" applyNumberFormat="1" applyFont="1" applyFill="1" applyBorder="1" applyAlignment="1">
      <alignment vertical="center" wrapText="1"/>
    </xf>
    <xf numFmtId="4" fontId="13" fillId="0" borderId="40" xfId="0" applyNumberFormat="1" applyFont="1" applyFill="1" applyBorder="1" applyAlignment="1">
      <alignment horizontal="center" vertical="center" wrapText="1"/>
    </xf>
    <xf numFmtId="3" fontId="7" fillId="0" borderId="62" xfId="0" applyNumberFormat="1" applyFont="1" applyFill="1" applyBorder="1" applyAlignment="1">
      <alignment vertical="center" wrapText="1"/>
    </xf>
    <xf numFmtId="3" fontId="9" fillId="0" borderId="13" xfId="0" applyNumberFormat="1" applyFont="1" applyFill="1" applyBorder="1" applyAlignment="1">
      <alignment horizontal="right" vertical="center" wrapText="1"/>
    </xf>
    <xf numFmtId="0" fontId="13" fillId="0" borderId="27" xfId="0" applyFont="1" applyFill="1" applyBorder="1" applyAlignment="1">
      <alignment horizontal="center" vertical="center" wrapText="1"/>
    </xf>
    <xf numFmtId="4" fontId="13" fillId="0" borderId="20" xfId="0" applyNumberFormat="1" applyFont="1" applyFill="1" applyBorder="1" applyAlignment="1">
      <alignment horizontal="center" vertical="center" wrapText="1"/>
    </xf>
    <xf numFmtId="0" fontId="7" fillId="0" borderId="42" xfId="0" applyFont="1" applyFill="1" applyBorder="1" applyAlignment="1">
      <alignment horizontal="center" vertical="center" wrapText="1"/>
    </xf>
    <xf numFmtId="49" fontId="14" fillId="0" borderId="12" xfId="2" applyNumberFormat="1" applyFont="1" applyFill="1" applyBorder="1" applyAlignment="1">
      <alignment horizontal="left" vertical="center"/>
    </xf>
    <xf numFmtId="49" fontId="14" fillId="0" borderId="5" xfId="2" applyNumberFormat="1" applyFont="1" applyFill="1" applyBorder="1" applyAlignment="1">
      <alignment horizontal="left" vertical="center"/>
    </xf>
    <xf numFmtId="49" fontId="14" fillId="0" borderId="6" xfId="2" applyNumberFormat="1" applyFont="1" applyFill="1" applyBorder="1" applyAlignment="1">
      <alignment horizontal="left" vertical="center"/>
    </xf>
    <xf numFmtId="0" fontId="9" fillId="12" borderId="14" xfId="1" applyFont="1" applyFill="1" applyBorder="1" applyAlignment="1">
      <alignment vertical="center" wrapText="1"/>
    </xf>
    <xf numFmtId="49" fontId="13" fillId="0" borderId="27" xfId="0" applyNumberFormat="1" applyFont="1" applyFill="1" applyBorder="1" applyAlignment="1">
      <alignment horizontal="center" vertical="center" wrapText="1"/>
    </xf>
    <xf numFmtId="0" fontId="8" fillId="0" borderId="60" xfId="0" applyFont="1" applyFill="1" applyBorder="1" applyAlignment="1">
      <alignment horizontal="center" vertical="center" wrapText="1"/>
    </xf>
    <xf numFmtId="3" fontId="14" fillId="0" borderId="37" xfId="1" applyNumberFormat="1" applyFont="1" applyFill="1" applyBorder="1" applyAlignment="1">
      <alignment vertical="center" wrapText="1"/>
    </xf>
    <xf numFmtId="3" fontId="7" fillId="0" borderId="29" xfId="0" applyNumberFormat="1" applyFont="1" applyFill="1" applyBorder="1" applyAlignment="1">
      <alignment vertical="center"/>
    </xf>
    <xf numFmtId="49" fontId="7" fillId="0" borderId="22" xfId="1"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8" fillId="0" borderId="10" xfId="1" applyFont="1" applyFill="1" applyBorder="1" applyAlignment="1">
      <alignment horizontal="center" vertical="center" wrapText="1"/>
    </xf>
    <xf numFmtId="3" fontId="9" fillId="0" borderId="10" xfId="1" applyNumberFormat="1" applyFont="1" applyFill="1" applyBorder="1" applyAlignment="1">
      <alignment vertical="center" wrapText="1"/>
    </xf>
    <xf numFmtId="3" fontId="9" fillId="0" borderId="7" xfId="1" applyNumberFormat="1" applyFont="1" applyFill="1" applyBorder="1" applyAlignment="1">
      <alignment vertical="center" wrapText="1"/>
    </xf>
    <xf numFmtId="3" fontId="7" fillId="0" borderId="11"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11" xfId="0" applyFont="1" applyFill="1" applyBorder="1" applyAlignment="1">
      <alignment horizontal="center" vertical="center" wrapText="1"/>
    </xf>
    <xf numFmtId="3" fontId="9" fillId="0" borderId="29" xfId="0" applyNumberFormat="1" applyFont="1" applyFill="1" applyBorder="1" applyAlignment="1">
      <alignment vertical="center" wrapText="1"/>
    </xf>
    <xf numFmtId="0" fontId="8" fillId="0" borderId="3" xfId="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 fontId="14" fillId="0" borderId="12" xfId="2" applyNumberFormat="1" applyFont="1" applyFill="1" applyBorder="1" applyAlignment="1">
      <alignment horizontal="center" vertical="center" wrapText="1"/>
    </xf>
    <xf numFmtId="3" fontId="13" fillId="0" borderId="5" xfId="0" applyNumberFormat="1" applyFont="1" applyFill="1" applyBorder="1" applyAlignment="1">
      <alignment vertical="center" wrapText="1"/>
    </xf>
    <xf numFmtId="3" fontId="14" fillId="8" borderId="22" xfId="0" applyNumberFormat="1" applyFont="1" applyFill="1" applyBorder="1" applyAlignment="1">
      <alignment vertical="center" wrapText="1"/>
    </xf>
    <xf numFmtId="1" fontId="13" fillId="3" borderId="0"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0" fontId="13" fillId="0" borderId="22" xfId="0" applyFont="1" applyFill="1" applyBorder="1" applyAlignment="1">
      <alignment horizontal="center" vertical="center"/>
    </xf>
    <xf numFmtId="0" fontId="13" fillId="0" borderId="29" xfId="1" applyFont="1" applyFill="1" applyBorder="1" applyAlignment="1">
      <alignment horizontal="center" vertical="center"/>
    </xf>
    <xf numFmtId="3" fontId="14" fillId="0" borderId="22" xfId="1" applyNumberFormat="1" applyFont="1" applyFill="1" applyBorder="1" applyAlignment="1">
      <alignment vertical="center"/>
    </xf>
    <xf numFmtId="3" fontId="14" fillId="0" borderId="29" xfId="1" applyNumberFormat="1" applyFont="1" applyFill="1" applyBorder="1" applyAlignment="1">
      <alignment vertical="center"/>
    </xf>
    <xf numFmtId="3" fontId="14" fillId="0" borderId="0" xfId="1" applyNumberFormat="1" applyFont="1" applyFill="1" applyBorder="1" applyAlignment="1">
      <alignment vertical="center"/>
    </xf>
    <xf numFmtId="3" fontId="13" fillId="0" borderId="28" xfId="0" applyNumberFormat="1" applyFont="1" applyFill="1" applyBorder="1" applyAlignment="1">
      <alignment vertical="center"/>
    </xf>
    <xf numFmtId="3" fontId="13" fillId="0" borderId="0" xfId="0" applyNumberFormat="1" applyFont="1" applyFill="1" applyBorder="1" applyAlignment="1">
      <alignment vertical="center"/>
    </xf>
    <xf numFmtId="3" fontId="13" fillId="9" borderId="0" xfId="1" applyNumberFormat="1" applyFont="1" applyFill="1" applyBorder="1" applyAlignment="1">
      <alignment vertical="center"/>
    </xf>
    <xf numFmtId="3" fontId="9" fillId="8" borderId="22" xfId="0" applyNumberFormat="1" applyFont="1" applyFill="1" applyBorder="1" applyAlignment="1">
      <alignment vertical="center"/>
    </xf>
    <xf numFmtId="3" fontId="14" fillId="9" borderId="22" xfId="0" applyNumberFormat="1" applyFont="1" applyFill="1" applyBorder="1" applyAlignment="1">
      <alignment vertical="center"/>
    </xf>
    <xf numFmtId="3" fontId="13" fillId="0" borderId="22" xfId="0" applyNumberFormat="1" applyFont="1" applyFill="1" applyBorder="1" applyAlignment="1">
      <alignment vertical="center"/>
    </xf>
    <xf numFmtId="3" fontId="13" fillId="0" borderId="29" xfId="0" applyNumberFormat="1" applyFont="1" applyFill="1" applyBorder="1" applyAlignment="1">
      <alignment horizontal="right" vertical="center"/>
    </xf>
    <xf numFmtId="0" fontId="13" fillId="0" borderId="29" xfId="0" applyFont="1" applyFill="1" applyBorder="1" applyAlignment="1">
      <alignment horizontal="center" vertical="center"/>
    </xf>
    <xf numFmtId="0" fontId="13" fillId="0" borderId="28" xfId="0" applyFont="1" applyFill="1" applyBorder="1" applyAlignment="1">
      <alignment horizontal="center" vertical="center"/>
    </xf>
    <xf numFmtId="49" fontId="13" fillId="3" borderId="0" xfId="0" applyNumberFormat="1" applyFont="1" applyFill="1" applyBorder="1" applyAlignment="1">
      <alignment horizontal="center" vertical="center"/>
    </xf>
    <xf numFmtId="0" fontId="13" fillId="0" borderId="9" xfId="1" applyFont="1" applyFill="1" applyBorder="1" applyAlignment="1">
      <alignment horizontal="center" vertical="center"/>
    </xf>
    <xf numFmtId="0" fontId="13" fillId="0" borderId="32" xfId="1" applyFont="1" applyFill="1" applyBorder="1" applyAlignment="1">
      <alignment horizontal="center" vertical="center"/>
    </xf>
    <xf numFmtId="0" fontId="13" fillId="0" borderId="22" xfId="1" applyFont="1" applyFill="1" applyBorder="1" applyAlignment="1">
      <alignment horizontal="center" vertical="center"/>
    </xf>
    <xf numFmtId="0" fontId="13" fillId="0" borderId="14" xfId="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7" fillId="3" borderId="18" xfId="0" applyNumberFormat="1" applyFont="1" applyFill="1" applyBorder="1" applyAlignment="1">
      <alignment horizontal="center" vertical="center" wrapText="1"/>
    </xf>
    <xf numFmtId="3" fontId="12" fillId="0" borderId="24" xfId="1" applyNumberFormat="1" applyFont="1" applyFill="1" applyBorder="1" applyAlignment="1">
      <alignment vertical="center" wrapText="1"/>
    </xf>
    <xf numFmtId="0" fontId="18" fillId="12" borderId="11"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53"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7" fillId="11" borderId="38" xfId="0" applyFont="1" applyFill="1" applyBorder="1" applyAlignment="1">
      <alignment horizontal="center" vertical="center" wrapText="1"/>
    </xf>
    <xf numFmtId="0" fontId="7" fillId="0" borderId="36" xfId="0" applyFont="1" applyFill="1" applyBorder="1" applyAlignment="1">
      <alignment horizontal="center" vertical="center"/>
    </xf>
    <xf numFmtId="0" fontId="13" fillId="0" borderId="36" xfId="0" applyFont="1" applyFill="1" applyBorder="1" applyAlignment="1">
      <alignment horizontal="center" vertical="center"/>
    </xf>
    <xf numFmtId="0" fontId="7" fillId="11" borderId="36"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18" fillId="12" borderId="3" xfId="0" applyFont="1" applyFill="1" applyBorder="1" applyAlignment="1">
      <alignment vertical="center" wrapText="1"/>
    </xf>
    <xf numFmtId="0" fontId="16" fillId="0" borderId="26"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0" fillId="0" borderId="0" xfId="0" applyFont="1"/>
    <xf numFmtId="166" fontId="9" fillId="12" borderId="6" xfId="1" applyNumberFormat="1" applyFont="1" applyFill="1" applyBorder="1" applyAlignment="1">
      <alignment vertical="center" wrapText="1"/>
    </xf>
    <xf numFmtId="1" fontId="7" fillId="8" borderId="0" xfId="0" applyNumberFormat="1" applyFont="1" applyFill="1" applyBorder="1" applyAlignment="1">
      <alignment horizontal="center" vertical="center" wrapText="1"/>
    </xf>
    <xf numFmtId="0" fontId="15" fillId="0" borderId="32" xfId="0" applyFont="1" applyBorder="1" applyAlignment="1">
      <alignment horizontal="center" vertical="center" wrapText="1"/>
    </xf>
    <xf numFmtId="0" fontId="14" fillId="0" borderId="20"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16" xfId="0" applyFont="1" applyFill="1" applyBorder="1" applyAlignment="1">
      <alignment horizontal="center" vertical="center"/>
    </xf>
    <xf numFmtId="1" fontId="14" fillId="4" borderId="5" xfId="0" applyNumberFormat="1" applyFont="1" applyFill="1" applyBorder="1" applyAlignment="1">
      <alignment horizontal="center" vertical="center" wrapText="1"/>
    </xf>
    <xf numFmtId="3" fontId="9" fillId="0" borderId="28" xfId="0" applyNumberFormat="1" applyFont="1" applyBorder="1" applyAlignment="1">
      <alignment vertical="center" wrapText="1"/>
    </xf>
    <xf numFmtId="0" fontId="7" fillId="0" borderId="73" xfId="0" applyFont="1" applyBorder="1" applyAlignment="1">
      <alignment horizontal="center" vertical="center" wrapText="1"/>
    </xf>
    <xf numFmtId="49" fontId="7" fillId="3" borderId="35" xfId="0" applyNumberFormat="1"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26" xfId="0" applyFont="1" applyFill="1" applyBorder="1" applyAlignment="1">
      <alignment horizontal="center" vertical="center" wrapText="1"/>
    </xf>
    <xf numFmtId="49" fontId="7" fillId="3" borderId="45" xfId="0" applyNumberFormat="1" applyFont="1" applyFill="1" applyBorder="1" applyAlignment="1">
      <alignment horizontal="center" vertical="center" wrapText="1"/>
    </xf>
    <xf numFmtId="3" fontId="14" fillId="9" borderId="26" xfId="0" applyNumberFormat="1" applyFont="1" applyFill="1" applyBorder="1" applyAlignment="1">
      <alignment vertical="center" wrapText="1"/>
    </xf>
    <xf numFmtId="3" fontId="13" fillId="17" borderId="32" xfId="0" applyNumberFormat="1" applyFont="1" applyFill="1" applyBorder="1" applyAlignment="1">
      <alignment vertical="center"/>
    </xf>
    <xf numFmtId="0" fontId="13" fillId="17" borderId="26" xfId="0" applyFont="1" applyFill="1" applyBorder="1" applyAlignment="1">
      <alignment horizontal="center" vertical="center" wrapText="1"/>
    </xf>
    <xf numFmtId="3" fontId="14" fillId="17" borderId="31" xfId="0" applyNumberFormat="1" applyFont="1" applyFill="1" applyBorder="1" applyAlignment="1">
      <alignment vertical="center" wrapText="1"/>
    </xf>
    <xf numFmtId="0" fontId="7" fillId="5" borderId="32" xfId="0" applyFont="1" applyFill="1" applyBorder="1" applyAlignment="1">
      <alignment horizontal="center" vertical="center" wrapText="1"/>
    </xf>
    <xf numFmtId="0" fontId="15" fillId="0" borderId="24" xfId="0" applyFont="1" applyBorder="1" applyAlignment="1">
      <alignment horizontal="center" vertical="center" wrapText="1"/>
    </xf>
    <xf numFmtId="0" fontId="7" fillId="11" borderId="23" xfId="0" applyFont="1" applyFill="1" applyBorder="1" applyAlignment="1">
      <alignment horizontal="center" vertical="center" wrapText="1"/>
    </xf>
    <xf numFmtId="49" fontId="13" fillId="0" borderId="34" xfId="0" applyNumberFormat="1" applyFont="1" applyFill="1" applyBorder="1" applyAlignment="1">
      <alignment horizontal="center" vertical="center" wrapText="1"/>
    </xf>
    <xf numFmtId="3" fontId="13" fillId="0" borderId="37" xfId="0" applyNumberFormat="1" applyFont="1" applyFill="1" applyBorder="1" applyAlignment="1">
      <alignment horizontal="right" vertical="center" wrapText="1"/>
    </xf>
    <xf numFmtId="49" fontId="14" fillId="0" borderId="35" xfId="0" applyNumberFormat="1" applyFont="1" applyFill="1" applyBorder="1" applyAlignment="1">
      <alignment horizontal="center" vertical="center"/>
    </xf>
    <xf numFmtId="0" fontId="13" fillId="0" borderId="33" xfId="0"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45"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3" xfId="1" applyFont="1" applyFill="1" applyBorder="1" applyAlignment="1">
      <alignment horizontal="center" vertical="center"/>
    </xf>
    <xf numFmtId="3" fontId="14" fillId="0" borderId="13" xfId="1" applyNumberFormat="1" applyFont="1" applyFill="1" applyBorder="1" applyAlignment="1">
      <alignment vertical="center"/>
    </xf>
    <xf numFmtId="3" fontId="13" fillId="0" borderId="54" xfId="0" applyNumberFormat="1" applyFont="1" applyFill="1" applyBorder="1" applyAlignment="1">
      <alignment vertical="center"/>
    </xf>
    <xf numFmtId="3" fontId="13" fillId="0" borderId="13" xfId="0" applyNumberFormat="1" applyFont="1" applyFill="1" applyBorder="1" applyAlignment="1">
      <alignment vertical="center"/>
    </xf>
    <xf numFmtId="3" fontId="13" fillId="0" borderId="45" xfId="0" applyNumberFormat="1" applyFont="1" applyFill="1" applyBorder="1" applyAlignment="1">
      <alignment vertical="center"/>
    </xf>
    <xf numFmtId="49" fontId="13" fillId="0" borderId="13"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0" fontId="13" fillId="0" borderId="37" xfId="1" applyFont="1" applyFill="1" applyBorder="1" applyAlignment="1">
      <alignment horizontal="center" vertical="center"/>
    </xf>
    <xf numFmtId="3" fontId="13" fillId="0" borderId="37" xfId="0" applyNumberFormat="1" applyFont="1" applyFill="1" applyBorder="1" applyAlignment="1">
      <alignment horizontal="right" vertical="center"/>
    </xf>
    <xf numFmtId="0" fontId="30" fillId="0" borderId="26" xfId="0" applyFont="1" applyFill="1" applyBorder="1" applyAlignment="1">
      <alignment horizontal="center" vertical="center" wrapText="1"/>
    </xf>
    <xf numFmtId="0" fontId="15" fillId="0" borderId="23" xfId="0" applyFont="1" applyFill="1" applyBorder="1" applyAlignment="1">
      <alignment horizontal="center" vertical="center"/>
    </xf>
    <xf numFmtId="3" fontId="29" fillId="0" borderId="26" xfId="1" applyNumberFormat="1" applyFont="1" applyFill="1" applyBorder="1" applyAlignment="1">
      <alignment vertical="center"/>
    </xf>
    <xf numFmtId="0" fontId="39" fillId="0" borderId="0" xfId="0" applyFont="1"/>
    <xf numFmtId="0" fontId="15" fillId="0" borderId="24" xfId="0" applyFont="1" applyFill="1" applyBorder="1" applyAlignment="1">
      <alignment horizontal="center" vertical="center"/>
    </xf>
    <xf numFmtId="3" fontId="29" fillId="15" borderId="31" xfId="0" applyNumberFormat="1" applyFont="1" applyFill="1" applyBorder="1" applyAlignment="1">
      <alignment vertical="center" wrapText="1"/>
    </xf>
    <xf numFmtId="0" fontId="15" fillId="15" borderId="32" xfId="0" applyFont="1" applyFill="1" applyBorder="1" applyAlignment="1">
      <alignment horizontal="center" vertical="center" wrapText="1"/>
    </xf>
    <xf numFmtId="3" fontId="17" fillId="0" borderId="26" xfId="1" applyNumberFormat="1" applyFont="1" applyFill="1" applyBorder="1" applyAlignment="1">
      <alignment vertical="center" wrapText="1"/>
    </xf>
    <xf numFmtId="0" fontId="18" fillId="0" borderId="0" xfId="0" applyFont="1" applyAlignment="1">
      <alignment horizontal="center" vertical="center"/>
    </xf>
    <xf numFmtId="0" fontId="7" fillId="3" borderId="22" xfId="0" applyNumberFormat="1" applyFont="1" applyFill="1" applyBorder="1" applyAlignment="1">
      <alignment horizontal="center" vertical="center" wrapText="1"/>
    </xf>
    <xf numFmtId="0" fontId="7" fillId="15" borderId="35" xfId="0" applyFont="1" applyFill="1" applyBorder="1" applyAlignment="1">
      <alignment horizontal="center" vertical="center" wrapText="1"/>
    </xf>
    <xf numFmtId="3" fontId="13" fillId="15" borderId="32" xfId="0" applyNumberFormat="1" applyFont="1" applyFill="1" applyBorder="1" applyAlignment="1">
      <alignment horizontal="right" vertical="center" wrapText="1"/>
    </xf>
    <xf numFmtId="3" fontId="12" fillId="0" borderId="31" xfId="1" applyNumberFormat="1" applyFont="1" applyFill="1" applyBorder="1" applyAlignment="1">
      <alignment vertical="center" wrapText="1"/>
    </xf>
    <xf numFmtId="0" fontId="27" fillId="0" borderId="25" xfId="1" applyFont="1" applyFill="1" applyBorder="1" applyAlignment="1">
      <alignment horizontal="center" vertical="center" wrapText="1"/>
    </xf>
    <xf numFmtId="3" fontId="9" fillId="11" borderId="27" xfId="1" applyNumberFormat="1" applyFont="1" applyFill="1" applyBorder="1" applyAlignment="1">
      <alignment vertical="center" wrapText="1"/>
    </xf>
    <xf numFmtId="3" fontId="9" fillId="11" borderId="26" xfId="1" applyNumberFormat="1" applyFont="1" applyFill="1" applyBorder="1" applyAlignment="1">
      <alignment vertical="center" wrapText="1"/>
    </xf>
    <xf numFmtId="3" fontId="9" fillId="11" borderId="31" xfId="1" applyNumberFormat="1" applyFont="1" applyFill="1" applyBorder="1" applyAlignment="1">
      <alignment vertical="center" wrapText="1"/>
    </xf>
    <xf numFmtId="3" fontId="9" fillId="11" borderId="37" xfId="1" applyNumberFormat="1" applyFont="1" applyFill="1" applyBorder="1" applyAlignment="1">
      <alignment vertical="center" wrapText="1"/>
    </xf>
    <xf numFmtId="1" fontId="7" fillId="0" borderId="37"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3" fontId="29" fillId="0" borderId="13" xfId="1" applyNumberFormat="1" applyFont="1" applyFill="1" applyBorder="1" applyAlignment="1">
      <alignment vertical="center" wrapText="1"/>
    </xf>
    <xf numFmtId="0" fontId="15" fillId="0" borderId="26" xfId="0" applyFont="1" applyFill="1" applyBorder="1" applyAlignment="1">
      <alignment horizontal="center" vertical="center" wrapText="1"/>
    </xf>
    <xf numFmtId="3" fontId="29" fillId="0" borderId="26" xfId="1" applyNumberFormat="1" applyFont="1" applyFill="1" applyBorder="1" applyAlignment="1">
      <alignment vertical="center" wrapText="1"/>
    </xf>
    <xf numFmtId="0" fontId="15" fillId="0" borderId="36"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22" xfId="0" applyFont="1" applyBorder="1"/>
    <xf numFmtId="3" fontId="29" fillId="0" borderId="31" xfId="1" applyNumberFormat="1" applyFont="1" applyFill="1" applyBorder="1" applyAlignment="1">
      <alignment vertical="center" wrapText="1"/>
    </xf>
    <xf numFmtId="0" fontId="40" fillId="0" borderId="0" xfId="0" applyFont="1"/>
    <xf numFmtId="1" fontId="29" fillId="4"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54" xfId="0" applyFont="1" applyFill="1" applyBorder="1" applyAlignment="1">
      <alignment horizontal="center" vertical="center" wrapText="1"/>
    </xf>
    <xf numFmtId="0" fontId="15" fillId="0" borderId="45" xfId="0" applyFont="1" applyFill="1" applyBorder="1" applyAlignment="1">
      <alignment horizontal="center" vertical="center" wrapText="1"/>
    </xf>
    <xf numFmtId="3" fontId="29" fillId="0" borderId="34" xfId="1" applyNumberFormat="1" applyFont="1" applyFill="1" applyBorder="1" applyAlignment="1">
      <alignment vertical="center" wrapText="1"/>
    </xf>
    <xf numFmtId="0" fontId="38" fillId="0" borderId="0" xfId="0" applyFont="1" applyFill="1"/>
    <xf numFmtId="49" fontId="14" fillId="15" borderId="33" xfId="0" applyNumberFormat="1" applyFont="1" applyFill="1" applyBorder="1" applyAlignment="1">
      <alignment horizontal="center" vertical="center" wrapText="1"/>
    </xf>
    <xf numFmtId="49" fontId="14" fillId="15" borderId="26" xfId="0" applyNumberFormat="1" applyFont="1" applyFill="1" applyBorder="1" applyAlignment="1">
      <alignment horizontal="center" vertical="center" wrapText="1" shrinkToFit="1"/>
    </xf>
    <xf numFmtId="0" fontId="13" fillId="15" borderId="26" xfId="0" applyFont="1" applyFill="1" applyBorder="1" applyAlignment="1">
      <alignment horizontal="center" vertical="center" wrapText="1"/>
    </xf>
    <xf numFmtId="0" fontId="13" fillId="15" borderId="26" xfId="1" applyFont="1" applyFill="1" applyBorder="1" applyAlignment="1">
      <alignment horizontal="center" vertical="center" wrapText="1"/>
    </xf>
    <xf numFmtId="0" fontId="13" fillId="15" borderId="32" xfId="1" applyFont="1" applyFill="1" applyBorder="1" applyAlignment="1">
      <alignment horizontal="center" vertical="center" wrapText="1"/>
    </xf>
    <xf numFmtId="0" fontId="27" fillId="15" borderId="31" xfId="1" applyFont="1" applyFill="1" applyBorder="1" applyAlignment="1">
      <alignment horizontal="center" vertical="center" wrapText="1"/>
    </xf>
    <xf numFmtId="3" fontId="14" fillId="15" borderId="33" xfId="1" applyNumberFormat="1" applyFont="1" applyFill="1" applyBorder="1" applyAlignment="1">
      <alignment vertical="center" wrapText="1"/>
    </xf>
    <xf numFmtId="3" fontId="14" fillId="15" borderId="34" xfId="1" applyNumberFormat="1" applyFont="1" applyFill="1" applyBorder="1" applyAlignment="1">
      <alignment vertical="center" wrapText="1"/>
    </xf>
    <xf numFmtId="3" fontId="13" fillId="15" borderId="47" xfId="0" applyNumberFormat="1" applyFont="1" applyFill="1" applyBorder="1" applyAlignment="1">
      <alignment vertical="center" wrapText="1"/>
    </xf>
    <xf numFmtId="3" fontId="13" fillId="15" borderId="36" xfId="0" applyNumberFormat="1" applyFont="1" applyFill="1" applyBorder="1" applyAlignment="1">
      <alignment vertical="center" wrapText="1"/>
    </xf>
    <xf numFmtId="3" fontId="13" fillId="15" borderId="20" xfId="0" applyNumberFormat="1" applyFont="1" applyFill="1" applyBorder="1" applyAlignment="1">
      <alignment vertical="center" wrapText="1"/>
    </xf>
    <xf numFmtId="3" fontId="13" fillId="15" borderId="41" xfId="0" applyNumberFormat="1" applyFont="1" applyFill="1" applyBorder="1" applyAlignment="1">
      <alignment vertical="center" wrapText="1"/>
    </xf>
    <xf numFmtId="3" fontId="13" fillId="15" borderId="37" xfId="0" applyNumberFormat="1" applyFont="1" applyFill="1" applyBorder="1" applyAlignment="1">
      <alignment vertical="center" wrapText="1"/>
    </xf>
    <xf numFmtId="3" fontId="14" fillId="15" borderId="32" xfId="0" applyNumberFormat="1" applyFont="1" applyFill="1" applyBorder="1" applyAlignment="1">
      <alignment vertical="center" wrapText="1"/>
    </xf>
    <xf numFmtId="3" fontId="14" fillId="15" borderId="34" xfId="0" applyNumberFormat="1" applyFont="1" applyFill="1" applyBorder="1" applyAlignment="1">
      <alignment vertical="center" wrapText="1"/>
    </xf>
    <xf numFmtId="3" fontId="14" fillId="15" borderId="33" xfId="0" applyNumberFormat="1" applyFont="1" applyFill="1" applyBorder="1" applyAlignment="1">
      <alignment vertical="center" wrapText="1"/>
    </xf>
    <xf numFmtId="3" fontId="13" fillId="15" borderId="35" xfId="0" applyNumberFormat="1" applyFont="1" applyFill="1" applyBorder="1" applyAlignment="1">
      <alignment vertical="center" wrapText="1"/>
    </xf>
    <xf numFmtId="3" fontId="13" fillId="15" borderId="33" xfId="0" applyNumberFormat="1" applyFont="1" applyFill="1" applyBorder="1" applyAlignment="1">
      <alignment vertical="center" wrapText="1"/>
    </xf>
    <xf numFmtId="3" fontId="13" fillId="15" borderId="35" xfId="0" applyNumberFormat="1" applyFont="1" applyFill="1" applyBorder="1" applyAlignment="1">
      <alignment horizontal="right" vertical="center" wrapText="1"/>
    </xf>
    <xf numFmtId="166" fontId="13" fillId="0" borderId="28"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0" fontId="41" fillId="0" borderId="0" xfId="0" applyFont="1"/>
    <xf numFmtId="0" fontId="27" fillId="0" borderId="37" xfId="0" applyFont="1" applyFill="1" applyBorder="1" applyAlignment="1">
      <alignment horizontal="center" vertical="center" wrapText="1"/>
    </xf>
    <xf numFmtId="3" fontId="13" fillId="0" borderId="47" xfId="1" applyNumberFormat="1" applyFont="1" applyFill="1" applyBorder="1" applyAlignment="1">
      <alignment vertical="center" wrapText="1"/>
    </xf>
    <xf numFmtId="3" fontId="13" fillId="0" borderId="42" xfId="0" applyNumberFormat="1" applyFont="1" applyFill="1" applyBorder="1" applyAlignment="1">
      <alignment vertical="center"/>
    </xf>
    <xf numFmtId="3" fontId="13" fillId="9" borderId="26" xfId="0" applyNumberFormat="1" applyFont="1" applyFill="1" applyBorder="1" applyAlignment="1">
      <alignment vertical="center"/>
    </xf>
    <xf numFmtId="3" fontId="13" fillId="0" borderId="51" xfId="0" applyNumberFormat="1" applyFont="1" applyFill="1" applyBorder="1" applyAlignment="1">
      <alignment vertical="center" wrapText="1"/>
    </xf>
    <xf numFmtId="0" fontId="7" fillId="11" borderId="1"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shrinkToFit="1"/>
    </xf>
    <xf numFmtId="0" fontId="13" fillId="0" borderId="3" xfId="0" applyFont="1" applyFill="1" applyBorder="1" applyAlignment="1">
      <alignment horizontal="center" vertical="center" wrapText="1"/>
    </xf>
    <xf numFmtId="0" fontId="27" fillId="0" borderId="11" xfId="0" applyFont="1" applyFill="1" applyBorder="1" applyAlignment="1">
      <alignment horizontal="center" vertical="center"/>
    </xf>
    <xf numFmtId="3" fontId="14" fillId="0" borderId="3" xfId="1" applyNumberFormat="1" applyFont="1" applyFill="1" applyBorder="1" applyAlignment="1">
      <alignment vertical="center" wrapText="1"/>
    </xf>
    <xf numFmtId="3" fontId="9" fillId="11" borderId="2" xfId="1" applyNumberFormat="1" applyFont="1" applyFill="1" applyBorder="1" applyAlignment="1">
      <alignment vertical="center" wrapText="1"/>
    </xf>
    <xf numFmtId="3" fontId="14" fillId="0" borderId="7" xfId="1" applyNumberFormat="1" applyFont="1" applyFill="1" applyBorder="1" applyAlignment="1">
      <alignment vertical="center" wrapText="1"/>
    </xf>
    <xf numFmtId="3" fontId="13" fillId="0" borderId="68" xfId="0" applyNumberFormat="1" applyFont="1" applyFill="1" applyBorder="1" applyAlignment="1">
      <alignment vertical="center" wrapText="1"/>
    </xf>
    <xf numFmtId="3" fontId="13" fillId="0" borderId="74" xfId="0" applyNumberFormat="1" applyFont="1" applyFill="1" applyBorder="1" applyAlignment="1">
      <alignment vertical="center" wrapText="1"/>
    </xf>
    <xf numFmtId="3" fontId="13" fillId="0" borderId="61" xfId="0" applyNumberFormat="1" applyFont="1" applyFill="1" applyBorder="1" applyAlignment="1">
      <alignment vertical="center" wrapText="1"/>
    </xf>
    <xf numFmtId="3" fontId="13" fillId="0" borderId="69" xfId="0" applyNumberFormat="1" applyFont="1" applyFill="1" applyBorder="1" applyAlignment="1">
      <alignment vertical="center"/>
    </xf>
    <xf numFmtId="3" fontId="13" fillId="9" borderId="7" xfId="0" applyNumberFormat="1" applyFont="1" applyFill="1" applyBorder="1" applyAlignment="1">
      <alignment vertical="center"/>
    </xf>
    <xf numFmtId="3" fontId="14" fillId="8" borderId="3" xfId="0" applyNumberFormat="1" applyFont="1" applyFill="1" applyBorder="1" applyAlignment="1">
      <alignment vertical="center" wrapText="1"/>
    </xf>
    <xf numFmtId="3" fontId="14" fillId="9" borderId="29" xfId="0" applyNumberFormat="1" applyFont="1" applyFill="1" applyBorder="1" applyAlignment="1">
      <alignment vertical="center" wrapText="1"/>
    </xf>
    <xf numFmtId="49" fontId="13" fillId="3" borderId="22" xfId="0" applyNumberFormat="1" applyFont="1" applyFill="1" applyBorder="1" applyAlignment="1">
      <alignment horizontal="center" vertical="center" wrapText="1"/>
    </xf>
    <xf numFmtId="49" fontId="13" fillId="0" borderId="28" xfId="0" applyNumberFormat="1" applyFont="1" applyFill="1" applyBorder="1" applyAlignment="1">
      <alignment horizontal="center" vertical="center" wrapText="1"/>
    </xf>
    <xf numFmtId="0" fontId="38" fillId="0" borderId="0" xfId="0" applyFont="1"/>
    <xf numFmtId="3" fontId="13" fillId="0" borderId="42" xfId="0" applyNumberFormat="1" applyFont="1" applyFill="1" applyBorder="1" applyAlignment="1">
      <alignment vertical="center" wrapText="1"/>
    </xf>
    <xf numFmtId="3" fontId="9" fillId="15" borderId="31" xfId="1" applyNumberFormat="1" applyFont="1" applyFill="1" applyBorder="1" applyAlignment="1">
      <alignment vertical="center" wrapText="1"/>
    </xf>
    <xf numFmtId="3" fontId="12" fillId="0" borderId="25" xfId="1" applyNumberFormat="1" applyFont="1" applyFill="1" applyBorder="1" applyAlignment="1">
      <alignment vertical="center" wrapText="1"/>
    </xf>
    <xf numFmtId="49" fontId="13" fillId="15" borderId="31" xfId="0" applyNumberFormat="1" applyFont="1" applyFill="1" applyBorder="1" applyAlignment="1">
      <alignment horizontal="center" vertical="center" wrapText="1"/>
    </xf>
    <xf numFmtId="49" fontId="13" fillId="15" borderId="26" xfId="0" applyNumberFormat="1" applyFont="1" applyFill="1" applyBorder="1" applyAlignment="1">
      <alignment horizontal="center" vertical="center" wrapText="1"/>
    </xf>
    <xf numFmtId="3" fontId="9" fillId="0" borderId="0" xfId="1" applyNumberFormat="1" applyFont="1" applyFill="1" applyBorder="1" applyAlignment="1">
      <alignment vertical="center"/>
    </xf>
    <xf numFmtId="3" fontId="7" fillId="0" borderId="50" xfId="0" applyNumberFormat="1" applyFont="1" applyFill="1" applyBorder="1" applyAlignment="1">
      <alignment vertical="center" wrapText="1"/>
    </xf>
    <xf numFmtId="3" fontId="7" fillId="0" borderId="77" xfId="0" applyNumberFormat="1" applyFont="1" applyFill="1" applyBorder="1" applyAlignment="1">
      <alignment vertical="center" wrapText="1"/>
    </xf>
    <xf numFmtId="3" fontId="14" fillId="0" borderId="31" xfId="3" applyNumberFormat="1" applyFont="1" applyFill="1" applyBorder="1" applyAlignment="1">
      <alignment vertical="center"/>
    </xf>
    <xf numFmtId="3" fontId="14" fillId="0" borderId="15" xfId="1" applyNumberFormat="1" applyFont="1" applyFill="1" applyBorder="1" applyAlignment="1">
      <alignment vertical="center"/>
    </xf>
    <xf numFmtId="0" fontId="13" fillId="18" borderId="26"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0" borderId="0" xfId="0" applyFont="1" applyFill="1" applyAlignment="1">
      <alignment horizontal="center" vertical="center" wrapText="1"/>
    </xf>
    <xf numFmtId="0" fontId="13" fillId="0" borderId="28" xfId="0" applyFont="1" applyBorder="1" applyAlignment="1">
      <alignment horizontal="center" vertical="center" wrapText="1"/>
    </xf>
    <xf numFmtId="1" fontId="13" fillId="0" borderId="0" xfId="0" applyNumberFormat="1" applyFont="1" applyBorder="1" applyAlignment="1">
      <alignment horizontal="center" vertical="center" wrapText="1"/>
    </xf>
    <xf numFmtId="3" fontId="14" fillId="0" borderId="31" xfId="1" applyNumberFormat="1" applyFont="1" applyBorder="1" applyAlignment="1">
      <alignment vertical="center" wrapText="1"/>
    </xf>
    <xf numFmtId="166" fontId="13" fillId="0" borderId="30" xfId="0" applyNumberFormat="1" applyFont="1" applyFill="1" applyBorder="1" applyAlignment="1">
      <alignment horizontal="right" vertical="center"/>
    </xf>
    <xf numFmtId="3" fontId="13" fillId="0" borderId="1" xfId="0" applyNumberFormat="1" applyFont="1" applyFill="1" applyBorder="1" applyAlignment="1">
      <alignment horizontal="center" vertical="center"/>
    </xf>
    <xf numFmtId="3" fontId="13" fillId="0" borderId="1" xfId="0" applyNumberFormat="1" applyFont="1" applyFill="1" applyBorder="1" applyAlignment="1">
      <alignment horizontal="right" vertical="center"/>
    </xf>
    <xf numFmtId="168" fontId="13" fillId="0" borderId="16" xfId="0" applyNumberFormat="1" applyFont="1" applyFill="1" applyBorder="1" applyAlignment="1">
      <alignment horizontal="right" vertical="center"/>
    </xf>
    <xf numFmtId="0" fontId="13" fillId="0" borderId="1" xfId="0" applyFont="1" applyFill="1" applyBorder="1" applyAlignment="1">
      <alignment horizontal="center" vertical="center"/>
    </xf>
    <xf numFmtId="0" fontId="13" fillId="0" borderId="12" xfId="0" applyFont="1" applyFill="1" applyBorder="1" applyAlignment="1">
      <alignment horizontal="center" vertical="center" wrapText="1"/>
    </xf>
    <xf numFmtId="1" fontId="13" fillId="8" borderId="5" xfId="0" applyNumberFormat="1" applyFont="1" applyFill="1" applyBorder="1" applyAlignment="1">
      <alignment horizontal="center" vertical="center" wrapText="1"/>
    </xf>
    <xf numFmtId="1" fontId="13" fillId="0" borderId="5" xfId="0" applyNumberFormat="1" applyFont="1" applyFill="1" applyBorder="1" applyAlignment="1">
      <alignment horizontal="center" vertical="center" wrapText="1"/>
    </xf>
    <xf numFmtId="1" fontId="13" fillId="3" borderId="5" xfId="0" applyNumberFormat="1"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8" xfId="0" applyFont="1" applyFill="1" applyBorder="1" applyAlignment="1">
      <alignment horizontal="center" vertical="center" wrapText="1"/>
    </xf>
    <xf numFmtId="3" fontId="14" fillId="0" borderId="8" xfId="1" applyNumberFormat="1" applyFont="1" applyFill="1" applyBorder="1" applyAlignment="1">
      <alignment vertical="center" wrapText="1"/>
    </xf>
    <xf numFmtId="3" fontId="14" fillId="0" borderId="9" xfId="1" applyNumberFormat="1" applyFont="1" applyFill="1" applyBorder="1" applyAlignment="1">
      <alignment vertical="center" wrapText="1"/>
    </xf>
    <xf numFmtId="0" fontId="15" fillId="17" borderId="32" xfId="0" applyFont="1" applyFill="1" applyBorder="1" applyAlignment="1">
      <alignment horizontal="center" vertical="center" wrapText="1"/>
    </xf>
    <xf numFmtId="1" fontId="13" fillId="8" borderId="22" xfId="0" applyNumberFormat="1" applyFont="1" applyFill="1" applyBorder="1" applyAlignment="1">
      <alignment horizontal="center" vertical="center" wrapText="1"/>
    </xf>
    <xf numFmtId="0" fontId="13" fillId="17" borderId="32" xfId="0" applyFont="1" applyFill="1" applyBorder="1" applyAlignment="1">
      <alignment horizontal="center" vertical="center" wrapText="1"/>
    </xf>
    <xf numFmtId="3" fontId="29" fillId="0" borderId="31" xfId="0" applyNumberFormat="1" applyFont="1" applyBorder="1" applyAlignment="1">
      <alignment vertical="center" wrapText="1"/>
    </xf>
    <xf numFmtId="0" fontId="14" fillId="0" borderId="2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24" xfId="0" applyFont="1" applyBorder="1" applyAlignment="1">
      <alignment horizontal="center" vertical="center" wrapText="1"/>
    </xf>
    <xf numFmtId="3" fontId="14" fillId="0" borderId="33" xfId="0" applyNumberFormat="1" applyFont="1" applyFill="1" applyBorder="1" applyAlignment="1">
      <alignment vertical="center" wrapText="1"/>
    </xf>
    <xf numFmtId="4" fontId="13" fillId="19" borderId="36"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5" fillId="19" borderId="37" xfId="0" applyFont="1" applyFill="1" applyBorder="1" applyAlignment="1">
      <alignment horizontal="center" vertical="center" wrapText="1"/>
    </xf>
    <xf numFmtId="0" fontId="15" fillId="0" borderId="22" xfId="0" applyFont="1" applyFill="1" applyBorder="1"/>
    <xf numFmtId="3" fontId="29" fillId="0" borderId="31" xfId="1" applyNumberFormat="1" applyFont="1" applyFill="1" applyBorder="1" applyAlignment="1">
      <alignment horizontal="right" vertical="center" wrapText="1"/>
    </xf>
    <xf numFmtId="0" fontId="15" fillId="0" borderId="36" xfId="0" applyFont="1" applyFill="1" applyBorder="1" applyAlignment="1">
      <alignment horizontal="center" vertical="center"/>
    </xf>
    <xf numFmtId="3" fontId="29" fillId="0" borderId="31" xfId="1" applyNumberFormat="1" applyFont="1" applyFill="1" applyBorder="1" applyAlignment="1">
      <alignment vertical="center"/>
    </xf>
    <xf numFmtId="0" fontId="14" fillId="3" borderId="0" xfId="0" applyFont="1" applyFill="1" applyBorder="1" applyAlignment="1">
      <alignment horizontal="center" vertical="center"/>
    </xf>
    <xf numFmtId="1" fontId="13" fillId="8"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xf>
    <xf numFmtId="1" fontId="14" fillId="8" borderId="0" xfId="0" applyNumberFormat="1" applyFont="1" applyFill="1" applyBorder="1" applyAlignment="1">
      <alignment horizontal="center" vertical="center"/>
    </xf>
    <xf numFmtId="0" fontId="13" fillId="6" borderId="32" xfId="0" applyFont="1" applyFill="1" applyBorder="1" applyAlignment="1">
      <alignment horizontal="center" vertical="center"/>
    </xf>
    <xf numFmtId="0" fontId="24" fillId="15" borderId="22" xfId="0" applyFont="1" applyFill="1" applyBorder="1"/>
    <xf numFmtId="49" fontId="13" fillId="3" borderId="13"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13" fillId="0" borderId="35" xfId="0" applyFont="1" applyFill="1" applyBorder="1" applyAlignment="1">
      <alignment horizontal="center" vertical="center"/>
    </xf>
    <xf numFmtId="3" fontId="32" fillId="0" borderId="31" xfId="1" applyNumberFormat="1" applyFont="1" applyFill="1" applyBorder="1" applyAlignment="1">
      <alignment vertical="center"/>
    </xf>
    <xf numFmtId="0" fontId="7" fillId="0" borderId="27"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59" xfId="0" applyFont="1" applyFill="1" applyBorder="1" applyAlignment="1">
      <alignment horizontal="center" vertical="center"/>
    </xf>
    <xf numFmtId="0" fontId="18" fillId="0" borderId="29" xfId="0" applyFont="1" applyFill="1" applyBorder="1"/>
    <xf numFmtId="0" fontId="18" fillId="0" borderId="28" xfId="0" applyFont="1" applyBorder="1"/>
    <xf numFmtId="0" fontId="24" fillId="0" borderId="28" xfId="0" applyFont="1" applyFill="1" applyBorder="1"/>
    <xf numFmtId="3" fontId="9" fillId="11" borderId="0" xfId="1" applyNumberFormat="1" applyFont="1" applyFill="1" applyBorder="1" applyAlignment="1">
      <alignment vertical="center" wrapText="1"/>
    </xf>
    <xf numFmtId="3" fontId="9" fillId="11" borderId="28" xfId="0" applyNumberFormat="1" applyFont="1" applyFill="1" applyBorder="1" applyAlignment="1">
      <alignment vertical="center" wrapText="1"/>
    </xf>
    <xf numFmtId="0" fontId="0" fillId="0" borderId="1" xfId="0" applyBorder="1"/>
    <xf numFmtId="0" fontId="9" fillId="13" borderId="0" xfId="0" applyFont="1" applyFill="1" applyBorder="1" applyAlignment="1">
      <alignment horizontal="center" vertical="center" wrapText="1"/>
    </xf>
    <xf numFmtId="0" fontId="14" fillId="13" borderId="0" xfId="0" applyFont="1" applyFill="1" applyBorder="1" applyAlignment="1">
      <alignment horizontal="center" vertical="center" wrapText="1"/>
    </xf>
    <xf numFmtId="3" fontId="9" fillId="0" borderId="26" xfId="0" applyNumberFormat="1" applyFont="1" applyFill="1" applyBorder="1" applyAlignment="1">
      <alignment horizontal="right" vertical="center"/>
    </xf>
    <xf numFmtId="3" fontId="9" fillId="0" borderId="23" xfId="0" applyNumberFormat="1" applyFont="1" applyFill="1" applyBorder="1" applyAlignment="1">
      <alignment horizontal="right" vertical="center"/>
    </xf>
    <xf numFmtId="3" fontId="7" fillId="0" borderId="23"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0" fontId="7"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shrinkToFit="1"/>
    </xf>
    <xf numFmtId="3" fontId="13" fillId="0" borderId="73" xfId="0" applyNumberFormat="1" applyFont="1" applyFill="1" applyBorder="1" applyAlignment="1">
      <alignment vertical="center" wrapText="1"/>
    </xf>
    <xf numFmtId="3" fontId="13" fillId="0" borderId="15" xfId="0" applyNumberFormat="1" applyFont="1" applyFill="1" applyBorder="1" applyAlignment="1">
      <alignment vertical="center" wrapText="1"/>
    </xf>
    <xf numFmtId="3" fontId="13" fillId="0" borderId="45" xfId="0" applyNumberFormat="1" applyFont="1" applyFill="1" applyBorder="1" applyAlignment="1">
      <alignment horizontal="right" vertical="center" wrapText="1"/>
    </xf>
    <xf numFmtId="0" fontId="13" fillId="0" borderId="13" xfId="0" applyNumberFormat="1" applyFont="1" applyFill="1" applyBorder="1" applyAlignment="1">
      <alignment horizontal="center" vertical="center" wrapText="1"/>
    </xf>
    <xf numFmtId="3" fontId="7" fillId="8" borderId="26" xfId="0" applyNumberFormat="1" applyFont="1" applyFill="1" applyBorder="1" applyAlignment="1">
      <alignment vertical="center" wrapText="1"/>
    </xf>
    <xf numFmtId="3" fontId="14" fillId="8" borderId="31" xfId="0" applyNumberFormat="1" applyFont="1" applyFill="1" applyBorder="1" applyAlignment="1">
      <alignment vertical="center" wrapText="1"/>
    </xf>
    <xf numFmtId="3" fontId="14" fillId="8" borderId="31" xfId="1" applyNumberFormat="1" applyFont="1" applyFill="1" applyBorder="1" applyAlignment="1">
      <alignment vertical="center" wrapText="1"/>
    </xf>
    <xf numFmtId="3" fontId="14" fillId="8" borderId="31" xfId="3" applyNumberFormat="1" applyFont="1" applyFill="1" applyBorder="1" applyAlignment="1">
      <alignment vertical="center"/>
    </xf>
    <xf numFmtId="3" fontId="14" fillId="8" borderId="31" xfId="1" applyNumberFormat="1" applyFont="1" applyFill="1" applyBorder="1" applyAlignment="1">
      <alignment vertical="center"/>
    </xf>
    <xf numFmtId="3" fontId="14" fillId="8" borderId="15" xfId="1" applyNumberFormat="1" applyFont="1" applyFill="1" applyBorder="1" applyAlignment="1">
      <alignment vertical="center"/>
    </xf>
    <xf numFmtId="3" fontId="14" fillId="8" borderId="26" xfId="1" applyNumberFormat="1" applyFont="1" applyFill="1" applyBorder="1" applyAlignment="1">
      <alignment vertical="center"/>
    </xf>
    <xf numFmtId="0" fontId="0" fillId="0" borderId="0" xfId="0" applyFill="1"/>
    <xf numFmtId="0" fontId="11" fillId="0" borderId="26" xfId="1" applyFont="1" applyFill="1" applyBorder="1" applyAlignment="1">
      <alignment horizontal="center" vertical="center" wrapText="1"/>
    </xf>
    <xf numFmtId="168" fontId="11" fillId="0" borderId="29" xfId="0" applyNumberFormat="1" applyFont="1" applyFill="1" applyBorder="1" applyAlignment="1">
      <alignment horizontal="right" vertical="center"/>
    </xf>
    <xf numFmtId="3" fontId="9" fillId="8" borderId="31" xfId="1" applyNumberFormat="1" applyFont="1" applyFill="1" applyBorder="1" applyAlignment="1">
      <alignment horizontal="right" vertical="center" wrapText="1"/>
    </xf>
    <xf numFmtId="3" fontId="14" fillId="8" borderId="34" xfId="1" applyNumberFormat="1" applyFont="1" applyFill="1" applyBorder="1" applyAlignment="1">
      <alignment vertical="center" wrapText="1"/>
    </xf>
    <xf numFmtId="3" fontId="14" fillId="8" borderId="37" xfId="1" applyNumberFormat="1" applyFont="1" applyFill="1" applyBorder="1" applyAlignment="1">
      <alignment vertical="center" wrapText="1"/>
    </xf>
    <xf numFmtId="3" fontId="14" fillId="8" borderId="40" xfId="1" applyNumberFormat="1" applyFont="1" applyFill="1" applyBorder="1" applyAlignment="1">
      <alignment vertical="center" wrapText="1"/>
    </xf>
    <xf numFmtId="3" fontId="14" fillId="8" borderId="31" xfId="0" applyNumberFormat="1" applyFont="1" applyFill="1" applyBorder="1" applyAlignment="1">
      <alignment vertical="center"/>
    </xf>
    <xf numFmtId="3" fontId="14" fillId="8" borderId="30" xfId="1" applyNumberFormat="1" applyFont="1" applyFill="1" applyBorder="1" applyAlignment="1">
      <alignment vertical="center" wrapText="1"/>
    </xf>
    <xf numFmtId="4" fontId="9" fillId="21" borderId="14"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5" xfId="0" applyFont="1" applyBorder="1" applyAlignment="1">
      <alignment horizontal="center" vertical="center"/>
    </xf>
    <xf numFmtId="0" fontId="7" fillId="5" borderId="29" xfId="0" applyFont="1" applyFill="1" applyBorder="1" applyAlignment="1">
      <alignment horizontal="center" vertical="center" wrapText="1"/>
    </xf>
    <xf numFmtId="168" fontId="7" fillId="0" borderId="5" xfId="0" applyNumberFormat="1" applyFont="1" applyFill="1" applyBorder="1" applyAlignment="1">
      <alignment horizontal="right" vertical="center"/>
    </xf>
    <xf numFmtId="168" fontId="7" fillId="0" borderId="0" xfId="0" applyNumberFormat="1" applyFont="1" applyFill="1" applyBorder="1" applyAlignment="1">
      <alignment horizontal="right" vertical="center"/>
    </xf>
    <xf numFmtId="168" fontId="7" fillId="0" borderId="1" xfId="0" applyNumberFormat="1" applyFont="1" applyFill="1" applyBorder="1" applyAlignment="1">
      <alignment horizontal="right" vertical="center"/>
    </xf>
    <xf numFmtId="168" fontId="13" fillId="0" borderId="0" xfId="0" applyNumberFormat="1" applyFont="1" applyFill="1" applyBorder="1" applyAlignment="1">
      <alignment horizontal="right" vertical="center"/>
    </xf>
    <xf numFmtId="168" fontId="13" fillId="0" borderId="1" xfId="0" applyNumberFormat="1" applyFont="1" applyFill="1" applyBorder="1" applyAlignment="1">
      <alignment horizontal="right" vertical="center"/>
    </xf>
    <xf numFmtId="168" fontId="11" fillId="0" borderId="0" xfId="0" applyNumberFormat="1" applyFont="1" applyFill="1" applyBorder="1" applyAlignment="1">
      <alignment horizontal="right" vertical="center"/>
    </xf>
    <xf numFmtId="0" fontId="7" fillId="0" borderId="27" xfId="0" applyFont="1" applyFill="1" applyBorder="1" applyAlignment="1">
      <alignment horizontal="center" wrapText="1"/>
    </xf>
    <xf numFmtId="0" fontId="7" fillId="0" borderId="31" xfId="0" applyFont="1" applyFill="1" applyBorder="1" applyAlignment="1">
      <alignment horizontal="center" vertical="center"/>
    </xf>
    <xf numFmtId="168" fontId="7" fillId="0" borderId="31" xfId="0"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2" fillId="0" borderId="29" xfId="0" applyFont="1" applyFill="1" applyBorder="1" applyAlignment="1">
      <alignment horizontal="center" vertical="center" wrapText="1"/>
    </xf>
    <xf numFmtId="4" fontId="7" fillId="0" borderId="28" xfId="0" applyNumberFormat="1" applyFont="1" applyFill="1" applyBorder="1" applyAlignment="1">
      <alignment horizontal="center" vertical="center" wrapText="1"/>
    </xf>
    <xf numFmtId="0" fontId="9" fillId="0" borderId="29"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6" xfId="0" applyFont="1" applyFill="1" applyBorder="1" applyAlignment="1">
      <alignment horizontal="center" vertical="center"/>
    </xf>
    <xf numFmtId="3" fontId="9" fillId="0" borderId="30" xfId="1"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9" fillId="5" borderId="29" xfId="0" applyFont="1" applyFill="1" applyBorder="1" applyAlignment="1">
      <alignment vertical="center" wrapText="1"/>
    </xf>
    <xf numFmtId="1" fontId="7" fillId="5" borderId="71" xfId="0" applyNumberFormat="1" applyFont="1" applyFill="1" applyBorder="1" applyAlignment="1">
      <alignment horizontal="center" vertical="center" wrapText="1"/>
    </xf>
    <xf numFmtId="1" fontId="7" fillId="5" borderId="52" xfId="0" applyNumberFormat="1" applyFont="1" applyFill="1" applyBorder="1" applyAlignment="1">
      <alignment horizontal="center" vertical="center" wrapText="1"/>
    </xf>
    <xf numFmtId="3" fontId="7" fillId="8" borderId="33" xfId="0" applyNumberFormat="1" applyFont="1" applyFill="1" applyBorder="1" applyAlignment="1">
      <alignment vertical="center" wrapText="1"/>
    </xf>
    <xf numFmtId="3" fontId="7" fillId="8" borderId="26" xfId="0" applyNumberFormat="1" applyFont="1" applyFill="1" applyBorder="1" applyAlignment="1">
      <alignment vertical="center"/>
    </xf>
    <xf numFmtId="3" fontId="7" fillId="8" borderId="8" xfId="0" applyNumberFormat="1" applyFont="1" applyFill="1" applyBorder="1" applyAlignment="1">
      <alignment vertical="center" wrapText="1"/>
    </xf>
    <xf numFmtId="3" fontId="7" fillId="8" borderId="9" xfId="0" applyNumberFormat="1" applyFont="1" applyFill="1" applyBorder="1" applyAlignment="1">
      <alignment vertical="center" wrapText="1"/>
    </xf>
    <xf numFmtId="3" fontId="9" fillId="8" borderId="20" xfId="0" applyNumberFormat="1" applyFont="1" applyFill="1" applyBorder="1" applyAlignment="1">
      <alignment vertical="center" wrapText="1"/>
    </xf>
    <xf numFmtId="3" fontId="7" fillId="8" borderId="26" xfId="3" applyNumberFormat="1" applyFont="1" applyFill="1" applyBorder="1" applyAlignment="1">
      <alignment vertical="center"/>
    </xf>
    <xf numFmtId="3" fontId="7" fillId="8" borderId="31" xfId="0" applyNumberFormat="1" applyFont="1" applyFill="1" applyBorder="1" applyAlignment="1">
      <alignment vertical="center" wrapText="1"/>
    </xf>
    <xf numFmtId="3" fontId="7" fillId="8" borderId="27" xfId="0" applyNumberFormat="1" applyFont="1" applyFill="1" applyBorder="1" applyAlignment="1">
      <alignment vertical="center" wrapText="1"/>
    </xf>
    <xf numFmtId="168" fontId="7" fillId="0" borderId="77" xfId="0" applyNumberFormat="1" applyFont="1" applyBorder="1" applyAlignment="1">
      <alignment horizontal="center" vertical="center" wrapText="1"/>
    </xf>
    <xf numFmtId="0" fontId="7" fillId="0" borderId="27" xfId="0" applyFont="1" applyFill="1" applyBorder="1" applyAlignment="1">
      <alignment vertical="center"/>
    </xf>
    <xf numFmtId="168" fontId="15" fillId="0" borderId="0" xfId="0" applyNumberFormat="1" applyFont="1" applyFill="1" applyBorder="1" applyAlignment="1">
      <alignment horizontal="right" vertical="center"/>
    </xf>
    <xf numFmtId="168" fontId="7" fillId="0" borderId="0" xfId="0" applyNumberFormat="1" applyFont="1" applyBorder="1" applyAlignment="1">
      <alignment horizontal="right" vertical="center"/>
    </xf>
    <xf numFmtId="0" fontId="7" fillId="5" borderId="5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7" fillId="0" borderId="29" xfId="0" applyFont="1" applyFill="1" applyBorder="1"/>
    <xf numFmtId="0" fontId="9" fillId="0" borderId="28"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29" fillId="0" borderId="29" xfId="0" applyFont="1" applyFill="1" applyBorder="1" applyAlignment="1">
      <alignment horizontal="center" vertical="center" wrapText="1"/>
    </xf>
    <xf numFmtId="4" fontId="13" fillId="0" borderId="28" xfId="0" applyNumberFormat="1" applyFont="1" applyFill="1" applyBorder="1" applyAlignment="1">
      <alignment horizontal="center" vertical="center" wrapText="1"/>
    </xf>
    <xf numFmtId="4" fontId="15" fillId="0" borderId="28" xfId="0" applyNumberFormat="1" applyFont="1" applyFill="1" applyBorder="1" applyAlignment="1">
      <alignment horizontal="center" vertical="center" wrapText="1"/>
    </xf>
    <xf numFmtId="0" fontId="7" fillId="0" borderId="16" xfId="0" applyFont="1" applyFill="1" applyBorder="1"/>
    <xf numFmtId="0" fontId="13" fillId="0" borderId="30" xfId="0" applyFont="1" applyFill="1" applyBorder="1" applyAlignment="1">
      <alignment horizontal="center" vertical="center"/>
    </xf>
    <xf numFmtId="1" fontId="13" fillId="0"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xf>
    <xf numFmtId="1" fontId="14" fillId="8" borderId="1" xfId="0" applyNumberFormat="1" applyFont="1" applyFill="1" applyBorder="1" applyAlignment="1">
      <alignment horizontal="center" vertical="center"/>
    </xf>
    <xf numFmtId="0" fontId="13" fillId="0" borderId="54" xfId="0" applyFont="1" applyFill="1" applyBorder="1" applyAlignment="1">
      <alignment horizontal="center" vertical="center"/>
    </xf>
    <xf numFmtId="0" fontId="41" fillId="0" borderId="14" xfId="0" applyFont="1" applyBorder="1"/>
    <xf numFmtId="0" fontId="7" fillId="12" borderId="12" xfId="1" applyFont="1" applyFill="1" applyBorder="1" applyAlignment="1">
      <alignment horizontal="center" vertical="center" wrapText="1"/>
    </xf>
    <xf numFmtId="0" fontId="10" fillId="12" borderId="6" xfId="1" applyFont="1" applyFill="1" applyBorder="1" applyAlignment="1">
      <alignment horizontal="center" vertical="center" wrapText="1"/>
    </xf>
    <xf numFmtId="0" fontId="10" fillId="12"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6" xfId="1" applyFont="1" applyFill="1" applyBorder="1" applyAlignment="1">
      <alignment horizontal="center" vertical="center" wrapText="1"/>
    </xf>
    <xf numFmtId="3" fontId="9" fillId="15" borderId="26" xfId="1" applyNumberFormat="1" applyFont="1" applyFill="1" applyBorder="1" applyAlignment="1">
      <alignment vertical="center" wrapText="1"/>
    </xf>
    <xf numFmtId="3" fontId="9" fillId="15" borderId="25" xfId="1" applyNumberFormat="1" applyFont="1" applyFill="1" applyBorder="1" applyAlignment="1">
      <alignment vertical="center" wrapText="1"/>
    </xf>
    <xf numFmtId="3" fontId="14" fillId="15" borderId="31" xfId="1" applyNumberFormat="1" applyFont="1" applyFill="1" applyBorder="1" applyAlignment="1">
      <alignment vertical="center" wrapText="1"/>
    </xf>
    <xf numFmtId="3" fontId="14" fillId="15" borderId="31" xfId="0" applyNumberFormat="1" applyFont="1" applyFill="1" applyBorder="1" applyAlignment="1">
      <alignment vertical="center"/>
    </xf>
    <xf numFmtId="3" fontId="14" fillId="15" borderId="30" xfId="1" applyNumberFormat="1" applyFont="1" applyFill="1" applyBorder="1" applyAlignment="1">
      <alignment vertical="center" wrapText="1"/>
    </xf>
    <xf numFmtId="3" fontId="14" fillId="15" borderId="31" xfId="0" applyNumberFormat="1" applyFont="1" applyFill="1" applyBorder="1" applyAlignment="1">
      <alignment vertical="center" wrapText="1"/>
    </xf>
    <xf numFmtId="3" fontId="14" fillId="15" borderId="31" xfId="3" applyNumberFormat="1" applyFont="1" applyFill="1" applyBorder="1" applyAlignment="1">
      <alignment vertical="center"/>
    </xf>
    <xf numFmtId="3" fontId="14" fillId="15" borderId="37" xfId="1" applyNumberFormat="1" applyFont="1" applyFill="1" applyBorder="1" applyAlignment="1">
      <alignment vertical="center" wrapText="1"/>
    </xf>
    <xf numFmtId="3" fontId="14" fillId="15" borderId="40" xfId="1" applyNumberFormat="1" applyFont="1" applyFill="1" applyBorder="1" applyAlignment="1">
      <alignment vertical="center" wrapText="1"/>
    </xf>
    <xf numFmtId="3" fontId="14" fillId="15" borderId="31" xfId="1" applyNumberFormat="1" applyFont="1" applyFill="1" applyBorder="1" applyAlignment="1">
      <alignment vertical="center"/>
    </xf>
    <xf numFmtId="3" fontId="14" fillId="15" borderId="15" xfId="1" applyNumberFormat="1" applyFont="1" applyFill="1" applyBorder="1" applyAlignment="1">
      <alignment vertical="center"/>
    </xf>
    <xf numFmtId="3" fontId="14" fillId="15" borderId="26" xfId="1" applyNumberFormat="1" applyFont="1" applyFill="1" applyBorder="1" applyAlignment="1">
      <alignment vertical="center"/>
    </xf>
    <xf numFmtId="3" fontId="13" fillId="0" borderId="49" xfId="0" applyNumberFormat="1" applyFont="1" applyFill="1" applyBorder="1" applyAlignment="1">
      <alignment vertical="center"/>
    </xf>
    <xf numFmtId="3" fontId="13" fillId="0" borderId="70" xfId="0" applyNumberFormat="1" applyFont="1" applyFill="1" applyBorder="1" applyAlignment="1">
      <alignment vertical="center" wrapText="1"/>
    </xf>
    <xf numFmtId="3" fontId="13" fillId="0" borderId="43" xfId="0" applyNumberFormat="1" applyFont="1" applyFill="1" applyBorder="1" applyAlignment="1">
      <alignment vertical="center"/>
    </xf>
    <xf numFmtId="3" fontId="13" fillId="0" borderId="71" xfId="0" applyNumberFormat="1" applyFont="1" applyFill="1" applyBorder="1" applyAlignment="1">
      <alignment vertical="center" wrapText="1"/>
    </xf>
    <xf numFmtId="3" fontId="0" fillId="0" borderId="0" xfId="0" applyNumberFormat="1"/>
    <xf numFmtId="0" fontId="18" fillId="12" borderId="11" xfId="0" applyFont="1" applyFill="1" applyBorder="1" applyAlignment="1">
      <alignment vertical="center" wrapText="1"/>
    </xf>
    <xf numFmtId="0" fontId="11"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49" fontId="16" fillId="3" borderId="26" xfId="0" applyNumberFormat="1" applyFont="1" applyFill="1" applyBorder="1" applyAlignment="1">
      <alignment horizontal="center" vertical="center" wrapText="1"/>
    </xf>
    <xf numFmtId="166" fontId="16" fillId="0" borderId="28" xfId="0" applyNumberFormat="1" applyFont="1" applyFill="1" applyBorder="1" applyAlignment="1">
      <alignment horizontal="right" vertical="center"/>
    </xf>
    <xf numFmtId="3" fontId="16" fillId="0" borderId="0"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168" fontId="16" fillId="0" borderId="29" xfId="0" applyNumberFormat="1" applyFont="1" applyFill="1" applyBorder="1" applyAlignment="1">
      <alignment horizontal="right" vertical="center"/>
    </xf>
    <xf numFmtId="0" fontId="16" fillId="0" borderId="28" xfId="0"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3" fontId="12" fillId="0" borderId="2" xfId="1" applyNumberFormat="1" applyFont="1" applyFill="1" applyBorder="1" applyAlignment="1">
      <alignment vertical="center" wrapText="1"/>
    </xf>
    <xf numFmtId="3" fontId="12" fillId="0" borderId="32" xfId="1" applyNumberFormat="1" applyFont="1" applyFill="1" applyBorder="1" applyAlignment="1">
      <alignment vertical="center" wrapText="1"/>
    </xf>
    <xf numFmtId="3" fontId="9" fillId="11" borderId="23" xfId="1" applyNumberFormat="1" applyFont="1" applyFill="1" applyBorder="1" applyAlignment="1">
      <alignment vertical="center" wrapText="1"/>
    </xf>
    <xf numFmtId="0" fontId="7" fillId="11" borderId="22" xfId="0" applyFont="1" applyFill="1" applyBorder="1" applyAlignment="1">
      <alignment horizontal="center" vertical="center" wrapText="1"/>
    </xf>
    <xf numFmtId="3" fontId="9" fillId="11" borderId="22" xfId="1" applyNumberFormat="1" applyFont="1" applyFill="1" applyBorder="1" applyAlignment="1">
      <alignment vertical="center" wrapText="1"/>
    </xf>
    <xf numFmtId="1" fontId="16" fillId="8" borderId="0" xfId="0" applyNumberFormat="1" applyFont="1" applyFill="1" applyBorder="1" applyAlignment="1">
      <alignment horizontal="center" vertical="center" wrapText="1"/>
    </xf>
    <xf numFmtId="0" fontId="8" fillId="0" borderId="25" xfId="0" applyFont="1" applyFill="1" applyBorder="1" applyAlignment="1">
      <alignment horizontal="center" vertical="center" wrapText="1"/>
    </xf>
    <xf numFmtId="0" fontId="7" fillId="0" borderId="35" xfId="1" applyFont="1" applyFill="1" applyBorder="1" applyAlignment="1">
      <alignment horizontal="center" vertical="center" wrapText="1"/>
    </xf>
    <xf numFmtId="0" fontId="8" fillId="0" borderId="31" xfId="0" applyFont="1" applyFill="1" applyBorder="1" applyAlignment="1">
      <alignment horizontal="center" vertical="center" wrapText="1"/>
    </xf>
    <xf numFmtId="0" fontId="27" fillId="0" borderId="31" xfId="0" applyFont="1" applyFill="1" applyBorder="1" applyAlignment="1">
      <alignment horizontal="center" vertical="center"/>
    </xf>
    <xf numFmtId="0" fontId="27" fillId="0" borderId="19" xfId="0" applyFont="1" applyFill="1" applyBorder="1" applyAlignment="1">
      <alignment horizontal="center" vertical="center"/>
    </xf>
    <xf numFmtId="3" fontId="14" fillId="0" borderId="15" xfId="1" applyNumberFormat="1" applyFont="1" applyFill="1" applyBorder="1" applyAlignment="1">
      <alignment vertical="center" wrapText="1"/>
    </xf>
    <xf numFmtId="3" fontId="13" fillId="0" borderId="62" xfId="0" applyNumberFormat="1" applyFont="1" applyFill="1" applyBorder="1" applyAlignment="1">
      <alignment vertical="center" wrapText="1"/>
    </xf>
    <xf numFmtId="3" fontId="13" fillId="9" borderId="13" xfId="0" applyNumberFormat="1" applyFont="1" applyFill="1" applyBorder="1" applyAlignment="1">
      <alignment vertical="center" wrapText="1"/>
    </xf>
    <xf numFmtId="0" fontId="13" fillId="0" borderId="45"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7" fillId="11" borderId="31" xfId="0" applyFont="1" applyFill="1" applyBorder="1" applyAlignment="1">
      <alignment horizontal="center" vertical="center" wrapText="1"/>
    </xf>
    <xf numFmtId="3" fontId="9" fillId="11" borderId="37" xfId="0" applyNumberFormat="1" applyFont="1" applyFill="1" applyBorder="1" applyAlignment="1">
      <alignment vertical="center" wrapText="1"/>
    </xf>
    <xf numFmtId="49" fontId="13" fillId="3" borderId="33"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3" fontId="14" fillId="0" borderId="34" xfId="0" applyNumberFormat="1" applyFont="1" applyFill="1" applyBorder="1" applyAlignment="1">
      <alignment vertical="center"/>
    </xf>
    <xf numFmtId="3" fontId="14" fillId="15" borderId="34" xfId="0" applyNumberFormat="1" applyFont="1" applyFill="1" applyBorder="1" applyAlignment="1">
      <alignment vertical="center"/>
    </xf>
    <xf numFmtId="3" fontId="14" fillId="0" borderId="33" xfId="0" applyNumberFormat="1" applyFont="1" applyFill="1" applyBorder="1" applyAlignment="1">
      <alignment vertical="center"/>
    </xf>
    <xf numFmtId="3" fontId="7" fillId="0" borderId="14" xfId="0" applyNumberFormat="1" applyFont="1" applyFill="1" applyBorder="1" applyAlignment="1">
      <alignment horizontal="center" vertical="center" wrapText="1"/>
    </xf>
    <xf numFmtId="3" fontId="29" fillId="0" borderId="26" xfId="1" applyNumberFormat="1" applyFont="1" applyBorder="1" applyAlignment="1">
      <alignment vertical="center" wrapText="1"/>
    </xf>
    <xf numFmtId="3" fontId="29" fillId="8" borderId="26" xfId="0" applyNumberFormat="1" applyFont="1" applyFill="1" applyBorder="1" applyAlignment="1">
      <alignment vertical="center" wrapText="1"/>
    </xf>
    <xf numFmtId="3" fontId="29" fillId="0" borderId="13" xfId="1" applyNumberFormat="1" applyFont="1" applyBorder="1" applyAlignment="1">
      <alignment vertical="center" wrapText="1"/>
    </xf>
    <xf numFmtId="49" fontId="29" fillId="0" borderId="33"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wrapText="1" shrinkToFit="1"/>
    </xf>
    <xf numFmtId="0" fontId="15" fillId="0" borderId="33" xfId="1" applyFont="1" applyFill="1" applyBorder="1" applyAlignment="1">
      <alignment horizontal="center" vertical="center" wrapText="1"/>
    </xf>
    <xf numFmtId="0" fontId="15" fillId="0" borderId="35" xfId="1" applyFont="1" applyFill="1" applyBorder="1" applyAlignment="1">
      <alignment horizontal="center" vertical="center" wrapText="1"/>
    </xf>
    <xf numFmtId="0" fontId="46" fillId="0" borderId="34" xfId="1" applyFont="1" applyFill="1" applyBorder="1" applyAlignment="1">
      <alignment horizontal="center" vertical="center" wrapText="1"/>
    </xf>
    <xf numFmtId="3" fontId="29" fillId="0" borderId="33" xfId="1" applyNumberFormat="1" applyFont="1" applyFill="1" applyBorder="1" applyAlignment="1">
      <alignment vertical="center" wrapText="1"/>
    </xf>
    <xf numFmtId="3" fontId="15" fillId="0" borderId="36" xfId="0" applyNumberFormat="1" applyFont="1" applyFill="1" applyBorder="1" applyAlignment="1">
      <alignment vertical="center" wrapText="1"/>
    </xf>
    <xf numFmtId="3" fontId="15" fillId="0" borderId="41" xfId="0" applyNumberFormat="1" applyFont="1" applyFill="1" applyBorder="1" applyAlignment="1">
      <alignment vertical="center" wrapText="1"/>
    </xf>
    <xf numFmtId="3" fontId="15" fillId="9" borderId="37" xfId="0" applyNumberFormat="1" applyFont="1" applyFill="1" applyBorder="1" applyAlignment="1">
      <alignment vertical="center" wrapText="1"/>
    </xf>
    <xf numFmtId="3" fontId="29" fillId="9" borderId="32" xfId="0" applyNumberFormat="1" applyFont="1" applyFill="1" applyBorder="1" applyAlignment="1">
      <alignment vertical="center" wrapText="1"/>
    </xf>
    <xf numFmtId="3" fontId="29" fillId="0" borderId="34" xfId="0" applyNumberFormat="1" applyFont="1" applyFill="1" applyBorder="1" applyAlignment="1">
      <alignment vertical="center" wrapText="1"/>
    </xf>
    <xf numFmtId="3" fontId="29" fillId="0" borderId="33" xfId="0" applyNumberFormat="1" applyFont="1" applyFill="1" applyBorder="1" applyAlignment="1">
      <alignment vertical="center" wrapText="1"/>
    </xf>
    <xf numFmtId="3" fontId="15" fillId="0" borderId="33" xfId="0" applyNumberFormat="1" applyFont="1" applyFill="1" applyBorder="1" applyAlignment="1">
      <alignment vertical="center" wrapText="1"/>
    </xf>
    <xf numFmtId="3" fontId="15" fillId="0" borderId="49" xfId="0" applyNumberFormat="1" applyFont="1" applyFill="1" applyBorder="1" applyAlignment="1">
      <alignment vertical="center" wrapText="1"/>
    </xf>
    <xf numFmtId="3" fontId="15" fillId="0" borderId="35" xfId="0" applyNumberFormat="1" applyFont="1" applyFill="1" applyBorder="1" applyAlignment="1">
      <alignment vertical="center" wrapText="1"/>
    </xf>
    <xf numFmtId="3" fontId="15" fillId="0" borderId="32" xfId="0" applyNumberFormat="1" applyFont="1" applyFill="1" applyBorder="1" applyAlignment="1">
      <alignment horizontal="right" vertical="center" wrapText="1"/>
    </xf>
    <xf numFmtId="3" fontId="15" fillId="0" borderId="33" xfId="0" applyNumberFormat="1" applyFont="1" applyFill="1" applyBorder="1" applyAlignment="1">
      <alignment horizontal="center" vertical="center" wrapText="1"/>
    </xf>
    <xf numFmtId="0" fontId="8" fillId="0" borderId="25" xfId="1" applyFont="1" applyFill="1" applyBorder="1" applyAlignment="1">
      <alignment horizontal="center" vertical="center" wrapText="1"/>
    </xf>
    <xf numFmtId="0" fontId="27" fillId="0" borderId="15" xfId="1" applyFont="1" applyFill="1" applyBorder="1" applyAlignment="1">
      <alignment horizontal="center" vertical="center" wrapText="1"/>
    </xf>
    <xf numFmtId="0" fontId="7" fillId="0" borderId="45" xfId="1" applyFont="1" applyFill="1" applyBorder="1" applyAlignment="1">
      <alignment horizontal="center" vertical="center" wrapText="1"/>
    </xf>
    <xf numFmtId="3" fontId="7" fillId="0" borderId="45" xfId="0" applyNumberFormat="1" applyFont="1" applyFill="1" applyBorder="1" applyAlignment="1">
      <alignment horizontal="right" vertical="center" wrapText="1"/>
    </xf>
    <xf numFmtId="0" fontId="8" fillId="0" borderId="23"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7" fillId="5" borderId="23" xfId="0" applyFont="1" applyFill="1" applyBorder="1" applyAlignment="1">
      <alignment horizontal="center" vertical="center"/>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xf>
    <xf numFmtId="0" fontId="7" fillId="5" borderId="26" xfId="0" applyFont="1" applyFill="1" applyBorder="1" applyAlignment="1">
      <alignment horizontal="center" vertical="center" wrapText="1"/>
    </xf>
    <xf numFmtId="0" fontId="8" fillId="0" borderId="13" xfId="1" applyFont="1" applyFill="1" applyBorder="1" applyAlignment="1">
      <alignment horizontal="center" vertical="center" wrapText="1"/>
    </xf>
    <xf numFmtId="0" fontId="11" fillId="0" borderId="2" xfId="0" applyFont="1" applyBorder="1" applyAlignment="1">
      <alignment horizontal="center" vertical="center" wrapText="1"/>
    </xf>
    <xf numFmtId="0" fontId="8" fillId="0" borderId="26" xfId="0" applyFont="1" applyFill="1" applyBorder="1" applyAlignment="1">
      <alignment horizontal="center" wrapText="1"/>
    </xf>
    <xf numFmtId="49" fontId="29" fillId="0" borderId="23" xfId="0" applyNumberFormat="1" applyFont="1" applyBorder="1" applyAlignment="1">
      <alignment horizontal="center" vertical="center" wrapText="1"/>
    </xf>
    <xf numFmtId="49" fontId="29" fillId="0" borderId="26" xfId="0" applyNumberFormat="1" applyFont="1" applyBorder="1" applyAlignment="1">
      <alignment horizontal="center" vertical="center" wrapText="1" shrinkToFit="1"/>
    </xf>
    <xf numFmtId="0" fontId="15" fillId="0" borderId="26" xfId="0" applyFont="1" applyBorder="1" applyAlignment="1">
      <alignment horizontal="center" vertical="center" wrapText="1"/>
    </xf>
    <xf numFmtId="0" fontId="15" fillId="0" borderId="26" xfId="1" applyFont="1" applyBorder="1" applyAlignment="1">
      <alignment horizontal="center" vertical="center" wrapText="1"/>
    </xf>
    <xf numFmtId="0" fontId="15" fillId="0" borderId="32" xfId="1" applyFont="1" applyBorder="1" applyAlignment="1">
      <alignment horizontal="center" vertical="center" wrapText="1"/>
    </xf>
    <xf numFmtId="0" fontId="46" fillId="0" borderId="31" xfId="0" applyFont="1" applyBorder="1" applyAlignment="1">
      <alignment horizontal="center" vertical="center" wrapText="1"/>
    </xf>
    <xf numFmtId="3" fontId="29" fillId="9" borderId="26" xfId="0" applyNumberFormat="1" applyFont="1" applyFill="1" applyBorder="1" applyAlignment="1">
      <alignment vertical="center" wrapText="1"/>
    </xf>
    <xf numFmtId="3" fontId="15" fillId="0" borderId="26" xfId="0" applyNumberFormat="1" applyFont="1" applyBorder="1" applyAlignment="1">
      <alignment vertical="center" wrapText="1"/>
    </xf>
    <xf numFmtId="3" fontId="15" fillId="0" borderId="32" xfId="0" applyNumberFormat="1" applyFont="1" applyBorder="1" applyAlignment="1">
      <alignment vertical="center" wrapText="1"/>
    </xf>
    <xf numFmtId="3" fontId="15" fillId="0" borderId="32" xfId="0" applyNumberFormat="1" applyFont="1" applyBorder="1" applyAlignment="1">
      <alignment horizontal="center" vertical="center" wrapText="1"/>
    </xf>
    <xf numFmtId="49" fontId="15" fillId="0" borderId="26" xfId="0" applyNumberFormat="1" applyFont="1" applyBorder="1" applyAlignment="1">
      <alignment horizontal="center" vertical="center" wrapText="1"/>
    </xf>
    <xf numFmtId="49" fontId="15" fillId="0" borderId="31" xfId="0" applyNumberFormat="1" applyFont="1" applyBorder="1" applyAlignment="1">
      <alignment horizontal="center" vertical="center" wrapText="1"/>
    </xf>
    <xf numFmtId="3" fontId="15" fillId="0" borderId="26" xfId="3" applyNumberFormat="1" applyFont="1" applyBorder="1" applyAlignment="1">
      <alignment vertical="center"/>
    </xf>
    <xf numFmtId="3" fontId="15" fillId="0" borderId="32" xfId="0" applyNumberFormat="1" applyFont="1" applyBorder="1" applyAlignment="1">
      <alignment vertical="center"/>
    </xf>
    <xf numFmtId="3" fontId="29" fillId="17" borderId="26" xfId="1" applyNumberFormat="1" applyFont="1" applyFill="1" applyBorder="1" applyAlignment="1">
      <alignment vertical="center" wrapText="1"/>
    </xf>
    <xf numFmtId="3" fontId="9" fillId="0" borderId="13" xfId="0" applyNumberFormat="1" applyFont="1" applyFill="1" applyBorder="1" applyAlignment="1">
      <alignment vertical="center" wrapText="1"/>
    </xf>
    <xf numFmtId="168" fontId="16" fillId="0" borderId="0" xfId="0" applyNumberFormat="1" applyFont="1" applyFill="1" applyBorder="1" applyAlignment="1">
      <alignment horizontal="right" vertical="center"/>
    </xf>
    <xf numFmtId="0" fontId="17" fillId="0" borderId="29" xfId="0" applyFont="1" applyFill="1" applyBorder="1" applyAlignment="1">
      <alignment horizontal="center" vertical="center" wrapText="1"/>
    </xf>
    <xf numFmtId="3" fontId="17" fillId="15" borderId="34" xfId="1" applyNumberFormat="1" applyFont="1" applyFill="1" applyBorder="1" applyAlignment="1">
      <alignment vertical="center" wrapText="1"/>
    </xf>
    <xf numFmtId="0" fontId="16" fillId="0" borderId="35" xfId="0" applyFont="1" applyFill="1" applyBorder="1" applyAlignment="1">
      <alignment horizontal="center" vertical="center" wrapText="1"/>
    </xf>
    <xf numFmtId="3" fontId="17" fillId="8" borderId="34" xfId="1" applyNumberFormat="1" applyFont="1" applyFill="1" applyBorder="1" applyAlignment="1">
      <alignment vertical="center" wrapText="1"/>
    </xf>
    <xf numFmtId="3" fontId="17" fillId="0" borderId="34" xfId="1" applyNumberFormat="1" applyFont="1" applyFill="1" applyBorder="1" applyAlignment="1">
      <alignment vertical="center" wrapText="1"/>
    </xf>
    <xf numFmtId="3" fontId="17" fillId="0" borderId="33" xfId="1" applyNumberFormat="1" applyFont="1" applyFill="1" applyBorder="1" applyAlignment="1">
      <alignment vertical="center" wrapText="1"/>
    </xf>
    <xf numFmtId="0" fontId="16" fillId="0" borderId="33" xfId="1"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13" borderId="26" xfId="0" applyFont="1" applyFill="1" applyBorder="1" applyAlignment="1">
      <alignment horizontal="center" vertical="center" wrapText="1"/>
    </xf>
    <xf numFmtId="0" fontId="9" fillId="0" borderId="26" xfId="0" applyFont="1" applyFill="1" applyBorder="1" applyAlignment="1">
      <alignment horizontal="center" vertical="center" wrapText="1"/>
    </xf>
    <xf numFmtId="3" fontId="15" fillId="0" borderId="47" xfId="0" applyNumberFormat="1" applyFont="1" applyBorder="1" applyAlignment="1">
      <alignment vertical="center"/>
    </xf>
    <xf numFmtId="49" fontId="15" fillId="17" borderId="26" xfId="0" applyNumberFormat="1" applyFont="1" applyFill="1" applyBorder="1" applyAlignment="1">
      <alignment horizontal="center" vertical="center" wrapText="1"/>
    </xf>
    <xf numFmtId="3" fontId="15" fillId="0" borderId="0" xfId="0" applyNumberFormat="1" applyFont="1" applyFill="1" applyBorder="1" applyAlignment="1">
      <alignment horizontal="right" vertical="center"/>
    </xf>
    <xf numFmtId="3" fontId="12" fillId="0" borderId="3" xfId="1" applyNumberFormat="1" applyFont="1" applyFill="1" applyBorder="1" applyAlignment="1">
      <alignment vertical="center"/>
    </xf>
    <xf numFmtId="3" fontId="9" fillId="0" borderId="12" xfId="1" applyNumberFormat="1" applyFont="1" applyFill="1" applyBorder="1" applyAlignment="1">
      <alignment vertical="center" wrapText="1"/>
    </xf>
    <xf numFmtId="1" fontId="29" fillId="0" borderId="0" xfId="0" applyNumberFormat="1" applyFont="1" applyFill="1" applyBorder="1" applyAlignment="1">
      <alignment horizontal="center" vertical="center" wrapText="1"/>
    </xf>
    <xf numFmtId="0" fontId="7" fillId="11" borderId="42" xfId="0" applyFont="1" applyFill="1" applyBorder="1" applyAlignment="1">
      <alignment horizontal="center" vertical="center" wrapText="1"/>
    </xf>
    <xf numFmtId="3" fontId="9" fillId="11" borderId="31" xfId="1" applyNumberFormat="1" applyFont="1" applyFill="1" applyBorder="1" applyAlignment="1">
      <alignment vertical="center"/>
    </xf>
    <xf numFmtId="0" fontId="25" fillId="2" borderId="5" xfId="0" applyFont="1" applyFill="1" applyBorder="1" applyAlignment="1">
      <alignment vertical="center"/>
    </xf>
    <xf numFmtId="3" fontId="15" fillId="17" borderId="36" xfId="0" applyNumberFormat="1" applyFont="1" applyFill="1" applyBorder="1" applyAlignment="1">
      <alignment vertical="center" wrapText="1"/>
    </xf>
    <xf numFmtId="3" fontId="15" fillId="17" borderId="41" xfId="0" applyNumberFormat="1" applyFont="1" applyFill="1" applyBorder="1" applyAlignment="1">
      <alignment vertical="center" wrapText="1"/>
    </xf>
    <xf numFmtId="3" fontId="15" fillId="0" borderId="35" xfId="0" applyNumberFormat="1" applyFont="1" applyBorder="1" applyAlignment="1">
      <alignment vertical="center" wrapText="1"/>
    </xf>
    <xf numFmtId="0" fontId="15" fillId="17" borderId="26" xfId="0" applyFont="1" applyFill="1" applyBorder="1" applyAlignment="1">
      <alignment horizontal="center" vertical="center" wrapText="1"/>
    </xf>
    <xf numFmtId="49" fontId="15" fillId="3" borderId="26"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xf>
    <xf numFmtId="0" fontId="15" fillId="0" borderId="28" xfId="0" applyFont="1" applyBorder="1" applyAlignment="1">
      <alignment horizontal="center" vertical="center" wrapText="1"/>
    </xf>
    <xf numFmtId="1" fontId="15" fillId="0" borderId="22" xfId="0" applyNumberFormat="1" applyFont="1" applyFill="1" applyBorder="1" applyAlignment="1">
      <alignment horizontal="center" vertical="center" wrapText="1"/>
    </xf>
    <xf numFmtId="1" fontId="15" fillId="0" borderId="0" xfId="0" applyNumberFormat="1" applyFont="1" applyBorder="1" applyAlignment="1">
      <alignment horizontal="center" vertical="center" wrapText="1"/>
    </xf>
    <xf numFmtId="0" fontId="29" fillId="0" borderId="29" xfId="0" applyFont="1" applyBorder="1" applyAlignment="1">
      <alignment horizontal="center" vertical="center" wrapText="1"/>
    </xf>
    <xf numFmtId="0" fontId="29" fillId="3" borderId="0" xfId="0" applyFont="1" applyFill="1" applyAlignment="1">
      <alignment horizontal="center" vertical="center" wrapText="1"/>
    </xf>
    <xf numFmtId="1" fontId="15" fillId="3" borderId="29" xfId="0" applyNumberFormat="1" applyFont="1" applyFill="1" applyBorder="1" applyAlignment="1">
      <alignment horizontal="center" vertical="center" wrapText="1"/>
    </xf>
    <xf numFmtId="0" fontId="41" fillId="0" borderId="0" xfId="0" applyFont="1" applyAlignment="1">
      <alignment horizontal="right"/>
    </xf>
    <xf numFmtId="0" fontId="13" fillId="11" borderId="27" xfId="0" applyFont="1" applyFill="1" applyBorder="1" applyAlignment="1">
      <alignment horizontal="center" vertical="center" wrapText="1"/>
    </xf>
    <xf numFmtId="4" fontId="13" fillId="11" borderId="20" xfId="0" applyNumberFormat="1" applyFont="1" applyFill="1" applyBorder="1" applyAlignment="1">
      <alignment horizontal="center" vertical="center" wrapText="1"/>
    </xf>
    <xf numFmtId="3" fontId="14" fillId="8" borderId="31" xfId="1" applyNumberFormat="1" applyFont="1" applyFill="1" applyBorder="1" applyAlignment="1">
      <alignment horizontal="right" vertical="center" wrapText="1"/>
    </xf>
    <xf numFmtId="4" fontId="13" fillId="20" borderId="36" xfId="0" applyNumberFormat="1" applyFont="1" applyFill="1" applyBorder="1" applyAlignment="1">
      <alignment horizontal="center" vertical="center" wrapText="1"/>
    </xf>
    <xf numFmtId="4" fontId="13" fillId="11" borderId="42" xfId="0" applyNumberFormat="1" applyFont="1" applyFill="1" applyBorder="1" applyAlignment="1">
      <alignment horizontal="center" vertical="center" wrapText="1"/>
    </xf>
    <xf numFmtId="0" fontId="15" fillId="6" borderId="45" xfId="0" applyFont="1" applyFill="1" applyBorder="1" applyAlignment="1">
      <alignment horizontal="center" vertical="center" wrapText="1"/>
    </xf>
    <xf numFmtId="166" fontId="15" fillId="0" borderId="28" xfId="0" applyNumberFormat="1" applyFont="1" applyFill="1" applyBorder="1" applyAlignment="1">
      <alignment horizontal="right" vertical="center"/>
    </xf>
    <xf numFmtId="3" fontId="29" fillId="15" borderId="34" xfId="1" applyNumberFormat="1" applyFont="1" applyFill="1" applyBorder="1" applyAlignment="1">
      <alignment vertical="center" wrapText="1"/>
    </xf>
    <xf numFmtId="3" fontId="29" fillId="0" borderId="28" xfId="1" applyNumberFormat="1" applyFont="1" applyBorder="1" applyAlignment="1">
      <alignment vertical="center" wrapText="1"/>
    </xf>
    <xf numFmtId="3" fontId="29" fillId="8" borderId="34" xfId="1" applyNumberFormat="1" applyFont="1" applyFill="1" applyBorder="1" applyAlignment="1">
      <alignment vertical="center" wrapText="1"/>
    </xf>
    <xf numFmtId="3" fontId="29" fillId="0" borderId="34" xfId="1" applyNumberFormat="1" applyFont="1" applyBorder="1" applyAlignment="1">
      <alignment vertical="center" wrapText="1"/>
    </xf>
    <xf numFmtId="3" fontId="29" fillId="0" borderId="33" xfId="1" applyNumberFormat="1" applyFont="1" applyBorder="1" applyAlignment="1">
      <alignment vertical="center" wrapText="1"/>
    </xf>
    <xf numFmtId="3" fontId="29" fillId="8" borderId="13" xfId="1" applyNumberFormat="1" applyFont="1" applyFill="1" applyBorder="1" applyAlignment="1">
      <alignment vertical="center" wrapText="1"/>
    </xf>
    <xf numFmtId="0" fontId="15" fillId="0" borderId="30" xfId="0" applyFont="1" applyBorder="1" applyAlignment="1">
      <alignment horizontal="center" vertical="center" wrapText="1"/>
    </xf>
    <xf numFmtId="1" fontId="15" fillId="8" borderId="1" xfId="0" applyNumberFormat="1" applyFont="1" applyFill="1" applyBorder="1" applyAlignment="1">
      <alignment horizontal="center" vertical="center" wrapText="1"/>
    </xf>
    <xf numFmtId="1" fontId="15" fillId="0" borderId="1" xfId="0" applyNumberFormat="1" applyFont="1" applyBorder="1" applyAlignment="1">
      <alignment horizontal="center" vertical="center" wrapText="1"/>
    </xf>
    <xf numFmtId="0" fontId="15" fillId="0" borderId="45" xfId="0" applyFont="1" applyBorder="1" applyAlignment="1">
      <alignment horizontal="center" vertical="center" wrapText="1"/>
    </xf>
    <xf numFmtId="0" fontId="15" fillId="0" borderId="14" xfId="0" applyFont="1" applyBorder="1"/>
    <xf numFmtId="0" fontId="29" fillId="3" borderId="1"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11" fillId="0" borderId="28" xfId="0" applyFont="1" applyFill="1" applyBorder="1" applyAlignment="1">
      <alignment horizontal="center" vertical="center"/>
    </xf>
    <xf numFmtId="1" fontId="11" fillId="0" borderId="0" xfId="0" applyNumberFormat="1" applyFont="1" applyFill="1" applyBorder="1" applyAlignment="1">
      <alignment horizontal="center" vertical="center"/>
    </xf>
    <xf numFmtId="0" fontId="12" fillId="3" borderId="0" xfId="0" applyFont="1" applyFill="1" applyBorder="1" applyAlignment="1">
      <alignment horizontal="center" vertical="center"/>
    </xf>
    <xf numFmtId="0" fontId="15" fillId="0" borderId="33" xfId="0" applyFont="1" applyFill="1" applyBorder="1" applyAlignment="1">
      <alignment horizontal="center" vertical="center" wrapText="1"/>
    </xf>
    <xf numFmtId="1" fontId="16" fillId="0" borderId="0" xfId="0" applyNumberFormat="1" applyFont="1" applyFill="1" applyBorder="1" applyAlignment="1">
      <alignment horizontal="center" vertical="center"/>
    </xf>
    <xf numFmtId="0" fontId="11" fillId="5" borderId="26" xfId="0" applyFont="1" applyFill="1" applyBorder="1" applyAlignment="1">
      <alignment horizontal="center" vertical="center" wrapText="1"/>
    </xf>
    <xf numFmtId="1" fontId="12" fillId="4" borderId="29" xfId="0" applyNumberFormat="1" applyFont="1" applyFill="1" applyBorder="1" applyAlignment="1">
      <alignment horizontal="center" vertical="center" wrapText="1"/>
    </xf>
    <xf numFmtId="3" fontId="12" fillId="0" borderId="10" xfId="1" applyNumberFormat="1" applyFont="1" applyFill="1" applyBorder="1" applyAlignment="1">
      <alignment vertical="center"/>
    </xf>
    <xf numFmtId="0" fontId="11" fillId="0" borderId="44" xfId="0" applyFont="1" applyFill="1" applyBorder="1" applyAlignment="1">
      <alignment horizontal="center" vertical="center" wrapText="1"/>
    </xf>
    <xf numFmtId="0" fontId="11" fillId="11" borderId="24" xfId="0" applyFont="1" applyFill="1" applyBorder="1" applyAlignment="1">
      <alignment horizontal="center" vertical="center" wrapText="1"/>
    </xf>
    <xf numFmtId="1" fontId="16" fillId="3" borderId="29" xfId="0" applyNumberFormat="1" applyFont="1" applyFill="1" applyBorder="1" applyAlignment="1">
      <alignment horizontal="center" vertical="center" wrapText="1"/>
    </xf>
    <xf numFmtId="0" fontId="16" fillId="0" borderId="73" xfId="0"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3" fontId="13" fillId="0" borderId="62" xfId="0" applyNumberFormat="1" applyFont="1" applyFill="1" applyBorder="1" applyAlignment="1">
      <alignment vertical="center"/>
    </xf>
    <xf numFmtId="0" fontId="15" fillId="10" borderId="24" xfId="0" applyFont="1" applyFill="1" applyBorder="1" applyAlignment="1">
      <alignment horizontal="center" vertical="center"/>
    </xf>
    <xf numFmtId="0" fontId="15" fillId="0" borderId="28" xfId="0" applyFont="1" applyFill="1" applyBorder="1" applyAlignment="1">
      <alignment horizontal="center" vertical="center"/>
    </xf>
    <xf numFmtId="1" fontId="15" fillId="0" borderId="0"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8" borderId="0" xfId="0" applyNumberFormat="1" applyFont="1" applyFill="1" applyBorder="1" applyAlignment="1">
      <alignment horizontal="center" vertical="center"/>
    </xf>
    <xf numFmtId="0" fontId="29" fillId="0" borderId="29" xfId="0" applyFont="1" applyFill="1" applyBorder="1" applyAlignment="1">
      <alignment horizontal="center" vertical="center"/>
    </xf>
    <xf numFmtId="3" fontId="29" fillId="8" borderId="31" xfId="1" applyNumberFormat="1" applyFont="1" applyFill="1" applyBorder="1" applyAlignment="1">
      <alignment vertical="center"/>
    </xf>
    <xf numFmtId="0" fontId="29" fillId="3" borderId="0" xfId="0" applyFont="1" applyFill="1" applyBorder="1" applyAlignment="1">
      <alignment horizontal="center" vertical="center"/>
    </xf>
    <xf numFmtId="168" fontId="7" fillId="8" borderId="6" xfId="0" applyNumberFormat="1" applyFont="1" applyFill="1" applyBorder="1" applyAlignment="1">
      <alignment horizontal="right" vertical="center"/>
    </xf>
    <xf numFmtId="3" fontId="17" fillId="0" borderId="0" xfId="1" applyNumberFormat="1" applyFont="1" applyFill="1" applyBorder="1" applyAlignment="1">
      <alignment vertical="center" wrapText="1"/>
    </xf>
    <xf numFmtId="3" fontId="29" fillId="0" borderId="37" xfId="0" applyNumberFormat="1" applyFont="1" applyBorder="1" applyAlignment="1">
      <alignment vertical="center" wrapText="1"/>
    </xf>
    <xf numFmtId="3" fontId="14" fillId="0" borderId="37" xfId="0" applyNumberFormat="1" applyFont="1" applyFill="1" applyBorder="1" applyAlignment="1">
      <alignment vertical="center" wrapText="1"/>
    </xf>
    <xf numFmtId="3" fontId="14" fillId="0" borderId="37" xfId="3" applyNumberFormat="1" applyFont="1" applyFill="1" applyBorder="1" applyAlignment="1">
      <alignment vertical="center"/>
    </xf>
    <xf numFmtId="3" fontId="29" fillId="0" borderId="37" xfId="1" applyNumberFormat="1" applyFont="1" applyFill="1" applyBorder="1" applyAlignment="1">
      <alignment vertical="center" wrapText="1"/>
    </xf>
    <xf numFmtId="3" fontId="29" fillId="6" borderId="37" xfId="1" applyNumberFormat="1" applyFont="1" applyFill="1" applyBorder="1" applyAlignment="1">
      <alignment vertical="center" wrapText="1"/>
    </xf>
    <xf numFmtId="3" fontId="29" fillId="0" borderId="31" xfId="1" applyNumberFormat="1" applyFont="1" applyBorder="1" applyAlignment="1">
      <alignment vertical="center" wrapText="1"/>
    </xf>
    <xf numFmtId="3" fontId="15" fillId="0" borderId="36" xfId="0" applyNumberFormat="1" applyFont="1" applyFill="1" applyBorder="1" applyAlignment="1">
      <alignment horizontal="center" vertical="center" wrapText="1"/>
    </xf>
    <xf numFmtId="3" fontId="29" fillId="8" borderId="31" xfId="1" applyNumberFormat="1" applyFont="1" applyFill="1" applyBorder="1" applyAlignment="1">
      <alignment vertical="center" wrapText="1"/>
    </xf>
    <xf numFmtId="3" fontId="29" fillId="17" borderId="31" xfId="1" applyNumberFormat="1" applyFont="1" applyFill="1" applyBorder="1" applyAlignment="1">
      <alignment vertical="center" wrapText="1"/>
    </xf>
    <xf numFmtId="3" fontId="29" fillId="17" borderId="37" xfId="0" applyNumberFormat="1" applyFont="1" applyFill="1" applyBorder="1" applyAlignment="1">
      <alignment vertical="center" wrapText="1"/>
    </xf>
    <xf numFmtId="3" fontId="14" fillId="8" borderId="37" xfId="0" applyNumberFormat="1" applyFont="1" applyFill="1" applyBorder="1" applyAlignment="1">
      <alignment vertical="center" wrapText="1"/>
    </xf>
    <xf numFmtId="0" fontId="9" fillId="0" borderId="1" xfId="0" applyFont="1" applyFill="1" applyBorder="1" applyAlignment="1">
      <alignment horizontal="center" vertical="center" wrapText="1"/>
    </xf>
    <xf numFmtId="3" fontId="17" fillId="0" borderId="25" xfId="1" applyNumberFormat="1" applyFont="1" applyFill="1" applyBorder="1" applyAlignment="1">
      <alignment vertical="center" wrapText="1"/>
    </xf>
    <xf numFmtId="3" fontId="29" fillId="0" borderId="15" xfId="1" applyNumberFormat="1" applyFont="1" applyBorder="1" applyAlignment="1">
      <alignment vertical="center" wrapText="1"/>
    </xf>
    <xf numFmtId="3" fontId="9" fillId="13" borderId="31" xfId="1" applyNumberFormat="1" applyFont="1" applyFill="1" applyBorder="1" applyAlignment="1">
      <alignment vertical="center" wrapText="1"/>
    </xf>
    <xf numFmtId="3" fontId="29" fillId="0" borderId="31" xfId="1" applyNumberFormat="1" applyFont="1" applyFill="1" applyBorder="1" applyAlignment="1">
      <alignment horizontal="center" vertical="center"/>
    </xf>
    <xf numFmtId="3" fontId="14" fillId="8" borderId="34" xfId="1" applyNumberFormat="1" applyFont="1" applyFill="1" applyBorder="1" applyAlignment="1">
      <alignment vertical="center"/>
    </xf>
    <xf numFmtId="3" fontId="9" fillId="11" borderId="25" xfId="1" applyNumberFormat="1" applyFont="1" applyFill="1" applyBorder="1" applyAlignment="1">
      <alignment vertical="center"/>
    </xf>
    <xf numFmtId="3" fontId="13" fillId="0" borderId="73" xfId="1" applyNumberFormat="1" applyFont="1" applyFill="1" applyBorder="1" applyAlignment="1">
      <alignment vertical="center" wrapText="1"/>
    </xf>
    <xf numFmtId="3" fontId="13" fillId="0" borderId="73" xfId="0" applyNumberFormat="1" applyFont="1" applyFill="1" applyBorder="1" applyAlignment="1">
      <alignment vertical="center"/>
    </xf>
    <xf numFmtId="3" fontId="13" fillId="0" borderId="54" xfId="1" applyNumberFormat="1" applyFont="1" applyFill="1" applyBorder="1" applyAlignment="1">
      <alignment vertical="center" wrapText="1"/>
    </xf>
    <xf numFmtId="3" fontId="13" fillId="0" borderId="76" xfId="1" applyNumberFormat="1" applyFont="1" applyFill="1" applyBorder="1" applyAlignment="1">
      <alignment vertical="center" wrapText="1"/>
    </xf>
    <xf numFmtId="0" fontId="27" fillId="0" borderId="42" xfId="0" applyFont="1" applyFill="1" applyBorder="1" applyAlignment="1">
      <alignment horizontal="center" vertical="center" wrapText="1"/>
    </xf>
    <xf numFmtId="0" fontId="47" fillId="0" borderId="0" xfId="0" applyFont="1"/>
    <xf numFmtId="0" fontId="9" fillId="0" borderId="22" xfId="0" applyFont="1" applyFill="1" applyBorder="1" applyAlignment="1">
      <alignment vertical="center" wrapText="1"/>
    </xf>
    <xf numFmtId="0" fontId="9" fillId="11" borderId="22" xfId="0" applyFont="1" applyFill="1" applyBorder="1" applyAlignment="1">
      <alignment vertical="center" wrapText="1"/>
    </xf>
    <xf numFmtId="0" fontId="9" fillId="11" borderId="0" xfId="0" applyFont="1" applyFill="1" applyBorder="1" applyAlignment="1">
      <alignment vertical="center" wrapText="1"/>
    </xf>
    <xf numFmtId="0" fontId="15" fillId="15" borderId="36" xfId="0" applyFont="1" applyFill="1" applyBorder="1" applyAlignment="1">
      <alignment horizontal="center" vertical="center" wrapText="1"/>
    </xf>
    <xf numFmtId="0" fontId="25" fillId="2" borderId="6" xfId="0" applyFont="1" applyFill="1" applyBorder="1" applyAlignment="1">
      <alignment vertical="center"/>
    </xf>
    <xf numFmtId="3" fontId="9" fillId="11" borderId="33" xfId="1" applyNumberFormat="1" applyFont="1" applyFill="1" applyBorder="1" applyAlignment="1">
      <alignment vertical="center" wrapText="1"/>
    </xf>
    <xf numFmtId="0" fontId="8" fillId="0" borderId="19" xfId="1"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3" fontId="7" fillId="0" borderId="53" xfId="0" applyNumberFormat="1" applyFont="1" applyFill="1" applyBorder="1" applyAlignment="1">
      <alignment vertical="center"/>
    </xf>
    <xf numFmtId="3" fontId="7" fillId="0" borderId="74" xfId="1" applyNumberFormat="1" applyFont="1" applyFill="1" applyBorder="1" applyAlignment="1">
      <alignment vertical="center" wrapText="1"/>
    </xf>
    <xf numFmtId="0" fontId="8" fillId="0" borderId="27" xfId="0" applyFont="1" applyFill="1" applyBorder="1" applyAlignment="1">
      <alignment horizontal="center" vertical="center" wrapText="1"/>
    </xf>
    <xf numFmtId="3" fontId="7" fillId="0" borderId="44" xfId="0" applyNumberFormat="1" applyFont="1" applyFill="1" applyBorder="1" applyAlignment="1">
      <alignment vertical="center"/>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3" fontId="7" fillId="0" borderId="2" xfId="0" applyNumberFormat="1" applyFont="1" applyFill="1" applyBorder="1" applyAlignment="1">
      <alignment vertical="center"/>
    </xf>
    <xf numFmtId="3" fontId="7" fillId="0" borderId="64" xfId="0" applyNumberFormat="1" applyFont="1" applyFill="1" applyBorder="1" applyAlignment="1">
      <alignment vertical="center"/>
    </xf>
    <xf numFmtId="3" fontId="7" fillId="0" borderId="6" xfId="0" applyNumberFormat="1" applyFont="1" applyFill="1" applyBorder="1" applyAlignment="1">
      <alignment horizontal="center" vertical="center" wrapText="1"/>
    </xf>
    <xf numFmtId="3" fontId="13" fillId="0" borderId="44" xfId="0" applyNumberFormat="1" applyFont="1" applyFill="1" applyBorder="1" applyAlignment="1">
      <alignment vertical="center" wrapText="1"/>
    </xf>
    <xf numFmtId="3" fontId="14" fillId="0" borderId="26" xfId="3" applyNumberFormat="1" applyFont="1" applyFill="1" applyBorder="1" applyAlignment="1">
      <alignment horizontal="center" vertical="center"/>
    </xf>
    <xf numFmtId="3" fontId="13" fillId="0" borderId="26" xfId="3" applyNumberFormat="1" applyFont="1" applyFill="1" applyBorder="1" applyAlignment="1">
      <alignment horizontal="center" vertical="center"/>
    </xf>
    <xf numFmtId="3" fontId="13" fillId="0" borderId="26" xfId="3" applyNumberFormat="1" applyFont="1" applyFill="1" applyBorder="1" applyAlignment="1">
      <alignment horizontal="center" vertical="center" wrapText="1"/>
    </xf>
    <xf numFmtId="3" fontId="27" fillId="0" borderId="26" xfId="3" applyNumberFormat="1" applyFont="1" applyFill="1" applyBorder="1" applyAlignment="1">
      <alignment horizontal="center" vertical="center"/>
    </xf>
    <xf numFmtId="3" fontId="14" fillId="0" borderId="26" xfId="3" applyNumberFormat="1" applyFont="1" applyFill="1" applyBorder="1" applyAlignment="1">
      <alignment vertical="center"/>
    </xf>
    <xf numFmtId="3" fontId="13" fillId="0" borderId="36" xfId="3" applyNumberFormat="1" applyFont="1" applyFill="1" applyBorder="1" applyAlignment="1">
      <alignment vertical="center"/>
    </xf>
    <xf numFmtId="49" fontId="13" fillId="0" borderId="23" xfId="0" applyNumberFormat="1" applyFont="1" applyFill="1" applyBorder="1" applyAlignment="1">
      <alignment horizontal="center" vertical="center" wrapText="1"/>
    </xf>
    <xf numFmtId="3" fontId="14" fillId="0" borderId="26"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3" fontId="7" fillId="0" borderId="27" xfId="0" applyNumberFormat="1" applyFont="1" applyFill="1" applyBorder="1" applyAlignment="1">
      <alignment horizontal="right" vertical="center"/>
    </xf>
    <xf numFmtId="0" fontId="7" fillId="0" borderId="20" xfId="0" applyFont="1" applyFill="1" applyBorder="1" applyAlignment="1">
      <alignment horizontal="center" vertical="center" wrapText="1"/>
    </xf>
    <xf numFmtId="49" fontId="7" fillId="0" borderId="25" xfId="1"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wrapText="1"/>
    </xf>
    <xf numFmtId="49" fontId="13" fillId="0" borderId="33" xfId="0" applyNumberFormat="1" applyFont="1" applyFill="1" applyBorder="1" applyAlignment="1">
      <alignment horizontal="center" vertical="center" wrapText="1" shrinkToFit="1"/>
    </xf>
    <xf numFmtId="49" fontId="13" fillId="0" borderId="13" xfId="0" applyNumberFormat="1" applyFont="1" applyFill="1" applyBorder="1" applyAlignment="1">
      <alignment horizontal="center" vertical="center" wrapText="1" shrinkToFit="1"/>
    </xf>
    <xf numFmtId="0" fontId="27"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47" fillId="0" borderId="30" xfId="0" applyFont="1" applyFill="1" applyBorder="1"/>
    <xf numFmtId="0" fontId="47" fillId="0" borderId="0" xfId="0" applyFont="1" applyFill="1"/>
    <xf numFmtId="3" fontId="14" fillId="0" borderId="27" xfId="1" applyNumberFormat="1" applyFont="1" applyFill="1" applyBorder="1" applyAlignment="1">
      <alignment vertical="center" wrapText="1"/>
    </xf>
    <xf numFmtId="3" fontId="14" fillId="0" borderId="19" xfId="1" applyNumberFormat="1" applyFont="1" applyFill="1" applyBorder="1" applyAlignment="1">
      <alignment vertical="center" wrapText="1"/>
    </xf>
    <xf numFmtId="3" fontId="14" fillId="0" borderId="1" xfId="1" applyNumberFormat="1" applyFont="1" applyFill="1" applyBorder="1" applyAlignment="1">
      <alignment vertical="center" wrapText="1"/>
    </xf>
    <xf numFmtId="49" fontId="13" fillId="3" borderId="33" xfId="0" applyNumberFormat="1" applyFont="1" applyFill="1" applyBorder="1" applyAlignment="1">
      <alignment horizontal="center" vertical="center"/>
    </xf>
    <xf numFmtId="3" fontId="7" fillId="0" borderId="39" xfId="1" applyNumberFormat="1" applyFont="1" applyFill="1" applyBorder="1" applyAlignment="1">
      <alignment vertical="center" wrapText="1"/>
    </xf>
    <xf numFmtId="3" fontId="9" fillId="0" borderId="42" xfId="1" applyNumberFormat="1" applyFont="1" applyFill="1" applyBorder="1" applyAlignment="1">
      <alignment vertical="center" wrapText="1"/>
    </xf>
    <xf numFmtId="3" fontId="13" fillId="0" borderId="42" xfId="3" applyNumberFormat="1" applyFont="1" applyFill="1" applyBorder="1" applyAlignment="1">
      <alignment vertical="center"/>
    </xf>
    <xf numFmtId="3" fontId="9" fillId="0" borderId="62" xfId="1" applyNumberFormat="1" applyFont="1" applyFill="1" applyBorder="1" applyAlignment="1">
      <alignment vertical="center" wrapText="1"/>
    </xf>
    <xf numFmtId="3" fontId="13" fillId="0" borderId="59" xfId="0" applyNumberFormat="1" applyFont="1" applyFill="1" applyBorder="1" applyAlignment="1">
      <alignment vertical="center" wrapText="1"/>
    </xf>
    <xf numFmtId="3" fontId="9" fillId="0" borderId="51" xfId="1" applyNumberFormat="1" applyFont="1" applyFill="1" applyBorder="1" applyAlignment="1">
      <alignment vertical="center" wrapText="1"/>
    </xf>
    <xf numFmtId="3" fontId="13" fillId="8" borderId="34" xfId="0" applyNumberFormat="1" applyFont="1" applyFill="1" applyBorder="1" applyAlignment="1">
      <alignment vertical="center" wrapText="1"/>
    </xf>
    <xf numFmtId="3" fontId="13" fillId="8" borderId="31" xfId="0" applyNumberFormat="1" applyFont="1" applyFill="1" applyBorder="1" applyAlignment="1">
      <alignment vertical="center" wrapText="1"/>
    </xf>
    <xf numFmtId="3" fontId="13" fillId="8" borderId="37" xfId="0" applyNumberFormat="1" applyFont="1" applyFill="1" applyBorder="1" applyAlignment="1">
      <alignment vertical="center" wrapText="1"/>
    </xf>
    <xf numFmtId="4" fontId="9" fillId="22" borderId="18" xfId="0" applyNumberFormat="1" applyFont="1" applyFill="1" applyBorder="1" applyAlignment="1">
      <alignment horizontal="center" vertical="center" wrapText="1"/>
    </xf>
    <xf numFmtId="3" fontId="13" fillId="8" borderId="27" xfId="0" applyNumberFormat="1" applyFont="1" applyFill="1" applyBorder="1" applyAlignment="1">
      <alignment vertical="center" wrapText="1"/>
    </xf>
    <xf numFmtId="3" fontId="13" fillId="8" borderId="19" xfId="0" applyNumberFormat="1" applyFont="1" applyFill="1" applyBorder="1" applyAlignment="1">
      <alignment vertical="center" wrapText="1"/>
    </xf>
    <xf numFmtId="3" fontId="13" fillId="8" borderId="30" xfId="0" applyNumberFormat="1" applyFont="1" applyFill="1" applyBorder="1" applyAlignment="1">
      <alignment vertical="center" wrapText="1"/>
    </xf>
    <xf numFmtId="3" fontId="13" fillId="8" borderId="31" xfId="0" applyNumberFormat="1" applyFont="1" applyFill="1" applyBorder="1" applyAlignment="1">
      <alignment vertical="center"/>
    </xf>
    <xf numFmtId="3" fontId="13" fillId="8" borderId="37" xfId="0" applyNumberFormat="1" applyFont="1" applyFill="1" applyBorder="1" applyAlignment="1">
      <alignment horizontal="right" vertical="center" wrapText="1"/>
    </xf>
    <xf numFmtId="3" fontId="13" fillId="8" borderId="19" xfId="0" applyNumberFormat="1" applyFont="1" applyFill="1" applyBorder="1" applyAlignment="1">
      <alignment horizontal="right" vertical="center" wrapText="1"/>
    </xf>
    <xf numFmtId="3" fontId="13" fillId="8" borderId="27" xfId="0" applyNumberFormat="1" applyFont="1" applyFill="1" applyBorder="1" applyAlignment="1">
      <alignment vertical="center"/>
    </xf>
    <xf numFmtId="3" fontId="13" fillId="8" borderId="37" xfId="0" applyNumberFormat="1" applyFont="1" applyFill="1" applyBorder="1" applyAlignment="1">
      <alignment vertical="center"/>
    </xf>
    <xf numFmtId="3" fontId="13" fillId="8" borderId="19" xfId="0" applyNumberFormat="1" applyFont="1" applyFill="1" applyBorder="1" applyAlignment="1">
      <alignment vertical="center"/>
    </xf>
    <xf numFmtId="4" fontId="9" fillId="26" borderId="16" xfId="0" applyNumberFormat="1" applyFont="1" applyFill="1" applyBorder="1" applyAlignment="1">
      <alignment horizontal="center" vertical="center" wrapText="1"/>
    </xf>
    <xf numFmtId="3" fontId="13" fillId="22" borderId="26" xfId="0" applyNumberFormat="1" applyFont="1" applyFill="1" applyBorder="1" applyAlignment="1">
      <alignment vertical="center" wrapText="1"/>
    </xf>
    <xf numFmtId="3" fontId="13" fillId="22" borderId="23" xfId="0" applyNumberFormat="1" applyFont="1" applyFill="1" applyBorder="1" applyAlignment="1">
      <alignment vertical="center" wrapText="1"/>
    </xf>
    <xf numFmtId="3" fontId="13" fillId="22" borderId="13" xfId="0" applyNumberFormat="1" applyFont="1" applyFill="1" applyBorder="1" applyAlignment="1">
      <alignment vertical="center" wrapText="1"/>
    </xf>
    <xf numFmtId="3" fontId="7" fillId="0" borderId="43" xfId="0" applyNumberFormat="1" applyFont="1" applyFill="1" applyBorder="1" applyAlignment="1">
      <alignment vertical="center" wrapText="1"/>
    </xf>
    <xf numFmtId="3" fontId="13" fillId="0" borderId="43" xfId="0" applyNumberFormat="1" applyFont="1" applyFill="1" applyBorder="1" applyAlignment="1">
      <alignment vertical="center" wrapText="1"/>
    </xf>
    <xf numFmtId="3" fontId="7" fillId="0" borderId="19" xfId="0" applyNumberFormat="1" applyFont="1" applyFill="1" applyBorder="1" applyAlignment="1">
      <alignment vertical="center"/>
    </xf>
    <xf numFmtId="3" fontId="7" fillId="0" borderId="8" xfId="0" applyNumberFormat="1" applyFont="1" applyFill="1" applyBorder="1" applyAlignment="1">
      <alignment vertical="center"/>
    </xf>
    <xf numFmtId="3" fontId="13" fillId="0" borderId="19" xfId="0" applyNumberFormat="1" applyFont="1" applyFill="1" applyBorder="1" applyAlignment="1">
      <alignment vertical="center"/>
    </xf>
    <xf numFmtId="3" fontId="13" fillId="0" borderId="20" xfId="0" applyNumberFormat="1" applyFont="1" applyFill="1" applyBorder="1" applyAlignment="1">
      <alignment horizontal="right" vertical="center" wrapText="1"/>
    </xf>
    <xf numFmtId="3" fontId="7" fillId="0" borderId="48" xfId="0" applyNumberFormat="1" applyFont="1" applyFill="1" applyBorder="1" applyAlignment="1">
      <alignment vertical="center"/>
    </xf>
    <xf numFmtId="3" fontId="7" fillId="0" borderId="21" xfId="0" applyNumberFormat="1" applyFont="1" applyFill="1" applyBorder="1" applyAlignment="1">
      <alignment vertical="center"/>
    </xf>
    <xf numFmtId="3" fontId="7" fillId="0" borderId="71" xfId="0" applyNumberFormat="1" applyFont="1" applyFill="1" applyBorder="1" applyAlignment="1">
      <alignment vertical="center"/>
    </xf>
    <xf numFmtId="3" fontId="7" fillId="0" borderId="20" xfId="0" applyNumberFormat="1" applyFont="1" applyFill="1" applyBorder="1" applyAlignment="1">
      <alignment horizontal="right" vertical="center"/>
    </xf>
    <xf numFmtId="3" fontId="13" fillId="0" borderId="66" xfId="0" applyNumberFormat="1" applyFont="1" applyFill="1" applyBorder="1" applyAlignment="1">
      <alignment vertical="center" wrapText="1"/>
    </xf>
    <xf numFmtId="3" fontId="13" fillId="0" borderId="21" xfId="0" applyNumberFormat="1" applyFont="1" applyFill="1" applyBorder="1" applyAlignment="1">
      <alignment vertical="center"/>
    </xf>
    <xf numFmtId="3" fontId="13" fillId="0" borderId="48" xfId="0" applyNumberFormat="1" applyFont="1" applyFill="1" applyBorder="1" applyAlignment="1">
      <alignment vertical="center"/>
    </xf>
    <xf numFmtId="3" fontId="7" fillId="12" borderId="39" xfId="1" applyNumberFormat="1" applyFont="1" applyFill="1" applyBorder="1" applyAlignment="1">
      <alignment vertical="center" wrapText="1"/>
    </xf>
    <xf numFmtId="0" fontId="13" fillId="0" borderId="13" xfId="1" applyFont="1" applyBorder="1" applyAlignment="1">
      <alignment horizontal="center" vertical="center" wrapText="1"/>
    </xf>
    <xf numFmtId="3" fontId="9" fillId="0" borderId="50" xfId="1" applyNumberFormat="1" applyFont="1" applyFill="1" applyBorder="1" applyAlignment="1">
      <alignment vertical="center" wrapText="1"/>
    </xf>
    <xf numFmtId="3" fontId="9" fillId="0" borderId="77" xfId="1" applyNumberFormat="1" applyFont="1" applyFill="1" applyBorder="1" applyAlignment="1">
      <alignment vertical="center" wrapText="1"/>
    </xf>
    <xf numFmtId="3" fontId="14" fillId="0" borderId="42" xfId="1" applyNumberFormat="1" applyFont="1" applyFill="1" applyBorder="1" applyAlignment="1">
      <alignment vertical="center" wrapText="1"/>
    </xf>
    <xf numFmtId="3" fontId="14" fillId="0" borderId="51" xfId="1" applyNumberFormat="1" applyFont="1" applyFill="1" applyBorder="1" applyAlignment="1">
      <alignment vertical="center" wrapText="1"/>
    </xf>
    <xf numFmtId="3" fontId="14" fillId="0" borderId="62" xfId="1" applyNumberFormat="1" applyFont="1" applyFill="1" applyBorder="1" applyAlignment="1">
      <alignment vertical="center" wrapText="1"/>
    </xf>
    <xf numFmtId="3" fontId="9" fillId="0" borderId="78" xfId="1" applyNumberFormat="1" applyFont="1" applyFill="1" applyBorder="1" applyAlignment="1">
      <alignment vertical="center" wrapText="1"/>
    </xf>
    <xf numFmtId="3" fontId="14" fillId="0" borderId="59" xfId="1" applyNumberFormat="1" applyFont="1" applyFill="1" applyBorder="1" applyAlignment="1">
      <alignment vertical="center" wrapText="1"/>
    </xf>
    <xf numFmtId="3" fontId="14" fillId="0" borderId="78" xfId="1" applyNumberFormat="1" applyFont="1" applyFill="1" applyBorder="1" applyAlignment="1">
      <alignment vertical="center" wrapText="1"/>
    </xf>
    <xf numFmtId="3" fontId="7" fillId="12" borderId="78" xfId="1" applyNumberFormat="1" applyFont="1" applyFill="1" applyBorder="1" applyAlignment="1">
      <alignment vertical="center" wrapText="1"/>
    </xf>
    <xf numFmtId="0" fontId="9" fillId="0" borderId="52"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29" fillId="0" borderId="67" xfId="0" applyFont="1" applyBorder="1" applyAlignment="1">
      <alignment horizontal="center" vertical="center" wrapText="1"/>
    </xf>
    <xf numFmtId="0" fontId="9" fillId="0" borderId="67"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7" xfId="0" applyFont="1" applyFill="1" applyBorder="1" applyAlignment="1">
      <alignment horizontal="center" vertical="center" wrapText="1"/>
    </xf>
    <xf numFmtId="4" fontId="10" fillId="12" borderId="18" xfId="1" applyNumberFormat="1" applyFont="1" applyFill="1" applyBorder="1" applyAlignment="1">
      <alignment horizontal="center" vertical="center" wrapText="1"/>
    </xf>
    <xf numFmtId="3" fontId="14" fillId="6" borderId="40" xfId="1" applyNumberFormat="1" applyFont="1" applyFill="1" applyBorder="1" applyAlignment="1">
      <alignment vertical="center" wrapText="1"/>
    </xf>
    <xf numFmtId="3" fontId="9" fillId="6" borderId="37" xfId="1" applyNumberFormat="1" applyFont="1" applyFill="1" applyBorder="1" applyAlignment="1">
      <alignment vertical="center" wrapText="1"/>
    </xf>
    <xf numFmtId="3" fontId="14" fillId="6" borderId="37" xfId="1" applyNumberFormat="1" applyFont="1" applyFill="1" applyBorder="1" applyAlignment="1">
      <alignment vertical="center" wrapText="1"/>
    </xf>
    <xf numFmtId="3" fontId="7" fillId="0" borderId="25" xfId="0" applyNumberFormat="1" applyFont="1" applyFill="1" applyBorder="1" applyAlignment="1">
      <alignment vertical="center"/>
    </xf>
    <xf numFmtId="3" fontId="9" fillId="12" borderId="26" xfId="1" applyNumberFormat="1" applyFont="1" applyFill="1" applyBorder="1" applyAlignment="1">
      <alignment vertical="center" wrapText="1"/>
    </xf>
    <xf numFmtId="3" fontId="9" fillId="12" borderId="13" xfId="1" applyNumberFormat="1" applyFont="1" applyFill="1" applyBorder="1" applyAlignment="1">
      <alignment vertical="center" wrapText="1"/>
    </xf>
    <xf numFmtId="3" fontId="13" fillId="0" borderId="15" xfId="0" applyNumberFormat="1" applyFont="1" applyFill="1" applyBorder="1" applyAlignment="1">
      <alignment vertical="center"/>
    </xf>
    <xf numFmtId="3" fontId="15" fillId="0" borderId="1" xfId="0" applyNumberFormat="1" applyFont="1" applyFill="1" applyBorder="1" applyAlignment="1">
      <alignment horizontal="center" vertical="center"/>
    </xf>
    <xf numFmtId="168" fontId="15" fillId="0" borderId="16" xfId="0" applyNumberFormat="1" applyFont="1" applyFill="1" applyBorder="1" applyAlignment="1">
      <alignment horizontal="right" vertical="center"/>
    </xf>
    <xf numFmtId="49" fontId="9" fillId="12" borderId="12" xfId="0" applyNumberFormat="1" applyFont="1" applyFill="1" applyBorder="1" applyAlignment="1">
      <alignment horizontal="center" vertical="center" wrapText="1"/>
    </xf>
    <xf numFmtId="0" fontId="7" fillId="12" borderId="12" xfId="0" applyFont="1" applyFill="1" applyBorder="1" applyAlignment="1">
      <alignment horizontal="center" vertical="center" wrapText="1"/>
    </xf>
    <xf numFmtId="3" fontId="9" fillId="3" borderId="18" xfId="1" applyNumberFormat="1" applyFont="1" applyFill="1" applyBorder="1" applyAlignment="1">
      <alignment horizontal="center" vertical="center" wrapText="1"/>
    </xf>
    <xf numFmtId="3" fontId="14" fillId="0" borderId="15" xfId="1" applyNumberFormat="1" applyFont="1" applyBorder="1" applyAlignment="1">
      <alignment vertical="center" wrapText="1"/>
    </xf>
    <xf numFmtId="3" fontId="13" fillId="0" borderId="13" xfId="0" applyNumberFormat="1" applyFont="1" applyBorder="1" applyAlignment="1">
      <alignment vertical="center" wrapText="1"/>
    </xf>
    <xf numFmtId="3" fontId="13" fillId="0" borderId="19" xfId="0" applyNumberFormat="1" applyFont="1" applyBorder="1" applyAlignment="1">
      <alignment vertical="center" wrapText="1"/>
    </xf>
    <xf numFmtId="3" fontId="13" fillId="0" borderId="48" xfId="0" applyNumberFormat="1" applyFont="1" applyBorder="1" applyAlignment="1">
      <alignment vertical="center" wrapText="1"/>
    </xf>
    <xf numFmtId="3" fontId="13" fillId="0" borderId="45" xfId="0" applyNumberFormat="1" applyFont="1" applyBorder="1" applyAlignment="1">
      <alignment vertical="center" wrapText="1"/>
    </xf>
    <xf numFmtId="49" fontId="13" fillId="0" borderId="13" xfId="0" applyNumberFormat="1" applyFont="1" applyBorder="1" applyAlignment="1">
      <alignment horizontal="center" vertical="center"/>
    </xf>
    <xf numFmtId="49" fontId="13" fillId="0" borderId="15" xfId="0" applyNumberFormat="1" applyFont="1" applyBorder="1" applyAlignment="1">
      <alignment horizontal="center" vertical="center"/>
    </xf>
    <xf numFmtId="3" fontId="13" fillId="0" borderId="37" xfId="0" applyNumberFormat="1" applyFont="1" applyBorder="1" applyAlignment="1">
      <alignment vertical="center" wrapText="1"/>
    </xf>
    <xf numFmtId="0" fontId="13" fillId="0" borderId="31" xfId="0" applyFont="1" applyBorder="1" applyAlignment="1">
      <alignment horizontal="center" vertical="center" wrapText="1"/>
    </xf>
    <xf numFmtId="49" fontId="13" fillId="0" borderId="26" xfId="0" applyNumberFormat="1" applyFont="1" applyBorder="1" applyAlignment="1">
      <alignment horizontal="center" vertical="center"/>
    </xf>
    <xf numFmtId="1" fontId="7" fillId="8" borderId="1" xfId="0" applyNumberFormat="1" applyFont="1" applyFill="1" applyBorder="1" applyAlignment="1">
      <alignment horizontal="center" vertical="center" wrapText="1"/>
    </xf>
    <xf numFmtId="1" fontId="7" fillId="8" borderId="37"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1" fontId="7" fillId="8" borderId="5" xfId="0" applyNumberFormat="1" applyFont="1" applyFill="1" applyBorder="1" applyAlignment="1">
      <alignment horizontal="center" vertical="center" wrapText="1"/>
    </xf>
    <xf numFmtId="3" fontId="13" fillId="0" borderId="37" xfId="3" applyNumberFormat="1" applyFont="1" applyFill="1" applyBorder="1" applyAlignment="1">
      <alignment vertical="center"/>
    </xf>
    <xf numFmtId="0" fontId="15" fillId="0" borderId="2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7" fillId="11" borderId="0" xfId="0" applyFont="1" applyFill="1" applyBorder="1" applyAlignment="1">
      <alignment horizontal="center" vertical="center" wrapText="1"/>
    </xf>
    <xf numFmtId="3" fontId="9" fillId="11" borderId="0" xfId="0" applyNumberFormat="1" applyFont="1" applyFill="1" applyBorder="1" applyAlignment="1">
      <alignment vertical="center" wrapText="1"/>
    </xf>
    <xf numFmtId="3" fontId="7" fillId="0" borderId="66" xfId="0" applyNumberFormat="1" applyFont="1" applyFill="1" applyBorder="1" applyAlignment="1">
      <alignment vertical="center" wrapText="1"/>
    </xf>
    <xf numFmtId="0" fontId="11" fillId="0" borderId="31" xfId="0" applyFont="1" applyFill="1" applyBorder="1" applyAlignment="1">
      <alignment horizontal="center" vertical="center" wrapText="1"/>
    </xf>
    <xf numFmtId="3" fontId="11" fillId="0" borderId="42" xfId="0" applyNumberFormat="1" applyFont="1" applyFill="1" applyBorder="1" applyAlignment="1">
      <alignment vertical="center" wrapText="1"/>
    </xf>
    <xf numFmtId="3" fontId="11" fillId="0" borderId="20" xfId="0" applyNumberFormat="1" applyFont="1" applyFill="1" applyBorder="1" applyAlignment="1">
      <alignment vertical="center" wrapText="1"/>
    </xf>
    <xf numFmtId="3" fontId="11" fillId="0" borderId="37" xfId="0" applyNumberFormat="1" applyFont="1" applyFill="1" applyBorder="1" applyAlignment="1">
      <alignment vertical="center" wrapText="1"/>
    </xf>
    <xf numFmtId="49" fontId="29" fillId="0" borderId="26" xfId="0" applyNumberFormat="1" applyFont="1" applyFill="1" applyBorder="1" applyAlignment="1">
      <alignment horizontal="center" vertical="center" wrapText="1"/>
    </xf>
    <xf numFmtId="49" fontId="15" fillId="0" borderId="33" xfId="0" applyNumberFormat="1" applyFont="1" applyFill="1" applyBorder="1" applyAlignment="1">
      <alignment horizontal="center" vertical="center" wrapText="1" shrinkToFit="1"/>
    </xf>
    <xf numFmtId="0" fontId="15" fillId="0" borderId="26" xfId="1" applyFont="1" applyFill="1" applyBorder="1" applyAlignment="1">
      <alignment horizontal="center" vertical="center" wrapText="1"/>
    </xf>
    <xf numFmtId="0" fontId="46" fillId="0" borderId="32" xfId="0" applyFont="1" applyFill="1" applyBorder="1" applyAlignment="1">
      <alignment horizontal="center" vertical="center" wrapText="1"/>
    </xf>
    <xf numFmtId="3" fontId="29" fillId="0" borderId="42" xfId="1" applyNumberFormat="1" applyFont="1" applyFill="1" applyBorder="1" applyAlignment="1">
      <alignment vertical="center" wrapText="1"/>
    </xf>
    <xf numFmtId="3" fontId="15" fillId="0" borderId="26" xfId="0" applyNumberFormat="1" applyFont="1" applyFill="1" applyBorder="1" applyAlignment="1">
      <alignment vertical="center" wrapText="1"/>
    </xf>
    <xf numFmtId="3" fontId="15" fillId="0" borderId="37" xfId="0" applyNumberFormat="1" applyFont="1" applyFill="1" applyBorder="1" applyAlignment="1">
      <alignment vertical="center" wrapText="1"/>
    </xf>
    <xf numFmtId="3" fontId="15" fillId="0" borderId="20" xfId="0" applyNumberFormat="1" applyFont="1" applyFill="1" applyBorder="1" applyAlignment="1">
      <alignment vertical="center" wrapText="1"/>
    </xf>
    <xf numFmtId="3" fontId="15" fillId="0" borderId="32" xfId="0" applyNumberFormat="1" applyFont="1" applyFill="1" applyBorder="1" applyAlignment="1">
      <alignment vertical="center" wrapText="1"/>
    </xf>
    <xf numFmtId="3" fontId="15" fillId="22" borderId="26" xfId="0" applyNumberFormat="1" applyFont="1" applyFill="1" applyBorder="1" applyAlignment="1">
      <alignment vertical="center" wrapText="1"/>
    </xf>
    <xf numFmtId="3" fontId="15" fillId="8" borderId="37" xfId="0" applyNumberFormat="1" applyFont="1" applyFill="1" applyBorder="1" applyAlignment="1">
      <alignment vertical="center" wrapText="1"/>
    </xf>
    <xf numFmtId="3" fontId="15" fillId="22" borderId="23" xfId="0" applyNumberFormat="1" applyFont="1" applyFill="1" applyBorder="1" applyAlignment="1">
      <alignment vertical="center" wrapText="1"/>
    </xf>
    <xf numFmtId="49" fontId="15" fillId="3" borderId="26" xfId="0" applyNumberFormat="1" applyFont="1" applyFill="1" applyBorder="1" applyAlignment="1">
      <alignment horizontal="center" vertical="center"/>
    </xf>
    <xf numFmtId="0" fontId="15" fillId="0" borderId="33" xfId="1" applyFont="1" applyBorder="1" applyAlignment="1">
      <alignment horizontal="center" vertical="center" wrapText="1"/>
    </xf>
    <xf numFmtId="3" fontId="15" fillId="0" borderId="42" xfId="0" applyNumberFormat="1" applyFont="1" applyFill="1" applyBorder="1" applyAlignment="1">
      <alignment vertical="center" wrapText="1"/>
    </xf>
    <xf numFmtId="49" fontId="13" fillId="0" borderId="3" xfId="0" applyNumberFormat="1" applyFont="1" applyFill="1" applyBorder="1" applyAlignment="1">
      <alignment horizontal="center" vertical="center" wrapText="1" shrinkToFit="1"/>
    </xf>
    <xf numFmtId="0" fontId="13" fillId="0" borderId="2" xfId="1" applyFont="1" applyFill="1" applyBorder="1" applyAlignment="1">
      <alignment horizontal="center" vertical="center" wrapText="1"/>
    </xf>
    <xf numFmtId="0" fontId="27" fillId="0" borderId="24" xfId="0" applyFont="1" applyFill="1" applyBorder="1" applyAlignment="1">
      <alignment horizontal="center" vertical="center" wrapText="1"/>
    </xf>
    <xf numFmtId="3" fontId="14" fillId="0" borderId="25" xfId="1" applyNumberFormat="1" applyFont="1" applyFill="1" applyBorder="1" applyAlignment="1">
      <alignment vertical="center" wrapText="1"/>
    </xf>
    <xf numFmtId="3" fontId="13" fillId="0" borderId="21" xfId="0" applyNumberFormat="1" applyFont="1" applyFill="1" applyBorder="1" applyAlignment="1">
      <alignment vertical="center" wrapText="1"/>
    </xf>
    <xf numFmtId="3" fontId="13" fillId="0" borderId="23" xfId="0" applyNumberFormat="1" applyFont="1" applyBorder="1" applyAlignment="1">
      <alignment vertical="center" wrapText="1"/>
    </xf>
    <xf numFmtId="3" fontId="13" fillId="0" borderId="24" xfId="0" applyNumberFormat="1" applyFont="1" applyBorder="1" applyAlignment="1">
      <alignment vertical="center" wrapText="1"/>
    </xf>
    <xf numFmtId="0" fontId="13" fillId="0" borderId="25" xfId="0" applyFont="1" applyFill="1" applyBorder="1" applyAlignment="1">
      <alignment horizontal="center" vertical="center" wrapText="1"/>
    </xf>
    <xf numFmtId="49" fontId="13" fillId="3" borderId="23" xfId="0" applyNumberFormat="1" applyFont="1" applyFill="1" applyBorder="1" applyAlignment="1">
      <alignment horizontal="center" vertical="center"/>
    </xf>
    <xf numFmtId="0" fontId="13" fillId="0" borderId="2" xfId="1" applyFont="1" applyBorder="1" applyAlignment="1">
      <alignment horizontal="center" vertical="center" wrapText="1"/>
    </xf>
    <xf numFmtId="1" fontId="29" fillId="4" borderId="7"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Fill="1" applyBorder="1" applyAlignment="1">
      <alignment horizontal="center" vertical="center"/>
    </xf>
    <xf numFmtId="0" fontId="15" fillId="0" borderId="3" xfId="0" applyFont="1" applyBorder="1"/>
    <xf numFmtId="3" fontId="29" fillId="0" borderId="23" xfId="1" applyNumberFormat="1" applyFont="1" applyFill="1" applyBorder="1" applyAlignment="1">
      <alignment vertical="center" wrapText="1"/>
    </xf>
    <xf numFmtId="3" fontId="29" fillId="0" borderId="25" xfId="1" applyNumberFormat="1" applyFont="1" applyBorder="1" applyAlignment="1">
      <alignment vertical="center" wrapText="1"/>
    </xf>
    <xf numFmtId="3" fontId="29" fillId="15" borderId="10" xfId="1" applyNumberFormat="1" applyFont="1" applyFill="1" applyBorder="1" applyAlignment="1">
      <alignment vertical="center" wrapText="1"/>
    </xf>
    <xf numFmtId="3" fontId="29" fillId="8" borderId="10" xfId="1" applyNumberFormat="1" applyFont="1" applyFill="1" applyBorder="1" applyAlignment="1">
      <alignment vertical="center" wrapText="1"/>
    </xf>
    <xf numFmtId="3" fontId="29" fillId="0" borderId="10" xfId="1" applyNumberFormat="1" applyFont="1" applyBorder="1" applyAlignment="1">
      <alignment vertical="center" wrapText="1"/>
    </xf>
    <xf numFmtId="3" fontId="29" fillId="0" borderId="3" xfId="1" applyNumberFormat="1" applyFont="1" applyBorder="1" applyAlignment="1">
      <alignment vertical="center" wrapText="1"/>
    </xf>
    <xf numFmtId="0" fontId="15" fillId="0" borderId="31" xfId="0" applyFont="1" applyFill="1" applyBorder="1" applyAlignment="1">
      <alignment horizontal="center" vertical="center" wrapText="1"/>
    </xf>
    <xf numFmtId="49" fontId="15" fillId="0" borderId="26"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3" fontId="9" fillId="5" borderId="23" xfId="1" applyNumberFormat="1" applyFont="1" applyFill="1" applyBorder="1" applyAlignment="1">
      <alignment vertical="center" wrapText="1"/>
    </xf>
    <xf numFmtId="3" fontId="9" fillId="5" borderId="24" xfId="1" applyNumberFormat="1" applyFont="1" applyFill="1" applyBorder="1" applyAlignment="1">
      <alignment vertical="center" wrapText="1"/>
    </xf>
    <xf numFmtId="3" fontId="7" fillId="5" borderId="37" xfId="0" applyNumberFormat="1" applyFont="1" applyFill="1" applyBorder="1" applyAlignment="1">
      <alignment vertical="center" wrapText="1"/>
    </xf>
    <xf numFmtId="0" fontId="7" fillId="5" borderId="2" xfId="0" applyFont="1" applyFill="1" applyBorder="1" applyAlignment="1">
      <alignment horizontal="center" vertical="center" wrapText="1"/>
    </xf>
    <xf numFmtId="3" fontId="9" fillId="5" borderId="26" xfId="1" applyNumberFormat="1" applyFont="1" applyFill="1" applyBorder="1" applyAlignment="1">
      <alignment vertical="center" wrapText="1"/>
    </xf>
    <xf numFmtId="49" fontId="7" fillId="5" borderId="26" xfId="0" applyNumberFormat="1" applyFont="1" applyFill="1" applyBorder="1" applyAlignment="1">
      <alignment horizontal="center" vertical="center" wrapText="1"/>
    </xf>
    <xf numFmtId="3" fontId="9" fillId="5" borderId="42" xfId="1" applyNumberFormat="1" applyFont="1" applyFill="1" applyBorder="1" applyAlignment="1">
      <alignment vertical="center" wrapText="1"/>
    </xf>
    <xf numFmtId="3" fontId="7" fillId="5" borderId="31" xfId="0" applyNumberFormat="1" applyFont="1" applyFill="1" applyBorder="1" applyAlignment="1">
      <alignment vertical="center" wrapText="1"/>
    </xf>
    <xf numFmtId="3" fontId="9" fillId="5" borderId="32" xfId="1" applyNumberFormat="1" applyFont="1" applyFill="1" applyBorder="1" applyAlignment="1">
      <alignment vertical="center" wrapText="1"/>
    </xf>
    <xf numFmtId="49" fontId="29" fillId="0" borderId="33" xfId="0" applyNumberFormat="1" applyFont="1" applyFill="1" applyBorder="1" applyAlignment="1">
      <alignment horizontal="center" vertical="center" wrapText="1" shrinkToFit="1"/>
    </xf>
    <xf numFmtId="0" fontId="46" fillId="0" borderId="34" xfId="0" applyFont="1" applyFill="1" applyBorder="1" applyAlignment="1">
      <alignment horizontal="center" vertical="center" wrapText="1"/>
    </xf>
    <xf numFmtId="3" fontId="29" fillId="0" borderId="59" xfId="1" applyNumberFormat="1" applyFont="1" applyFill="1" applyBorder="1" applyAlignment="1">
      <alignment vertical="center" wrapText="1"/>
    </xf>
    <xf numFmtId="3" fontId="15" fillId="0" borderId="31" xfId="0" applyNumberFormat="1" applyFont="1" applyFill="1" applyBorder="1" applyAlignment="1">
      <alignment vertical="center" wrapText="1"/>
    </xf>
    <xf numFmtId="3" fontId="15" fillId="0" borderId="34" xfId="0" applyNumberFormat="1" applyFont="1" applyFill="1" applyBorder="1" applyAlignment="1">
      <alignment vertical="center" wrapText="1"/>
    </xf>
    <xf numFmtId="3" fontId="15" fillId="0" borderId="43" xfId="0" applyNumberFormat="1" applyFont="1" applyFill="1" applyBorder="1" applyAlignment="1">
      <alignment vertical="center" wrapText="1"/>
    </xf>
    <xf numFmtId="3" fontId="15" fillId="8" borderId="34" xfId="0" applyNumberFormat="1" applyFont="1" applyFill="1" applyBorder="1" applyAlignment="1">
      <alignment vertical="center" wrapText="1"/>
    </xf>
    <xf numFmtId="49" fontId="15" fillId="0" borderId="26"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0" fontId="15" fillId="0" borderId="32" xfId="1" applyFont="1" applyFill="1" applyBorder="1" applyAlignment="1">
      <alignment horizontal="center" vertical="center" wrapText="1"/>
    </xf>
    <xf numFmtId="0" fontId="46" fillId="0" borderId="31" xfId="0" applyFont="1" applyFill="1" applyBorder="1" applyAlignment="1">
      <alignment horizontal="center" vertical="center" wrapText="1"/>
    </xf>
    <xf numFmtId="3" fontId="15" fillId="8" borderId="31" xfId="0" applyNumberFormat="1" applyFont="1" applyFill="1" applyBorder="1" applyAlignment="1">
      <alignment vertical="center" wrapText="1"/>
    </xf>
    <xf numFmtId="3" fontId="9" fillId="5" borderId="51" xfId="1" applyNumberFormat="1" applyFont="1" applyFill="1" applyBorder="1" applyAlignment="1">
      <alignment vertical="center" wrapText="1"/>
    </xf>
    <xf numFmtId="3" fontId="17" fillId="5" borderId="59" xfId="1" applyNumberFormat="1" applyFont="1" applyFill="1" applyBorder="1" applyAlignment="1">
      <alignment vertical="center" wrapText="1"/>
    </xf>
    <xf numFmtId="3" fontId="16" fillId="5" borderId="34" xfId="0" applyNumberFormat="1" applyFont="1" applyFill="1" applyBorder="1" applyAlignment="1">
      <alignment vertical="center" wrapText="1"/>
    </xf>
    <xf numFmtId="3" fontId="16" fillId="5" borderId="37" xfId="0" applyNumberFormat="1" applyFont="1" applyFill="1" applyBorder="1" applyAlignment="1">
      <alignment vertical="center" wrapText="1"/>
    </xf>
    <xf numFmtId="0" fontId="16" fillId="5" borderId="24"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46" fillId="0" borderId="42" xfId="0" applyFont="1" applyFill="1" applyBorder="1" applyAlignment="1">
      <alignment horizontal="center" vertical="center"/>
    </xf>
    <xf numFmtId="3" fontId="29" fillId="0" borderId="31" xfId="0" applyNumberFormat="1" applyFont="1" applyFill="1" applyBorder="1" applyAlignment="1">
      <alignment vertical="center"/>
    </xf>
    <xf numFmtId="3" fontId="17" fillId="0" borderId="59" xfId="1" applyNumberFormat="1" applyFont="1" applyFill="1" applyBorder="1" applyAlignment="1">
      <alignment vertical="center" wrapText="1"/>
    </xf>
    <xf numFmtId="3" fontId="16" fillId="0" borderId="31" xfId="0" applyNumberFormat="1" applyFont="1" applyFill="1" applyBorder="1" applyAlignment="1">
      <alignment vertical="center"/>
    </xf>
    <xf numFmtId="3" fontId="16" fillId="0" borderId="34" xfId="0" applyNumberFormat="1" applyFont="1" applyFill="1" applyBorder="1" applyAlignment="1">
      <alignment vertical="center"/>
    </xf>
    <xf numFmtId="0" fontId="7" fillId="5" borderId="24" xfId="0" applyFont="1" applyFill="1" applyBorder="1" applyAlignment="1">
      <alignment horizontal="center" vertical="center" wrapText="1"/>
    </xf>
    <xf numFmtId="0" fontId="46" fillId="0" borderId="0" xfId="0" applyFont="1" applyFill="1" applyBorder="1" applyAlignment="1">
      <alignment horizontal="center" vertical="center"/>
    </xf>
    <xf numFmtId="3" fontId="15" fillId="0" borderId="31" xfId="0" applyNumberFormat="1" applyFont="1" applyFill="1" applyBorder="1" applyAlignment="1">
      <alignment vertical="center"/>
    </xf>
    <xf numFmtId="3" fontId="15" fillId="0" borderId="34" xfId="0" applyNumberFormat="1" applyFont="1" applyFill="1" applyBorder="1" applyAlignment="1">
      <alignment vertical="center"/>
    </xf>
    <xf numFmtId="3" fontId="11" fillId="0" borderId="32" xfId="0" applyNumberFormat="1" applyFont="1" applyFill="1" applyBorder="1" applyAlignment="1">
      <alignment vertical="center" wrapText="1"/>
    </xf>
    <xf numFmtId="3" fontId="15" fillId="8" borderId="26" xfId="0" applyNumberFormat="1" applyFont="1" applyFill="1" applyBorder="1" applyAlignment="1">
      <alignment vertical="center" wrapText="1"/>
    </xf>
    <xf numFmtId="0" fontId="7" fillId="5" borderId="26" xfId="1" applyFont="1" applyFill="1" applyBorder="1" applyAlignment="1">
      <alignment horizontal="center" vertical="center" wrapText="1"/>
    </xf>
    <xf numFmtId="3" fontId="9" fillId="5" borderId="37" xfId="1" applyNumberFormat="1" applyFont="1" applyFill="1" applyBorder="1" applyAlignment="1">
      <alignment vertical="center" wrapText="1"/>
    </xf>
    <xf numFmtId="3" fontId="7" fillId="5" borderId="31" xfId="0" applyNumberFormat="1" applyFont="1" applyFill="1" applyBorder="1" applyAlignment="1">
      <alignment vertical="center"/>
    </xf>
    <xf numFmtId="3" fontId="7" fillId="5" borderId="26" xfId="0" applyNumberFormat="1" applyFont="1" applyFill="1" applyBorder="1" applyAlignment="1">
      <alignment vertical="center" wrapText="1"/>
    </xf>
    <xf numFmtId="3" fontId="7" fillId="5" borderId="23" xfId="0" applyNumberFormat="1" applyFont="1" applyFill="1" applyBorder="1" applyAlignment="1">
      <alignment vertical="center" wrapText="1"/>
    </xf>
    <xf numFmtId="3" fontId="9" fillId="5" borderId="27" xfId="1" applyNumberFormat="1" applyFont="1" applyFill="1" applyBorder="1" applyAlignment="1">
      <alignment vertical="center" wrapText="1"/>
    </xf>
    <xf numFmtId="3" fontId="7" fillId="5" borderId="24" xfId="0" applyNumberFormat="1" applyFont="1" applyFill="1" applyBorder="1" applyAlignment="1">
      <alignment vertical="center" wrapText="1"/>
    </xf>
    <xf numFmtId="0" fontId="46" fillId="0" borderId="37" xfId="0" applyFont="1" applyFill="1" applyBorder="1" applyAlignment="1">
      <alignment horizontal="center" vertical="center"/>
    </xf>
    <xf numFmtId="3" fontId="15" fillId="0" borderId="23" xfId="0" applyNumberFormat="1" applyFont="1" applyFill="1" applyBorder="1" applyAlignment="1">
      <alignment vertical="center" wrapText="1"/>
    </xf>
    <xf numFmtId="0" fontId="7" fillId="5" borderId="13" xfId="0" applyFont="1" applyFill="1" applyBorder="1" applyAlignment="1">
      <alignment horizontal="center" vertical="center" wrapText="1"/>
    </xf>
    <xf numFmtId="3" fontId="9" fillId="5" borderId="13" xfId="1" applyNumberFormat="1" applyFont="1" applyFill="1" applyBorder="1" applyAlignment="1">
      <alignment vertical="center" wrapText="1"/>
    </xf>
    <xf numFmtId="3" fontId="9" fillId="5" borderId="62" xfId="1" applyNumberFormat="1" applyFont="1" applyFill="1" applyBorder="1" applyAlignment="1">
      <alignment vertical="center" wrapText="1"/>
    </xf>
    <xf numFmtId="3" fontId="7" fillId="5" borderId="13" xfId="0" applyNumberFormat="1" applyFont="1" applyFill="1" applyBorder="1" applyAlignment="1">
      <alignment vertical="center" wrapText="1"/>
    </xf>
    <xf numFmtId="3" fontId="7" fillId="5" borderId="25" xfId="0" applyNumberFormat="1" applyFont="1" applyFill="1" applyBorder="1" applyAlignment="1">
      <alignment vertical="center"/>
    </xf>
    <xf numFmtId="3" fontId="7" fillId="5" borderId="27" xfId="0" applyNumberFormat="1" applyFont="1" applyFill="1" applyBorder="1" applyAlignment="1">
      <alignment vertical="center" wrapText="1"/>
    </xf>
    <xf numFmtId="3" fontId="13" fillId="0" borderId="30" xfId="0" applyNumberFormat="1" applyFont="1" applyFill="1" applyBorder="1" applyAlignment="1">
      <alignment vertical="center"/>
    </xf>
    <xf numFmtId="3" fontId="13" fillId="8" borderId="37" xfId="1" applyNumberFormat="1" applyFont="1" applyFill="1" applyBorder="1" applyAlignment="1">
      <alignment vertical="center" wrapText="1"/>
    </xf>
    <xf numFmtId="0" fontId="7" fillId="5" borderId="31" xfId="0" applyFont="1" applyFill="1" applyBorder="1" applyAlignment="1">
      <alignment horizontal="center" vertical="center" wrapText="1"/>
    </xf>
    <xf numFmtId="3" fontId="13" fillId="0" borderId="37" xfId="1" applyNumberFormat="1" applyFont="1" applyFill="1" applyBorder="1" applyAlignment="1">
      <alignment vertical="center" wrapText="1"/>
    </xf>
    <xf numFmtId="0" fontId="11" fillId="5" borderId="31" xfId="0" applyFont="1" applyFill="1" applyBorder="1" applyAlignment="1">
      <alignment horizontal="center" vertical="center" wrapText="1"/>
    </xf>
    <xf numFmtId="0" fontId="46" fillId="0" borderId="42" xfId="0" applyFont="1" applyFill="1" applyBorder="1" applyAlignment="1">
      <alignment horizontal="center" vertical="center" wrapText="1"/>
    </xf>
    <xf numFmtId="3" fontId="17" fillId="0" borderId="42" xfId="1" applyNumberFormat="1" applyFont="1" applyFill="1" applyBorder="1" applyAlignment="1">
      <alignment vertical="center" wrapText="1"/>
    </xf>
    <xf numFmtId="3" fontId="16" fillId="0" borderId="36" xfId="0" applyNumberFormat="1" applyFont="1" applyFill="1" applyBorder="1" applyAlignment="1">
      <alignment vertical="center" wrapText="1"/>
    </xf>
    <xf numFmtId="3" fontId="16" fillId="0" borderId="42" xfId="0" applyNumberFormat="1" applyFont="1" applyFill="1" applyBorder="1" applyAlignment="1">
      <alignment vertical="center" wrapText="1"/>
    </xf>
    <xf numFmtId="3" fontId="16" fillId="0" borderId="20" xfId="0" applyNumberFormat="1" applyFont="1" applyFill="1" applyBorder="1" applyAlignment="1">
      <alignment vertical="center" wrapText="1"/>
    </xf>
    <xf numFmtId="3" fontId="15" fillId="8" borderId="37" xfId="1" applyNumberFormat="1" applyFont="1" applyFill="1" applyBorder="1" applyAlignment="1">
      <alignment vertical="center" wrapText="1"/>
    </xf>
    <xf numFmtId="3" fontId="15" fillId="0" borderId="37" xfId="1" applyNumberFormat="1" applyFont="1" applyFill="1" applyBorder="1" applyAlignment="1">
      <alignment vertical="center" wrapText="1"/>
    </xf>
    <xf numFmtId="49" fontId="15" fillId="0" borderId="37" xfId="0" applyNumberFormat="1" applyFont="1" applyFill="1" applyBorder="1" applyAlignment="1">
      <alignment horizontal="center" vertical="center" wrapText="1"/>
    </xf>
    <xf numFmtId="0" fontId="16" fillId="5" borderId="31" xfId="0" applyFont="1" applyFill="1" applyBorder="1" applyAlignment="1">
      <alignment horizontal="center" vertical="center" wrapText="1"/>
    </xf>
    <xf numFmtId="3" fontId="17" fillId="5" borderId="26" xfId="1" applyNumberFormat="1" applyFont="1" applyFill="1" applyBorder="1" applyAlignment="1">
      <alignment vertical="center" wrapText="1"/>
    </xf>
    <xf numFmtId="3" fontId="17" fillId="5" borderId="42" xfId="1" applyNumberFormat="1" applyFont="1" applyFill="1" applyBorder="1" applyAlignment="1">
      <alignment vertical="center" wrapText="1"/>
    </xf>
    <xf numFmtId="3" fontId="16" fillId="5" borderId="31" xfId="0" applyNumberFormat="1" applyFont="1" applyFill="1" applyBorder="1" applyAlignment="1">
      <alignment vertical="center"/>
    </xf>
    <xf numFmtId="3" fontId="16" fillId="5" borderId="26" xfId="0" applyNumberFormat="1" applyFont="1" applyFill="1" applyBorder="1" applyAlignment="1">
      <alignment vertical="center" wrapText="1"/>
    </xf>
    <xf numFmtId="49" fontId="46" fillId="0" borderId="42" xfId="0" applyNumberFormat="1" applyFont="1" applyFill="1" applyBorder="1" applyAlignment="1">
      <alignment horizontal="center" vertical="center" wrapText="1"/>
    </xf>
    <xf numFmtId="3" fontId="15" fillId="0" borderId="20" xfId="1" applyNumberFormat="1" applyFont="1" applyFill="1" applyBorder="1" applyAlignment="1">
      <alignment vertical="center" wrapText="1"/>
    </xf>
    <xf numFmtId="0" fontId="27" fillId="0" borderId="2" xfId="1" applyFont="1" applyFill="1" applyBorder="1" applyAlignment="1">
      <alignment horizontal="center" vertical="center" wrapText="1"/>
    </xf>
    <xf numFmtId="3" fontId="14" fillId="0" borderId="50" xfId="1" applyNumberFormat="1" applyFont="1" applyFill="1" applyBorder="1" applyAlignment="1">
      <alignment vertical="center" wrapText="1"/>
    </xf>
    <xf numFmtId="3" fontId="13" fillId="0" borderId="25" xfId="0" applyNumberFormat="1" applyFont="1" applyFill="1" applyBorder="1" applyAlignment="1">
      <alignment vertical="center"/>
    </xf>
    <xf numFmtId="49" fontId="13" fillId="0" borderId="4" xfId="0" applyNumberFormat="1" applyFont="1" applyFill="1" applyBorder="1" applyAlignment="1">
      <alignment horizontal="center" vertical="center"/>
    </xf>
    <xf numFmtId="3" fontId="7" fillId="5" borderId="23" xfId="0" applyNumberFormat="1" applyFont="1" applyFill="1" applyBorder="1" applyAlignment="1">
      <alignment vertical="center"/>
    </xf>
    <xf numFmtId="0" fontId="7" fillId="5" borderId="26" xfId="0" applyFont="1" applyFill="1" applyBorder="1" applyAlignment="1">
      <alignment horizontal="center" vertical="center"/>
    </xf>
    <xf numFmtId="0" fontId="16" fillId="5" borderId="23" xfId="0" applyFont="1" applyFill="1" applyBorder="1" applyAlignment="1">
      <alignment horizontal="center" vertical="center" wrapText="1"/>
    </xf>
    <xf numFmtId="3" fontId="16" fillId="5" borderId="26" xfId="0" applyNumberFormat="1" applyFont="1" applyFill="1" applyBorder="1" applyAlignment="1">
      <alignment vertical="center"/>
    </xf>
    <xf numFmtId="3" fontId="16" fillId="5" borderId="23" xfId="0" applyNumberFormat="1" applyFont="1" applyFill="1" applyBorder="1" applyAlignment="1">
      <alignment vertical="center" wrapText="1"/>
    </xf>
    <xf numFmtId="3" fontId="15" fillId="0" borderId="25" xfId="0" applyNumberFormat="1" applyFont="1" applyFill="1" applyBorder="1" applyAlignment="1">
      <alignment vertical="center"/>
    </xf>
    <xf numFmtId="3" fontId="15" fillId="0" borderId="27" xfId="0" applyNumberFormat="1" applyFont="1" applyFill="1" applyBorder="1" applyAlignment="1">
      <alignment vertical="center"/>
    </xf>
    <xf numFmtId="3" fontId="15" fillId="0" borderId="20" xfId="0" applyNumberFormat="1" applyFont="1" applyFill="1" applyBorder="1" applyAlignment="1">
      <alignment vertical="center"/>
    </xf>
    <xf numFmtId="3" fontId="15" fillId="0" borderId="32" xfId="0" applyNumberFormat="1" applyFont="1" applyFill="1" applyBorder="1" applyAlignment="1">
      <alignment vertical="center"/>
    </xf>
    <xf numFmtId="3" fontId="15" fillId="8" borderId="37" xfId="0" applyNumberFormat="1" applyFont="1" applyFill="1" applyBorder="1" applyAlignment="1">
      <alignment vertical="center"/>
    </xf>
    <xf numFmtId="3" fontId="15" fillId="0" borderId="24" xfId="0" applyNumberFormat="1" applyFont="1" applyFill="1" applyBorder="1" applyAlignment="1">
      <alignment vertical="center"/>
    </xf>
    <xf numFmtId="3" fontId="15" fillId="0" borderId="26" xfId="0" applyNumberFormat="1" applyFont="1" applyFill="1" applyBorder="1" applyAlignment="1">
      <alignment vertical="center"/>
    </xf>
    <xf numFmtId="0" fontId="15" fillId="0" borderId="26" xfId="0"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xf>
    <xf numFmtId="3" fontId="7" fillId="5" borderId="37" xfId="0" applyNumberFormat="1" applyFont="1" applyFill="1" applyBorder="1" applyAlignment="1">
      <alignment vertical="center"/>
    </xf>
    <xf numFmtId="3" fontId="7" fillId="5" borderId="26" xfId="0" applyNumberFormat="1" applyFont="1" applyFill="1" applyBorder="1" applyAlignment="1">
      <alignment vertical="center"/>
    </xf>
    <xf numFmtId="3" fontId="13" fillId="5" borderId="26" xfId="0" applyNumberFormat="1" applyFont="1" applyFill="1" applyBorder="1" applyAlignment="1">
      <alignment vertical="center"/>
    </xf>
    <xf numFmtId="49" fontId="29" fillId="0" borderId="23" xfId="0" applyNumberFormat="1" applyFont="1" applyFill="1" applyBorder="1" applyAlignment="1">
      <alignment horizontal="center" vertical="center"/>
    </xf>
    <xf numFmtId="0" fontId="15" fillId="0" borderId="37" xfId="1" applyFont="1" applyFill="1" applyBorder="1" applyAlignment="1">
      <alignment horizontal="center" vertical="center"/>
    </xf>
    <xf numFmtId="0" fontId="15" fillId="0" borderId="26" xfId="1" applyFont="1" applyFill="1" applyBorder="1" applyAlignment="1">
      <alignment horizontal="center" vertical="center"/>
    </xf>
    <xf numFmtId="0" fontId="46" fillId="0" borderId="26" xfId="1" applyFont="1" applyFill="1" applyBorder="1" applyAlignment="1">
      <alignment horizontal="center" vertical="center" wrapText="1"/>
    </xf>
    <xf numFmtId="3" fontId="15" fillId="0" borderId="37" xfId="0" applyNumberFormat="1" applyFont="1" applyFill="1" applyBorder="1" applyAlignment="1">
      <alignment vertical="center"/>
    </xf>
    <xf numFmtId="3" fontId="15" fillId="8" borderId="31" xfId="0" applyNumberFormat="1" applyFont="1" applyFill="1" applyBorder="1" applyAlignment="1">
      <alignment vertical="center"/>
    </xf>
    <xf numFmtId="3" fontId="15" fillId="0" borderId="26" xfId="0" applyNumberFormat="1" applyFont="1" applyFill="1" applyBorder="1" applyAlignment="1">
      <alignment horizontal="right" vertical="center"/>
    </xf>
    <xf numFmtId="3" fontId="15" fillId="0" borderId="32" xfId="0" applyNumberFormat="1" applyFont="1" applyFill="1" applyBorder="1" applyAlignment="1">
      <alignment horizontal="right" vertical="center"/>
    </xf>
    <xf numFmtId="49" fontId="15" fillId="0" borderId="42" xfId="0" applyNumberFormat="1" applyFont="1" applyFill="1" applyBorder="1" applyAlignment="1">
      <alignment horizontal="center" vertical="center"/>
    </xf>
    <xf numFmtId="49" fontId="15" fillId="0" borderId="31" xfId="0" applyNumberFormat="1" applyFont="1" applyFill="1" applyBorder="1" applyAlignment="1">
      <alignment horizontal="center" vertical="center"/>
    </xf>
    <xf numFmtId="49" fontId="29" fillId="0" borderId="33" xfId="0" applyNumberFormat="1" applyFont="1" applyFill="1" applyBorder="1" applyAlignment="1">
      <alignment horizontal="center" vertical="center"/>
    </xf>
    <xf numFmtId="0" fontId="15" fillId="0" borderId="33" xfId="0" applyFont="1" applyFill="1" applyBorder="1" applyAlignment="1">
      <alignment horizontal="center" vertical="center"/>
    </xf>
    <xf numFmtId="0" fontId="46" fillId="0" borderId="32" xfId="0" applyFont="1" applyFill="1" applyBorder="1" applyAlignment="1">
      <alignment horizontal="center" vertical="top" wrapText="1"/>
    </xf>
    <xf numFmtId="3" fontId="29" fillId="0" borderId="33" xfId="1" applyNumberFormat="1" applyFont="1" applyFill="1" applyBorder="1" applyAlignment="1">
      <alignment vertical="center"/>
    </xf>
    <xf numFmtId="3" fontId="29" fillId="0" borderId="34" xfId="1" applyNumberFormat="1" applyFont="1" applyFill="1" applyBorder="1" applyAlignment="1">
      <alignment vertical="center"/>
    </xf>
    <xf numFmtId="3" fontId="15" fillId="0" borderId="40" xfId="0" applyNumberFormat="1" applyFont="1" applyFill="1" applyBorder="1" applyAlignment="1">
      <alignment vertical="center"/>
    </xf>
    <xf numFmtId="3" fontId="15" fillId="0" borderId="43" xfId="0" applyNumberFormat="1" applyFont="1" applyFill="1" applyBorder="1" applyAlignment="1">
      <alignment vertical="center"/>
    </xf>
    <xf numFmtId="3" fontId="15" fillId="0" borderId="35" xfId="0" applyNumberFormat="1" applyFont="1" applyFill="1" applyBorder="1" applyAlignment="1">
      <alignment vertical="center"/>
    </xf>
    <xf numFmtId="3" fontId="15" fillId="8" borderId="34" xfId="0" applyNumberFormat="1" applyFont="1" applyFill="1" applyBorder="1" applyAlignment="1">
      <alignment vertical="center"/>
    </xf>
    <xf numFmtId="3" fontId="15" fillId="0" borderId="33" xfId="0" applyNumberFormat="1" applyFont="1" applyFill="1" applyBorder="1" applyAlignment="1">
      <alignment vertical="center"/>
    </xf>
    <xf numFmtId="3" fontId="15" fillId="0" borderId="33" xfId="0" applyNumberFormat="1" applyFont="1" applyFill="1" applyBorder="1" applyAlignment="1">
      <alignment horizontal="right" vertical="center"/>
    </xf>
    <xf numFmtId="49" fontId="14" fillId="0" borderId="33" xfId="0" applyNumberFormat="1" applyFont="1" applyFill="1" applyBorder="1" applyAlignment="1">
      <alignment horizontal="center" vertical="center"/>
    </xf>
    <xf numFmtId="0" fontId="13" fillId="0" borderId="40" xfId="1" applyFont="1" applyFill="1" applyBorder="1" applyAlignment="1">
      <alignment horizontal="center" vertical="center"/>
    </xf>
    <xf numFmtId="0" fontId="13" fillId="0" borderId="33" xfId="1" applyFont="1" applyFill="1" applyBorder="1" applyAlignment="1">
      <alignment horizontal="center" vertical="center"/>
    </xf>
    <xf numFmtId="0" fontId="27" fillId="0" borderId="35" xfId="0" applyFont="1" applyFill="1" applyBorder="1" applyAlignment="1">
      <alignment horizontal="center" wrapText="1"/>
    </xf>
    <xf numFmtId="3" fontId="14" fillId="0" borderId="33" xfId="1" applyNumberFormat="1" applyFont="1" applyFill="1" applyBorder="1" applyAlignment="1">
      <alignment vertical="center"/>
    </xf>
    <xf numFmtId="3" fontId="13" fillId="8" borderId="15" xfId="0" applyNumberFormat="1" applyFont="1" applyFill="1" applyBorder="1" applyAlignment="1">
      <alignment vertical="center"/>
    </xf>
    <xf numFmtId="3" fontId="13" fillId="0" borderId="13" xfId="0" applyNumberFormat="1" applyFont="1" applyFill="1" applyBorder="1" applyAlignment="1">
      <alignment horizontal="right" vertical="center"/>
    </xf>
    <xf numFmtId="3" fontId="13" fillId="0" borderId="13" xfId="0" applyNumberFormat="1" applyFont="1" applyFill="1" applyBorder="1" applyAlignment="1">
      <alignment horizontal="center" vertical="center" wrapText="1"/>
    </xf>
    <xf numFmtId="49" fontId="13" fillId="0" borderId="62" xfId="0" applyNumberFormat="1" applyFont="1" applyFill="1" applyBorder="1" applyAlignment="1">
      <alignment horizontal="center" vertical="center"/>
    </xf>
    <xf numFmtId="49" fontId="29"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5" fillId="0" borderId="8" xfId="1" applyFont="1" applyFill="1" applyBorder="1" applyAlignment="1">
      <alignment horizontal="center" vertical="center"/>
    </xf>
    <xf numFmtId="0" fontId="15" fillId="0" borderId="2" xfId="1" applyFont="1" applyFill="1" applyBorder="1" applyAlignment="1">
      <alignment horizontal="center" vertical="center"/>
    </xf>
    <xf numFmtId="0" fontId="46" fillId="0" borderId="2" xfId="0" applyFont="1" applyFill="1" applyBorder="1" applyAlignment="1">
      <alignment horizontal="center" wrapText="1"/>
    </xf>
    <xf numFmtId="3" fontId="29" fillId="0" borderId="2" xfId="1" applyNumberFormat="1" applyFont="1" applyFill="1" applyBorder="1" applyAlignment="1">
      <alignment vertical="center"/>
    </xf>
    <xf numFmtId="3" fontId="29" fillId="0" borderId="25" xfId="1" applyNumberFormat="1" applyFont="1" applyFill="1" applyBorder="1" applyAlignment="1">
      <alignment vertical="center"/>
    </xf>
    <xf numFmtId="3" fontId="29" fillId="0" borderId="51" xfId="1" applyNumberFormat="1" applyFont="1" applyFill="1" applyBorder="1" applyAlignment="1">
      <alignment vertical="center" wrapText="1"/>
    </xf>
    <xf numFmtId="3" fontId="15" fillId="0" borderId="21" xfId="0" applyNumberFormat="1" applyFont="1" applyFill="1" applyBorder="1" applyAlignment="1">
      <alignment vertical="center"/>
    </xf>
    <xf numFmtId="3" fontId="15" fillId="8" borderId="4" xfId="0" applyNumberFormat="1" applyFont="1" applyFill="1" applyBorder="1" applyAlignment="1">
      <alignment vertical="center"/>
    </xf>
    <xf numFmtId="3" fontId="15" fillId="0" borderId="9" xfId="0" applyNumberFormat="1" applyFont="1" applyFill="1" applyBorder="1" applyAlignment="1">
      <alignment vertical="center"/>
    </xf>
    <xf numFmtId="3" fontId="15" fillId="0" borderId="2" xfId="0" applyNumberFormat="1" applyFont="1" applyFill="1" applyBorder="1" applyAlignment="1">
      <alignment horizontal="right" vertical="center"/>
    </xf>
    <xf numFmtId="49" fontId="15" fillId="0" borderId="2" xfId="0" applyNumberFormat="1" applyFont="1" applyFill="1" applyBorder="1" applyAlignment="1">
      <alignment horizontal="center" vertical="center"/>
    </xf>
    <xf numFmtId="49" fontId="15" fillId="0" borderId="4"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xf numFmtId="0" fontId="46" fillId="0" borderId="26" xfId="0" applyFont="1" applyFill="1" applyBorder="1" applyAlignment="1">
      <alignment horizontal="center" wrapText="1"/>
    </xf>
    <xf numFmtId="3" fontId="14" fillId="0" borderId="2" xfId="1" applyNumberFormat="1" applyFont="1" applyFill="1" applyBorder="1" applyAlignment="1">
      <alignment vertical="center" wrapText="1"/>
    </xf>
    <xf numFmtId="3" fontId="7" fillId="11" borderId="23" xfId="0" applyNumberFormat="1" applyFont="1" applyFill="1" applyBorder="1" applyAlignment="1">
      <alignment vertical="center"/>
    </xf>
    <xf numFmtId="3" fontId="7" fillId="11" borderId="27" xfId="0" applyNumberFormat="1" applyFont="1" applyFill="1" applyBorder="1" applyAlignment="1">
      <alignment vertical="center"/>
    </xf>
    <xf numFmtId="3" fontId="9" fillId="5" borderId="78" xfId="1" applyNumberFormat="1" applyFont="1" applyFill="1" applyBorder="1" applyAlignment="1">
      <alignment vertical="center" wrapText="1"/>
    </xf>
    <xf numFmtId="3" fontId="7" fillId="5" borderId="30" xfId="0" applyNumberFormat="1" applyFont="1" applyFill="1" applyBorder="1" applyAlignment="1">
      <alignment vertical="center"/>
    </xf>
    <xf numFmtId="3" fontId="9" fillId="5" borderId="1" xfId="1" applyNumberFormat="1" applyFont="1" applyFill="1" applyBorder="1" applyAlignment="1">
      <alignment vertical="center" wrapText="1"/>
    </xf>
    <xf numFmtId="3" fontId="7" fillId="5" borderId="14" xfId="0" applyNumberFormat="1" applyFont="1" applyFill="1" applyBorder="1" applyAlignment="1">
      <alignment vertical="center"/>
    </xf>
    <xf numFmtId="0" fontId="7" fillId="11" borderId="14" xfId="0" applyFont="1" applyFill="1" applyBorder="1" applyAlignment="1">
      <alignment horizontal="center" vertical="center" wrapText="1"/>
    </xf>
    <xf numFmtId="1" fontId="15" fillId="8" borderId="0" xfId="0" applyNumberFormat="1" applyFont="1" applyFill="1" applyBorder="1" applyAlignment="1">
      <alignment horizontal="center" vertical="center"/>
    </xf>
    <xf numFmtId="1" fontId="13" fillId="8" borderId="1" xfId="0" applyNumberFormat="1" applyFont="1" applyFill="1" applyBorder="1" applyAlignment="1">
      <alignment horizontal="center" vertical="center"/>
    </xf>
    <xf numFmtId="49" fontId="32" fillId="5" borderId="23" xfId="0" applyNumberFormat="1" applyFont="1" applyFill="1" applyBorder="1" applyAlignment="1">
      <alignment horizontal="center" vertical="center"/>
    </xf>
    <xf numFmtId="0" fontId="30" fillId="5" borderId="26" xfId="0" applyFont="1" applyFill="1" applyBorder="1" applyAlignment="1">
      <alignment horizontal="center" vertical="center"/>
    </xf>
    <xf numFmtId="0" fontId="30" fillId="5" borderId="26" xfId="0" applyFont="1" applyFill="1" applyBorder="1" applyAlignment="1">
      <alignment horizontal="center" vertical="center" wrapText="1"/>
    </xf>
    <xf numFmtId="0" fontId="30" fillId="5" borderId="37" xfId="1" applyFont="1" applyFill="1" applyBorder="1" applyAlignment="1">
      <alignment horizontal="center" vertical="center"/>
    </xf>
    <xf numFmtId="0" fontId="30" fillId="5" borderId="26" xfId="1" applyFont="1" applyFill="1" applyBorder="1" applyAlignment="1">
      <alignment horizontal="center" vertical="center"/>
    </xf>
    <xf numFmtId="0" fontId="48" fillId="5" borderId="26" xfId="1" applyFont="1" applyFill="1" applyBorder="1" applyAlignment="1">
      <alignment horizontal="center" vertical="center" wrapText="1"/>
    </xf>
    <xf numFmtId="3" fontId="32" fillId="5" borderId="26" xfId="1" applyNumberFormat="1" applyFont="1" applyFill="1" applyBorder="1" applyAlignment="1">
      <alignment vertical="center"/>
    </xf>
    <xf numFmtId="3" fontId="32" fillId="5" borderId="42" xfId="1" applyNumberFormat="1" applyFont="1" applyFill="1" applyBorder="1" applyAlignment="1">
      <alignment vertical="center" wrapText="1"/>
    </xf>
    <xf numFmtId="3" fontId="30" fillId="5" borderId="31" xfId="0" applyNumberFormat="1" applyFont="1" applyFill="1" applyBorder="1" applyAlignment="1">
      <alignment vertical="center"/>
    </xf>
    <xf numFmtId="3" fontId="30" fillId="5" borderId="25" xfId="0" applyNumberFormat="1" applyFont="1" applyFill="1" applyBorder="1" applyAlignment="1">
      <alignment vertical="center"/>
    </xf>
    <xf numFmtId="3" fontId="14" fillId="5" borderId="26" xfId="1" applyNumberFormat="1" applyFont="1" applyFill="1" applyBorder="1" applyAlignment="1">
      <alignment vertical="center" wrapText="1"/>
    </xf>
    <xf numFmtId="3" fontId="30" fillId="5" borderId="37" xfId="0" applyNumberFormat="1" applyFont="1" applyFill="1" applyBorder="1" applyAlignment="1">
      <alignment vertical="center"/>
    </xf>
    <xf numFmtId="3" fontId="30" fillId="5" borderId="20" xfId="0" applyNumberFormat="1" applyFont="1" applyFill="1" applyBorder="1" applyAlignment="1">
      <alignment vertical="center"/>
    </xf>
    <xf numFmtId="3" fontId="30" fillId="5" borderId="26" xfId="0" applyNumberFormat="1" applyFont="1" applyFill="1" applyBorder="1" applyAlignment="1">
      <alignment vertical="center"/>
    </xf>
    <xf numFmtId="3" fontId="30" fillId="5" borderId="23" xfId="0" applyNumberFormat="1" applyFont="1" applyFill="1" applyBorder="1" applyAlignment="1">
      <alignment vertical="center" wrapText="1"/>
    </xf>
    <xf numFmtId="3" fontId="30" fillId="5" borderId="32" xfId="0" applyNumberFormat="1" applyFont="1" applyFill="1" applyBorder="1" applyAlignment="1">
      <alignment vertical="center"/>
    </xf>
    <xf numFmtId="3" fontId="30" fillId="5" borderId="26" xfId="0" applyNumberFormat="1" applyFont="1" applyFill="1" applyBorder="1" applyAlignment="1">
      <alignment horizontal="right" vertical="center"/>
    </xf>
    <xf numFmtId="3" fontId="30" fillId="5" borderId="32" xfId="0" applyNumberFormat="1" applyFont="1" applyFill="1" applyBorder="1" applyAlignment="1">
      <alignment horizontal="right" vertical="center"/>
    </xf>
    <xf numFmtId="49" fontId="30" fillId="5" borderId="42" xfId="0" applyNumberFormat="1" applyFont="1" applyFill="1" applyBorder="1" applyAlignment="1">
      <alignment horizontal="center" vertical="center"/>
    </xf>
    <xf numFmtId="49" fontId="30" fillId="5" borderId="26" xfId="0" applyNumberFormat="1" applyFont="1" applyFill="1" applyBorder="1" applyAlignment="1">
      <alignment horizontal="center" vertical="center"/>
    </xf>
    <xf numFmtId="0" fontId="15" fillId="0" borderId="23" xfId="1" applyFont="1" applyFill="1" applyBorder="1" applyAlignment="1">
      <alignment horizontal="center" vertical="center"/>
    </xf>
    <xf numFmtId="0" fontId="15" fillId="0" borderId="27" xfId="1" applyFont="1" applyFill="1" applyBorder="1" applyAlignment="1">
      <alignment horizontal="center" vertical="center"/>
    </xf>
    <xf numFmtId="0" fontId="46" fillId="0" borderId="23" xfId="0" applyFont="1" applyFill="1" applyBorder="1" applyAlignment="1">
      <alignment horizontal="center" vertical="center" wrapText="1"/>
    </xf>
    <xf numFmtId="3" fontId="29" fillId="0" borderId="23" xfId="1" applyNumberFormat="1" applyFont="1" applyFill="1" applyBorder="1" applyAlignment="1">
      <alignment vertical="center"/>
    </xf>
    <xf numFmtId="3" fontId="17" fillId="0" borderId="27" xfId="1" applyNumberFormat="1" applyFont="1" applyFill="1" applyBorder="1" applyAlignment="1">
      <alignment vertical="center" wrapText="1"/>
    </xf>
    <xf numFmtId="3" fontId="15" fillId="8" borderId="25" xfId="0" applyNumberFormat="1" applyFont="1" applyFill="1" applyBorder="1" applyAlignment="1">
      <alignment vertical="center"/>
    </xf>
    <xf numFmtId="3" fontId="15" fillId="0" borderId="23" xfId="0" applyNumberFormat="1" applyFont="1" applyFill="1" applyBorder="1" applyAlignment="1">
      <alignment horizontal="right" vertical="center"/>
    </xf>
    <xf numFmtId="3" fontId="17" fillId="0" borderId="51" xfId="1" applyNumberFormat="1" applyFont="1" applyFill="1" applyBorder="1" applyAlignment="1">
      <alignment vertical="center" wrapText="1"/>
    </xf>
    <xf numFmtId="0" fontId="15" fillId="0" borderId="37" xfId="1" applyFont="1" applyFill="1" applyBorder="1" applyAlignment="1">
      <alignment horizontal="center" vertical="center" wrapText="1"/>
    </xf>
    <xf numFmtId="3" fontId="16" fillId="0" borderId="36" xfId="0" applyNumberFormat="1" applyFont="1" applyFill="1" applyBorder="1" applyAlignment="1">
      <alignment vertical="center"/>
    </xf>
    <xf numFmtId="0" fontId="46" fillId="0" borderId="26" xfId="0" applyFont="1" applyFill="1" applyBorder="1" applyAlignment="1">
      <alignment horizontal="center" vertical="center" wrapText="1"/>
    </xf>
    <xf numFmtId="3" fontId="7" fillId="5" borderId="2" xfId="0" applyNumberFormat="1" applyFont="1" applyFill="1" applyBorder="1" applyAlignment="1">
      <alignment vertical="center" wrapText="1"/>
    </xf>
    <xf numFmtId="3" fontId="9" fillId="5" borderId="26" xfId="0" applyNumberFormat="1" applyFont="1" applyFill="1" applyBorder="1" applyAlignment="1">
      <alignment vertical="center" wrapText="1"/>
    </xf>
    <xf numFmtId="0" fontId="7" fillId="5" borderId="35" xfId="0" applyFont="1" applyFill="1" applyBorder="1" applyAlignment="1">
      <alignment horizontal="center" vertical="center" wrapText="1"/>
    </xf>
    <xf numFmtId="3" fontId="15" fillId="0" borderId="27" xfId="0" applyNumberFormat="1" applyFont="1" applyFill="1" applyBorder="1" applyAlignment="1">
      <alignment vertical="center" wrapText="1"/>
    </xf>
    <xf numFmtId="3" fontId="29" fillId="0" borderId="27" xfId="1" applyNumberFormat="1" applyFont="1" applyFill="1" applyBorder="1" applyAlignment="1">
      <alignment vertical="center" wrapText="1"/>
    </xf>
    <xf numFmtId="3" fontId="7" fillId="5" borderId="1" xfId="0" applyNumberFormat="1" applyFont="1" applyFill="1" applyBorder="1" applyAlignment="1">
      <alignment vertical="center" wrapText="1"/>
    </xf>
    <xf numFmtId="0" fontId="13" fillId="0" borderId="24" xfId="1" applyFont="1" applyFill="1" applyBorder="1" applyAlignment="1">
      <alignment horizontal="center" vertical="center" wrapText="1"/>
    </xf>
    <xf numFmtId="3" fontId="13" fillId="8" borderId="27" xfId="0" applyNumberFormat="1" applyFont="1" applyFill="1" applyBorder="1" applyAlignment="1">
      <alignment horizontal="right" vertical="center" wrapText="1"/>
    </xf>
    <xf numFmtId="3" fontId="13" fillId="0" borderId="24" xfId="0" applyNumberFormat="1" applyFont="1" applyFill="1" applyBorder="1" applyAlignment="1">
      <alignment horizontal="right" vertical="center" wrapText="1"/>
    </xf>
    <xf numFmtId="0" fontId="13" fillId="0" borderId="23" xfId="0" applyNumberFormat="1" applyFont="1" applyFill="1" applyBorder="1" applyAlignment="1">
      <alignment horizontal="center" vertical="center" wrapText="1"/>
    </xf>
    <xf numFmtId="3" fontId="17" fillId="5" borderId="51" xfId="1" applyNumberFormat="1" applyFont="1" applyFill="1" applyBorder="1" applyAlignment="1">
      <alignment vertical="center" wrapText="1"/>
    </xf>
    <xf numFmtId="3" fontId="16" fillId="5" borderId="27" xfId="0" applyNumberFormat="1" applyFont="1" applyFill="1" applyBorder="1" applyAlignment="1">
      <alignment vertical="center" wrapText="1"/>
    </xf>
    <xf numFmtId="0" fontId="7" fillId="5" borderId="45" xfId="0" applyFont="1" applyFill="1" applyBorder="1" applyAlignment="1">
      <alignment horizontal="center" vertical="center" wrapText="1"/>
    </xf>
    <xf numFmtId="3" fontId="9" fillId="0" borderId="23" xfId="0" applyNumberFormat="1" applyFont="1" applyFill="1" applyBorder="1" applyAlignment="1">
      <alignment vertical="center" wrapText="1"/>
    </xf>
    <xf numFmtId="3" fontId="11" fillId="5" borderId="32" xfId="0" applyNumberFormat="1" applyFont="1" applyFill="1" applyBorder="1" applyAlignment="1">
      <alignment vertical="center" wrapText="1"/>
    </xf>
    <xf numFmtId="3" fontId="15" fillId="5" borderId="23" xfId="0" applyNumberFormat="1" applyFont="1" applyFill="1" applyBorder="1" applyAlignment="1">
      <alignment vertical="center" wrapText="1"/>
    </xf>
    <xf numFmtId="3" fontId="13" fillId="0" borderId="37" xfId="0" applyNumberFormat="1" applyFont="1" applyFill="1" applyBorder="1" applyAlignment="1">
      <alignment horizontal="center" vertical="center" wrapText="1"/>
    </xf>
    <xf numFmtId="3" fontId="13" fillId="0" borderId="42" xfId="0" applyNumberFormat="1" applyFont="1" applyFill="1" applyBorder="1" applyAlignment="1">
      <alignment horizontal="center" vertical="center" wrapText="1"/>
    </xf>
    <xf numFmtId="49" fontId="29" fillId="0" borderId="31" xfId="0" applyNumberFormat="1" applyFont="1" applyFill="1" applyBorder="1" applyAlignment="1">
      <alignment horizontal="center" vertical="center" wrapText="1" shrinkToFit="1"/>
    </xf>
    <xf numFmtId="0" fontId="46" fillId="0" borderId="31" xfId="1" applyFont="1" applyFill="1" applyBorder="1" applyAlignment="1">
      <alignment horizontal="center" vertical="center" wrapText="1"/>
    </xf>
    <xf numFmtId="3" fontId="29" fillId="0" borderId="26" xfId="0" applyNumberFormat="1" applyFont="1" applyFill="1" applyBorder="1" applyAlignment="1">
      <alignment vertical="center" wrapText="1"/>
    </xf>
    <xf numFmtId="3" fontId="14" fillId="0" borderId="23" xfId="0" applyNumberFormat="1" applyFont="1" applyFill="1" applyBorder="1" applyAlignment="1">
      <alignment vertical="center" wrapText="1"/>
    </xf>
    <xf numFmtId="4" fontId="13" fillId="0" borderId="19" xfId="0" applyNumberFormat="1" applyFont="1" applyFill="1" applyBorder="1" applyAlignment="1">
      <alignment horizontal="center" vertical="center" wrapText="1"/>
    </xf>
    <xf numFmtId="4" fontId="13" fillId="11" borderId="19" xfId="0" applyNumberFormat="1" applyFont="1" applyFill="1" applyBorder="1" applyAlignment="1">
      <alignment horizontal="center" vertical="center" wrapText="1"/>
    </xf>
    <xf numFmtId="4" fontId="13" fillId="11" borderId="37" xfId="0" applyNumberFormat="1" applyFont="1" applyFill="1" applyBorder="1" applyAlignment="1">
      <alignment horizontal="center" vertical="center" wrapText="1"/>
    </xf>
    <xf numFmtId="0" fontId="13" fillId="0" borderId="14" xfId="0" applyFont="1" applyFill="1" applyBorder="1"/>
    <xf numFmtId="0" fontId="51" fillId="0" borderId="1" xfId="0" applyFont="1" applyBorder="1"/>
    <xf numFmtId="0" fontId="51" fillId="0" borderId="0" xfId="0" applyFont="1"/>
    <xf numFmtId="3" fontId="30" fillId="0" borderId="32" xfId="0" applyNumberFormat="1" applyFont="1" applyFill="1" applyBorder="1" applyAlignment="1">
      <alignment vertical="center" wrapText="1"/>
    </xf>
    <xf numFmtId="3" fontId="11" fillId="0" borderId="45" xfId="0" applyNumberFormat="1" applyFont="1" applyFill="1" applyBorder="1" applyAlignment="1">
      <alignment vertical="center" wrapText="1"/>
    </xf>
    <xf numFmtId="0" fontId="30" fillId="0" borderId="31" xfId="0" applyFont="1" applyFill="1" applyBorder="1" applyAlignment="1">
      <alignment horizontal="center" vertical="center" wrapText="1"/>
    </xf>
    <xf numFmtId="3" fontId="30" fillId="0" borderId="45" xfId="0" applyNumberFormat="1" applyFont="1" applyFill="1" applyBorder="1" applyAlignment="1">
      <alignment vertical="center" wrapText="1"/>
    </xf>
    <xf numFmtId="0" fontId="13" fillId="0" borderId="62" xfId="0"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49" fontId="29" fillId="0" borderId="25" xfId="0" applyNumberFormat="1" applyFont="1" applyFill="1" applyBorder="1" applyAlignment="1">
      <alignment horizontal="center" vertical="center" wrapText="1" shrinkToFit="1"/>
    </xf>
    <xf numFmtId="0" fontId="15" fillId="0" borderId="24"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46" fillId="0" borderId="25" xfId="1" applyFont="1" applyFill="1" applyBorder="1" applyAlignment="1">
      <alignment horizontal="center" vertical="center" wrapText="1"/>
    </xf>
    <xf numFmtId="3" fontId="15" fillId="0" borderId="24" xfId="0" applyNumberFormat="1" applyFont="1" applyFill="1" applyBorder="1" applyAlignment="1">
      <alignment vertical="center" wrapText="1"/>
    </xf>
    <xf numFmtId="3" fontId="15" fillId="0" borderId="21" xfId="0" applyNumberFormat="1" applyFont="1" applyFill="1" applyBorder="1" applyAlignment="1">
      <alignment vertical="center" wrapText="1"/>
    </xf>
    <xf numFmtId="3" fontId="15" fillId="8" borderId="27" xfId="0" applyNumberFormat="1" applyFont="1" applyFill="1" applyBorder="1" applyAlignment="1">
      <alignment vertical="center" wrapText="1"/>
    </xf>
    <xf numFmtId="3" fontId="29" fillId="0" borderId="23" xfId="0" applyNumberFormat="1" applyFont="1" applyFill="1" applyBorder="1" applyAlignment="1">
      <alignment vertical="center" wrapText="1"/>
    </xf>
    <xf numFmtId="3" fontId="30" fillId="0" borderId="13" xfId="0" applyNumberFormat="1" applyFont="1" applyFill="1" applyBorder="1" applyAlignment="1">
      <alignment vertical="center" wrapText="1"/>
    </xf>
    <xf numFmtId="4" fontId="14" fillId="0" borderId="19" xfId="0" applyNumberFormat="1" applyFont="1" applyFill="1" applyBorder="1" applyAlignment="1">
      <alignment horizontal="center" vertical="center" wrapText="1"/>
    </xf>
    <xf numFmtId="3" fontId="30" fillId="0" borderId="26" xfId="0" applyNumberFormat="1" applyFont="1" applyFill="1" applyBorder="1" applyAlignment="1">
      <alignment vertical="center" wrapText="1"/>
    </xf>
    <xf numFmtId="4" fontId="15" fillId="0" borderId="26"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shrinkToFit="1"/>
    </xf>
    <xf numFmtId="3" fontId="30" fillId="0" borderId="24" xfId="0" applyNumberFormat="1" applyFont="1" applyFill="1" applyBorder="1" applyAlignment="1">
      <alignment vertical="center" wrapText="1"/>
    </xf>
    <xf numFmtId="4" fontId="7" fillId="0" borderId="42" xfId="0" applyNumberFormat="1" applyFont="1" applyFill="1" applyBorder="1" applyAlignment="1">
      <alignment horizontal="center" vertical="center" wrapText="1"/>
    </xf>
    <xf numFmtId="4" fontId="15" fillId="0" borderId="42" xfId="0" applyNumberFormat="1" applyFont="1" applyFill="1" applyBorder="1" applyAlignment="1">
      <alignment horizontal="center" vertical="center" wrapText="1"/>
    </xf>
    <xf numFmtId="3" fontId="15" fillId="0" borderId="42" xfId="0" applyNumberFormat="1" applyFont="1" applyFill="1" applyBorder="1" applyAlignment="1">
      <alignment horizontal="center" vertical="center" wrapText="1"/>
    </xf>
    <xf numFmtId="49" fontId="29" fillId="0" borderId="22" xfId="0" applyNumberFormat="1" applyFont="1" applyFill="1" applyBorder="1" applyAlignment="1">
      <alignment horizontal="center" vertical="center" wrapText="1"/>
    </xf>
    <xf numFmtId="49" fontId="29" fillId="0" borderId="23" xfId="0" applyNumberFormat="1" applyFont="1" applyFill="1" applyBorder="1" applyAlignment="1">
      <alignment horizontal="center" vertical="center" wrapText="1" shrinkToFit="1"/>
    </xf>
    <xf numFmtId="0" fontId="46" fillId="0" borderId="23" xfId="4" applyFont="1" applyFill="1" applyBorder="1" applyAlignment="1">
      <alignment horizontal="center" vertical="top" wrapText="1"/>
    </xf>
    <xf numFmtId="3" fontId="15" fillId="8" borderId="27" xfId="0" applyNumberFormat="1" applyFont="1" applyFill="1" applyBorder="1" applyAlignment="1">
      <alignment horizontal="right" vertical="center" wrapText="1"/>
    </xf>
    <xf numFmtId="3" fontId="15" fillId="0" borderId="24" xfId="0" applyNumberFormat="1" applyFont="1" applyFill="1" applyBorder="1" applyAlignment="1">
      <alignment horizontal="right" vertical="center" wrapText="1"/>
    </xf>
    <xf numFmtId="49" fontId="15" fillId="0" borderId="25"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27" fillId="0" borderId="25" xfId="0" applyFont="1" applyFill="1" applyBorder="1" applyAlignment="1">
      <alignment horizontal="center" vertical="center" wrapText="1"/>
    </xf>
    <xf numFmtId="3" fontId="13" fillId="8" borderId="25" xfId="0" applyNumberFormat="1" applyFont="1" applyFill="1" applyBorder="1" applyAlignment="1">
      <alignment vertical="center" wrapText="1"/>
    </xf>
    <xf numFmtId="49" fontId="13" fillId="0" borderId="25" xfId="0" applyNumberFormat="1" applyFont="1" applyFill="1" applyBorder="1" applyAlignment="1">
      <alignment horizontal="center" vertical="center" wrapText="1"/>
    </xf>
    <xf numFmtId="3" fontId="14" fillId="17" borderId="42" xfId="1" applyNumberFormat="1" applyFont="1" applyFill="1" applyBorder="1" applyAlignment="1">
      <alignment vertical="center" wrapText="1"/>
    </xf>
    <xf numFmtId="3" fontId="13" fillId="17" borderId="26" xfId="0" applyNumberFormat="1" applyFont="1" applyFill="1" applyBorder="1" applyAlignment="1">
      <alignment vertical="center" wrapText="1"/>
    </xf>
    <xf numFmtId="3" fontId="13" fillId="17" borderId="37" xfId="0" applyNumberFormat="1" applyFont="1" applyFill="1" applyBorder="1" applyAlignment="1">
      <alignment vertical="center" wrapText="1"/>
    </xf>
    <xf numFmtId="3" fontId="13" fillId="17" borderId="32" xfId="0" applyNumberFormat="1" applyFont="1" applyFill="1" applyBorder="1" applyAlignment="1">
      <alignment vertical="center" wrapText="1"/>
    </xf>
    <xf numFmtId="3" fontId="13" fillId="17" borderId="26" xfId="0" applyNumberFormat="1" applyFont="1" applyFill="1" applyBorder="1" applyAlignment="1">
      <alignment vertical="center"/>
    </xf>
    <xf numFmtId="49" fontId="13" fillId="17" borderId="26" xfId="0" applyNumberFormat="1" applyFont="1" applyFill="1" applyBorder="1" applyAlignment="1">
      <alignment horizontal="center" vertical="center" wrapText="1"/>
    </xf>
    <xf numFmtId="49" fontId="29" fillId="17" borderId="23" xfId="0" applyNumberFormat="1" applyFont="1" applyFill="1" applyBorder="1" applyAlignment="1">
      <alignment horizontal="center" vertical="center" wrapText="1"/>
    </xf>
    <xf numFmtId="3" fontId="29" fillId="0" borderId="42" xfId="1" applyNumberFormat="1" applyFont="1" applyBorder="1" applyAlignment="1">
      <alignment vertical="center" wrapText="1"/>
    </xf>
    <xf numFmtId="3" fontId="15" fillId="0" borderId="37" xfId="0" applyNumberFormat="1" applyFont="1" applyBorder="1" applyAlignment="1">
      <alignment vertical="center" wrapText="1"/>
    </xf>
    <xf numFmtId="3" fontId="15" fillId="0" borderId="36" xfId="0" applyNumberFormat="1" applyFont="1" applyFill="1" applyBorder="1" applyAlignment="1">
      <alignment vertical="center"/>
    </xf>
    <xf numFmtId="49" fontId="29" fillId="5" borderId="23" xfId="0" applyNumberFormat="1" applyFont="1" applyFill="1" applyBorder="1" applyAlignment="1">
      <alignment horizontal="center" vertical="center" wrapText="1"/>
    </xf>
    <xf numFmtId="49" fontId="29" fillId="5" borderId="26" xfId="0" applyNumberFormat="1" applyFont="1" applyFill="1" applyBorder="1" applyAlignment="1">
      <alignment horizontal="center" vertical="center" wrapText="1" shrinkToFit="1"/>
    </xf>
    <xf numFmtId="0" fontId="15" fillId="5" borderId="26" xfId="0" applyFont="1" applyFill="1" applyBorder="1" applyAlignment="1">
      <alignment horizontal="center" vertical="center" wrapText="1"/>
    </xf>
    <xf numFmtId="0" fontId="15" fillId="5" borderId="26" xfId="1" applyFont="1" applyFill="1" applyBorder="1" applyAlignment="1">
      <alignment horizontal="center" vertical="center" wrapText="1"/>
    </xf>
    <xf numFmtId="0" fontId="15" fillId="5" borderId="32" xfId="1" applyFont="1" applyFill="1" applyBorder="1" applyAlignment="1">
      <alignment horizontal="center" vertical="center" wrapText="1"/>
    </xf>
    <xf numFmtId="0" fontId="46" fillId="5" borderId="31" xfId="0" applyFont="1" applyFill="1" applyBorder="1" applyAlignment="1">
      <alignment horizontal="center" vertical="center" wrapText="1"/>
    </xf>
    <xf numFmtId="3" fontId="29" fillId="5" borderId="26" xfId="1" applyNumberFormat="1" applyFont="1" applyFill="1" applyBorder="1" applyAlignment="1">
      <alignment vertical="center" wrapText="1"/>
    </xf>
    <xf numFmtId="3" fontId="29" fillId="5" borderId="42" xfId="1" applyNumberFormat="1" applyFont="1" applyFill="1" applyBorder="1" applyAlignment="1">
      <alignment vertical="center" wrapText="1"/>
    </xf>
    <xf numFmtId="3" fontId="15" fillId="5" borderId="27" xfId="0" applyNumberFormat="1" applyFont="1" applyFill="1" applyBorder="1" applyAlignment="1">
      <alignment vertical="center" wrapText="1"/>
    </xf>
    <xf numFmtId="3" fontId="29" fillId="5" borderId="27" xfId="1" applyNumberFormat="1" applyFont="1" applyFill="1" applyBorder="1" applyAlignment="1">
      <alignment vertical="center" wrapText="1"/>
    </xf>
    <xf numFmtId="3" fontId="15" fillId="5" borderId="37" xfId="0" applyNumberFormat="1" applyFont="1" applyFill="1" applyBorder="1" applyAlignment="1">
      <alignment vertical="center"/>
    </xf>
    <xf numFmtId="3" fontId="15" fillId="5" borderId="20" xfId="0" applyNumberFormat="1" applyFont="1" applyFill="1" applyBorder="1" applyAlignment="1">
      <alignment vertical="center"/>
    </xf>
    <xf numFmtId="3" fontId="15" fillId="5" borderId="32" xfId="0" applyNumberFormat="1" applyFont="1" applyFill="1" applyBorder="1" applyAlignment="1">
      <alignment vertical="center"/>
    </xf>
    <xf numFmtId="3" fontId="15" fillId="5" borderId="32" xfId="0" applyNumberFormat="1" applyFont="1" applyFill="1" applyBorder="1" applyAlignment="1">
      <alignment vertical="center" wrapText="1"/>
    </xf>
    <xf numFmtId="3" fontId="15" fillId="5" borderId="26" xfId="0" applyNumberFormat="1" applyFont="1" applyFill="1" applyBorder="1" applyAlignment="1">
      <alignment vertical="center" wrapText="1"/>
    </xf>
    <xf numFmtId="3" fontId="15" fillId="5" borderId="35" xfId="0" applyNumberFormat="1" applyFont="1" applyFill="1" applyBorder="1" applyAlignment="1">
      <alignment vertical="center" wrapText="1"/>
    </xf>
    <xf numFmtId="49" fontId="15" fillId="5" borderId="26" xfId="0" applyNumberFormat="1" applyFont="1" applyFill="1" applyBorder="1" applyAlignment="1">
      <alignment horizontal="center" vertical="center" wrapText="1"/>
    </xf>
    <xf numFmtId="49" fontId="15" fillId="5" borderId="31" xfId="0" applyNumberFormat="1" applyFont="1" applyFill="1" applyBorder="1" applyAlignment="1">
      <alignment horizontal="center" vertical="center" wrapText="1"/>
    </xf>
    <xf numFmtId="3" fontId="7" fillId="10" borderId="37" xfId="0" applyNumberFormat="1" applyFont="1" applyFill="1" applyBorder="1" applyAlignment="1">
      <alignment vertical="center" wrapText="1"/>
    </xf>
    <xf numFmtId="3" fontId="13" fillId="8" borderId="31" xfId="0" applyNumberFormat="1" applyFont="1" applyFill="1" applyBorder="1" applyAlignment="1">
      <alignment horizontal="right" vertical="center"/>
    </xf>
    <xf numFmtId="3" fontId="29" fillId="0" borderId="26" xfId="0" applyNumberFormat="1" applyFont="1" applyFill="1" applyBorder="1" applyAlignment="1">
      <alignment horizontal="right" vertical="center"/>
    </xf>
    <xf numFmtId="3" fontId="29" fillId="0" borderId="31" xfId="0" applyNumberFormat="1" applyFont="1" applyFill="1" applyBorder="1" applyAlignment="1">
      <alignment vertical="center" wrapText="1"/>
    </xf>
    <xf numFmtId="3" fontId="15" fillId="27" borderId="37" xfId="0" applyNumberFormat="1" applyFont="1" applyFill="1" applyBorder="1" applyAlignment="1">
      <alignment vertical="center" wrapText="1"/>
    </xf>
    <xf numFmtId="3" fontId="15" fillId="8" borderId="31" xfId="0" applyNumberFormat="1" applyFont="1" applyFill="1" applyBorder="1" applyAlignment="1">
      <alignment horizontal="right" vertical="center"/>
    </xf>
    <xf numFmtId="49" fontId="29" fillId="0" borderId="26" xfId="0" applyNumberFormat="1" applyFont="1" applyBorder="1" applyAlignment="1">
      <alignment horizontal="center" vertical="center" wrapText="1"/>
    </xf>
    <xf numFmtId="0" fontId="46" fillId="0" borderId="26" xfId="0" applyFont="1" applyBorder="1" applyAlignment="1">
      <alignment horizontal="center" vertical="center" wrapText="1"/>
    </xf>
    <xf numFmtId="3" fontId="15" fillId="0" borderId="26" xfId="0" applyNumberFormat="1" applyFont="1" applyBorder="1" applyAlignment="1">
      <alignment horizontal="right" vertical="center"/>
    </xf>
    <xf numFmtId="3" fontId="29" fillId="0" borderId="26" xfId="0" applyNumberFormat="1" applyFont="1" applyFill="1" applyBorder="1" applyAlignment="1">
      <alignment horizontal="right" vertical="center" wrapText="1"/>
    </xf>
    <xf numFmtId="3" fontId="15" fillId="0" borderId="37" xfId="0" applyNumberFormat="1" applyFont="1" applyBorder="1" applyAlignment="1">
      <alignment vertical="center"/>
    </xf>
    <xf numFmtId="3" fontId="15" fillId="0" borderId="20" xfId="0" applyNumberFormat="1" applyFont="1" applyBorder="1" applyAlignment="1">
      <alignment vertical="center"/>
    </xf>
    <xf numFmtId="49" fontId="29" fillId="17" borderId="26" xfId="0" applyNumberFormat="1" applyFont="1" applyFill="1" applyBorder="1" applyAlignment="1">
      <alignment horizontal="center" vertical="center" wrapText="1"/>
    </xf>
    <xf numFmtId="0" fontId="46" fillId="0" borderId="26" xfId="5" applyFont="1" applyFill="1" applyBorder="1" applyAlignment="1">
      <alignment horizontal="center" vertical="center"/>
    </xf>
    <xf numFmtId="49" fontId="15" fillId="17" borderId="31" xfId="0" applyNumberFormat="1" applyFont="1" applyFill="1" applyBorder="1" applyAlignment="1">
      <alignment horizontal="center" vertical="center" wrapText="1"/>
    </xf>
    <xf numFmtId="0" fontId="13" fillId="0" borderId="23" xfId="0" applyFont="1" applyBorder="1" applyAlignment="1">
      <alignment horizontal="center" vertical="center" wrapText="1"/>
    </xf>
    <xf numFmtId="3" fontId="13" fillId="0" borderId="42" xfId="1" applyNumberFormat="1" applyFont="1" applyBorder="1" applyAlignment="1">
      <alignment vertical="center" wrapText="1"/>
    </xf>
    <xf numFmtId="3" fontId="13" fillId="0" borderId="27" xfId="0" applyNumberFormat="1" applyFont="1" applyBorder="1" applyAlignment="1">
      <alignment vertical="center"/>
    </xf>
    <xf numFmtId="3" fontId="13" fillId="0" borderId="21" xfId="0" applyNumberFormat="1" applyFont="1" applyBorder="1" applyAlignment="1">
      <alignment vertical="center"/>
    </xf>
    <xf numFmtId="3" fontId="13" fillId="0" borderId="24" xfId="0" applyNumberFormat="1" applyFont="1" applyBorder="1" applyAlignment="1">
      <alignment vertical="center"/>
    </xf>
    <xf numFmtId="0" fontId="46" fillId="0" borderId="25" xfId="0" applyFont="1" applyFill="1" applyBorder="1" applyAlignment="1">
      <alignment horizontal="center" vertical="center"/>
    </xf>
    <xf numFmtId="3" fontId="29" fillId="0" borderId="23" xfId="0" applyNumberFormat="1" applyFont="1" applyFill="1" applyBorder="1" applyAlignment="1">
      <alignment horizontal="right" vertical="center"/>
    </xf>
    <xf numFmtId="3" fontId="29" fillId="0" borderId="25" xfId="0" applyNumberFormat="1" applyFont="1" applyFill="1" applyBorder="1" applyAlignment="1">
      <alignment vertical="center" wrapText="1"/>
    </xf>
    <xf numFmtId="3" fontId="15" fillId="0" borderId="44" xfId="0" applyNumberFormat="1" applyFont="1" applyFill="1" applyBorder="1" applyAlignment="1">
      <alignment vertical="center"/>
    </xf>
    <xf numFmtId="3" fontId="15" fillId="0" borderId="24" xfId="0" applyNumberFormat="1" applyFont="1" applyFill="1" applyBorder="1" applyAlignment="1">
      <alignment horizontal="right" vertical="center"/>
    </xf>
    <xf numFmtId="0" fontId="15" fillId="17" borderId="23" xfId="0" applyFont="1" applyFill="1" applyBorder="1" applyAlignment="1">
      <alignment horizontal="center" vertical="center" wrapText="1"/>
    </xf>
    <xf numFmtId="49" fontId="15" fillId="0" borderId="23" xfId="0" applyNumberFormat="1" applyFont="1" applyFill="1" applyBorder="1" applyAlignment="1">
      <alignment horizontal="center" vertical="center" wrapText="1"/>
    </xf>
    <xf numFmtId="49" fontId="29" fillId="0" borderId="14"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46" fillId="0" borderId="30" xfId="0" applyFont="1" applyFill="1" applyBorder="1" applyAlignment="1">
      <alignment horizontal="center" vertical="center"/>
    </xf>
    <xf numFmtId="3" fontId="29" fillId="0" borderId="14" xfId="0" applyNumberFormat="1" applyFont="1" applyFill="1" applyBorder="1" applyAlignment="1">
      <alignment horizontal="right" vertical="center"/>
    </xf>
    <xf numFmtId="3" fontId="29" fillId="0" borderId="78" xfId="1" applyNumberFormat="1" applyFont="1" applyFill="1" applyBorder="1" applyAlignment="1">
      <alignment vertical="center" wrapText="1"/>
    </xf>
    <xf numFmtId="3" fontId="15" fillId="0" borderId="14" xfId="0" applyNumberFormat="1" applyFont="1" applyFill="1" applyBorder="1" applyAlignment="1">
      <alignment vertical="center" wrapText="1"/>
    </xf>
    <xf numFmtId="3" fontId="15" fillId="0" borderId="1" xfId="0" applyNumberFormat="1" applyFont="1" applyFill="1" applyBorder="1" applyAlignment="1">
      <alignment vertical="center" wrapText="1"/>
    </xf>
    <xf numFmtId="3" fontId="29" fillId="0" borderId="1" xfId="1" applyNumberFormat="1" applyFont="1" applyFill="1" applyBorder="1" applyAlignment="1">
      <alignment vertical="center" wrapText="1"/>
    </xf>
    <xf numFmtId="3" fontId="15" fillId="0" borderId="76" xfId="0" applyNumberFormat="1" applyFont="1" applyFill="1" applyBorder="1" applyAlignment="1">
      <alignment vertical="center"/>
    </xf>
    <xf numFmtId="3" fontId="15" fillId="0" borderId="1" xfId="0" applyNumberFormat="1" applyFont="1" applyFill="1" applyBorder="1" applyAlignment="1">
      <alignment vertical="center"/>
    </xf>
    <xf numFmtId="3" fontId="15" fillId="0" borderId="71" xfId="0" applyNumberFormat="1" applyFont="1" applyFill="1" applyBorder="1" applyAlignment="1">
      <alignment vertical="center"/>
    </xf>
    <xf numFmtId="3" fontId="15" fillId="0" borderId="16" xfId="0" applyNumberFormat="1" applyFont="1" applyFill="1" applyBorder="1" applyAlignment="1">
      <alignment vertical="center"/>
    </xf>
    <xf numFmtId="3" fontId="15" fillId="22" borderId="13" xfId="0" applyNumberFormat="1" applyFont="1" applyFill="1" applyBorder="1" applyAlignment="1">
      <alignment vertical="center" wrapText="1"/>
    </xf>
    <xf numFmtId="3" fontId="15" fillId="0" borderId="14" xfId="0" applyNumberFormat="1" applyFont="1" applyFill="1" applyBorder="1" applyAlignment="1">
      <alignment horizontal="right" vertical="center"/>
    </xf>
    <xf numFmtId="3" fontId="15" fillId="0" borderId="16" xfId="0" applyNumberFormat="1" applyFont="1" applyFill="1" applyBorder="1" applyAlignment="1">
      <alignment horizontal="right" vertical="center"/>
    </xf>
    <xf numFmtId="0" fontId="15" fillId="17" borderId="16"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46" fillId="0" borderId="23" xfId="0" applyFont="1" applyFill="1" applyBorder="1" applyAlignment="1">
      <alignment horizontal="center" vertical="center"/>
    </xf>
    <xf numFmtId="3" fontId="29" fillId="0" borderId="27" xfId="0" applyNumberFormat="1" applyFont="1" applyFill="1" applyBorder="1" applyAlignment="1">
      <alignment vertical="center" wrapText="1"/>
    </xf>
    <xf numFmtId="3" fontId="15" fillId="10" borderId="27" xfId="0" applyNumberFormat="1" applyFont="1" applyFill="1" applyBorder="1" applyAlignment="1">
      <alignment vertical="center" wrapText="1"/>
    </xf>
    <xf numFmtId="3" fontId="15" fillId="0" borderId="23" xfId="0" applyNumberFormat="1" applyFont="1" applyFill="1" applyBorder="1" applyAlignment="1">
      <alignment vertical="center"/>
    </xf>
    <xf numFmtId="3" fontId="15" fillId="0" borderId="27" xfId="0" applyNumberFormat="1" applyFont="1" applyFill="1" applyBorder="1" applyAlignment="1">
      <alignment horizontal="right" vertical="center"/>
    </xf>
    <xf numFmtId="49" fontId="29" fillId="0" borderId="20" xfId="0" applyNumberFormat="1" applyFont="1" applyFill="1" applyBorder="1" applyAlignment="1">
      <alignment horizontal="center" vertical="center" wrapText="1"/>
    </xf>
    <xf numFmtId="0" fontId="15" fillId="0" borderId="42" xfId="0" applyFont="1" applyFill="1" applyBorder="1" applyAlignment="1">
      <alignment horizontal="center" vertical="center" wrapText="1"/>
    </xf>
    <xf numFmtId="3" fontId="29" fillId="0" borderId="37" xfId="0" applyNumberFormat="1" applyFont="1" applyFill="1" applyBorder="1" applyAlignment="1">
      <alignment vertical="center" wrapText="1"/>
    </xf>
    <xf numFmtId="3" fontId="15" fillId="0" borderId="42" xfId="0" applyNumberFormat="1" applyFont="1" applyFill="1" applyBorder="1" applyAlignment="1">
      <alignment horizontal="right" vertical="center"/>
    </xf>
    <xf numFmtId="3" fontId="15" fillId="0" borderId="20" xfId="0" applyNumberFormat="1" applyFont="1" applyFill="1" applyBorder="1" applyAlignment="1">
      <alignment horizontal="right" vertical="center"/>
    </xf>
    <xf numFmtId="3" fontId="15" fillId="0" borderId="37" xfId="0" applyNumberFormat="1" applyFont="1" applyFill="1" applyBorder="1" applyAlignment="1">
      <alignment horizontal="right" vertical="center"/>
    </xf>
    <xf numFmtId="3" fontId="9" fillId="11" borderId="17" xfId="0" applyNumberFormat="1" applyFont="1" applyFill="1" applyBorder="1" applyAlignment="1">
      <alignment vertical="center" wrapText="1"/>
    </xf>
    <xf numFmtId="3" fontId="7" fillId="11" borderId="30" xfId="0" applyNumberFormat="1" applyFont="1" applyFill="1" applyBorder="1" applyAlignment="1">
      <alignment vertical="center" wrapText="1"/>
    </xf>
    <xf numFmtId="3" fontId="7" fillId="11" borderId="13" xfId="0" applyNumberFormat="1" applyFont="1" applyFill="1" applyBorder="1" applyAlignment="1">
      <alignment vertical="center" wrapText="1"/>
    </xf>
    <xf numFmtId="0" fontId="7" fillId="11" borderId="16" xfId="0" applyFont="1" applyFill="1" applyBorder="1" applyAlignment="1">
      <alignment horizontal="center" vertical="center" wrapText="1"/>
    </xf>
    <xf numFmtId="0" fontId="29" fillId="0" borderId="0" xfId="0" applyFont="1" applyFill="1" applyAlignment="1">
      <alignment horizontal="center" vertical="center" wrapText="1"/>
    </xf>
    <xf numFmtId="1" fontId="7" fillId="8" borderId="14" xfId="0" applyNumberFormat="1" applyFont="1" applyFill="1" applyBorder="1" applyAlignment="1">
      <alignment horizontal="center" vertical="center" wrapText="1"/>
    </xf>
    <xf numFmtId="1" fontId="7" fillId="8" borderId="5" xfId="1" applyNumberFormat="1" applyFont="1" applyFill="1" applyBorder="1" applyAlignment="1">
      <alignment horizontal="center" vertical="center" wrapText="1"/>
    </xf>
    <xf numFmtId="0" fontId="13" fillId="0" borderId="30" xfId="0" applyFont="1" applyBorder="1" applyAlignment="1">
      <alignment horizontal="center" vertical="center" wrapText="1"/>
    </xf>
    <xf numFmtId="1" fontId="13" fillId="0" borderId="1" xfId="0" applyNumberFormat="1" applyFont="1" applyBorder="1" applyAlignment="1">
      <alignment horizontal="center" vertical="center" wrapText="1"/>
    </xf>
    <xf numFmtId="0" fontId="30" fillId="0" borderId="22" xfId="0" applyFont="1" applyBorder="1"/>
    <xf numFmtId="3" fontId="14" fillId="0" borderId="34" xfId="1" applyNumberFormat="1" applyFont="1" applyBorder="1" applyAlignment="1">
      <alignment vertical="center" wrapText="1"/>
    </xf>
    <xf numFmtId="0" fontId="41" fillId="0" borderId="1" xfId="0" applyFont="1" applyBorder="1"/>
    <xf numFmtId="3" fontId="13" fillId="0" borderId="36" xfId="1" applyNumberFormat="1" applyFont="1" applyFill="1" applyBorder="1" applyAlignment="1">
      <alignment vertical="center" wrapText="1"/>
    </xf>
    <xf numFmtId="0" fontId="13" fillId="11" borderId="26" xfId="0" applyFont="1" applyFill="1" applyBorder="1" applyAlignment="1">
      <alignment horizontal="center" vertical="center" wrapText="1"/>
    </xf>
    <xf numFmtId="3" fontId="14" fillId="11" borderId="26" xfId="1" applyNumberFormat="1" applyFont="1" applyFill="1" applyBorder="1" applyAlignment="1">
      <alignment vertical="center" wrapText="1"/>
    </xf>
    <xf numFmtId="3" fontId="14" fillId="11" borderId="0" xfId="1" applyNumberFormat="1" applyFont="1" applyFill="1" applyBorder="1" applyAlignment="1">
      <alignment vertical="center" wrapText="1"/>
    </xf>
    <xf numFmtId="3" fontId="14" fillId="0" borderId="0" xfId="1" applyNumberFormat="1" applyFont="1" applyFill="1" applyBorder="1" applyAlignment="1">
      <alignment vertical="center" wrapText="1"/>
    </xf>
    <xf numFmtId="0" fontId="13" fillId="11" borderId="31" xfId="0" applyFont="1" applyFill="1" applyBorder="1" applyAlignment="1">
      <alignment horizontal="center" vertical="center" wrapText="1"/>
    </xf>
    <xf numFmtId="0" fontId="13" fillId="11" borderId="22" xfId="0" applyFont="1" applyFill="1" applyBorder="1" applyAlignment="1">
      <alignment horizontal="center" vertical="center" wrapText="1"/>
    </xf>
    <xf numFmtId="3" fontId="14" fillId="11" borderId="31" xfId="1" applyNumberFormat="1" applyFont="1" applyFill="1" applyBorder="1" applyAlignment="1">
      <alignment vertical="center" wrapText="1"/>
    </xf>
    <xf numFmtId="3" fontId="14" fillId="11" borderId="22" xfId="1" applyNumberFormat="1" applyFont="1" applyFill="1" applyBorder="1" applyAlignment="1">
      <alignment vertical="center" wrapText="1"/>
    </xf>
    <xf numFmtId="49" fontId="13" fillId="3" borderId="35" xfId="0" applyNumberFormat="1" applyFont="1" applyFill="1" applyBorder="1" applyAlignment="1">
      <alignment horizontal="center" vertical="center" wrapText="1"/>
    </xf>
    <xf numFmtId="0" fontId="13" fillId="11" borderId="29" xfId="0" applyFont="1" applyFill="1" applyBorder="1" applyAlignment="1">
      <alignment horizontal="center" vertical="center" wrapText="1"/>
    </xf>
    <xf numFmtId="3" fontId="14" fillId="11" borderId="28" xfId="0" applyNumberFormat="1" applyFont="1" applyFill="1" applyBorder="1" applyAlignment="1">
      <alignment vertical="center" wrapText="1"/>
    </xf>
    <xf numFmtId="3" fontId="14" fillId="0" borderId="28" xfId="0" applyNumberFormat="1" applyFont="1" applyBorder="1" applyAlignment="1">
      <alignment vertical="center" wrapText="1"/>
    </xf>
    <xf numFmtId="0" fontId="15" fillId="6" borderId="32" xfId="0" applyFont="1" applyFill="1" applyBorder="1" applyAlignment="1">
      <alignment horizontal="center" vertical="center" wrapText="1"/>
    </xf>
    <xf numFmtId="3" fontId="29" fillId="10" borderId="31" xfId="1" applyNumberFormat="1" applyFont="1" applyFill="1" applyBorder="1" applyAlignment="1">
      <alignment vertical="center" wrapText="1"/>
    </xf>
    <xf numFmtId="0" fontId="30" fillId="0" borderId="32" xfId="0" applyFont="1" applyFill="1" applyBorder="1" applyAlignment="1">
      <alignment horizontal="center" vertical="center" wrapText="1"/>
    </xf>
    <xf numFmtId="3" fontId="32" fillId="0" borderId="26" xfId="1" applyNumberFormat="1" applyFont="1" applyFill="1" applyBorder="1" applyAlignment="1">
      <alignment vertical="center" wrapText="1"/>
    </xf>
    <xf numFmtId="0" fontId="30" fillId="0" borderId="0" xfId="0" applyFont="1" applyFill="1" applyBorder="1" applyAlignment="1">
      <alignment horizontal="center" vertical="center"/>
    </xf>
    <xf numFmtId="3" fontId="14" fillId="6" borderId="27" xfId="1" applyNumberFormat="1" applyFont="1" applyFill="1" applyBorder="1" applyAlignment="1">
      <alignment vertical="center" wrapText="1"/>
    </xf>
    <xf numFmtId="3" fontId="14" fillId="15" borderId="25" xfId="1" applyNumberFormat="1" applyFont="1" applyFill="1" applyBorder="1" applyAlignment="1">
      <alignment vertical="center" wrapText="1"/>
    </xf>
    <xf numFmtId="3" fontId="14" fillId="8" borderId="25" xfId="1" applyNumberFormat="1" applyFont="1" applyFill="1" applyBorder="1" applyAlignment="1">
      <alignment vertical="center" wrapText="1"/>
    </xf>
    <xf numFmtId="3" fontId="32" fillId="0" borderId="25" xfId="1" applyNumberFormat="1" applyFont="1" applyFill="1" applyBorder="1" applyAlignment="1">
      <alignment vertical="center" wrapText="1"/>
    </xf>
    <xf numFmtId="3" fontId="32" fillId="0" borderId="23" xfId="1" applyNumberFormat="1" applyFont="1" applyFill="1" applyBorder="1" applyAlignment="1">
      <alignment vertical="center" wrapText="1"/>
    </xf>
    <xf numFmtId="0" fontId="53" fillId="0" borderId="0" xfId="0" applyFont="1"/>
    <xf numFmtId="3" fontId="13" fillId="0" borderId="44" xfId="1" applyNumberFormat="1" applyFont="1" applyFill="1" applyBorder="1" applyAlignment="1">
      <alignment vertical="center" wrapText="1"/>
    </xf>
    <xf numFmtId="3" fontId="13" fillId="0" borderId="75" xfId="0" applyNumberFormat="1" applyFont="1" applyFill="1" applyBorder="1" applyAlignment="1">
      <alignment vertical="center" wrapText="1"/>
    </xf>
    <xf numFmtId="3" fontId="30" fillId="0" borderId="0" xfId="0" applyNumberFormat="1" applyFont="1" applyFill="1" applyBorder="1" applyAlignment="1">
      <alignment horizontal="center" vertical="center"/>
    </xf>
    <xf numFmtId="168" fontId="30" fillId="0" borderId="29" xfId="0" applyNumberFormat="1" applyFont="1" applyFill="1" applyBorder="1" applyAlignment="1">
      <alignment horizontal="right" vertical="center"/>
    </xf>
    <xf numFmtId="168" fontId="30" fillId="0" borderId="0" xfId="0" applyNumberFormat="1" applyFont="1" applyFill="1" applyBorder="1" applyAlignment="1">
      <alignment horizontal="right" vertical="center"/>
    </xf>
    <xf numFmtId="0" fontId="30" fillId="0" borderId="28" xfId="0" applyFont="1" applyFill="1" applyBorder="1" applyAlignment="1">
      <alignment horizontal="center" vertical="center" wrapText="1"/>
    </xf>
    <xf numFmtId="1" fontId="30" fillId="8" borderId="0" xfId="0" applyNumberFormat="1" applyFont="1" applyFill="1" applyBorder="1" applyAlignment="1">
      <alignment horizontal="center" vertical="center" wrapText="1"/>
    </xf>
    <xf numFmtId="1" fontId="30" fillId="0" borderId="0" xfId="0" applyNumberFormat="1"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0" fillId="15" borderId="26" xfId="0" applyFont="1" applyFill="1" applyBorder="1" applyAlignment="1">
      <alignment horizontal="center" vertical="center" wrapText="1"/>
    </xf>
    <xf numFmtId="0" fontId="32" fillId="0" borderId="0" xfId="0" applyFont="1" applyFill="1" applyBorder="1" applyAlignment="1">
      <alignment horizontal="center" vertical="center" wrapText="1"/>
    </xf>
    <xf numFmtId="3" fontId="32" fillId="15" borderId="26" xfId="1" applyNumberFormat="1" applyFont="1" applyFill="1" applyBorder="1" applyAlignment="1">
      <alignment vertical="center" wrapText="1"/>
    </xf>
    <xf numFmtId="3" fontId="32" fillId="15" borderId="34" xfId="0" applyNumberFormat="1" applyFont="1" applyFill="1" applyBorder="1" applyAlignment="1">
      <alignment vertical="center"/>
    </xf>
    <xf numFmtId="3" fontId="32" fillId="0" borderId="34" xfId="0" applyNumberFormat="1" applyFont="1" applyFill="1" applyBorder="1" applyAlignment="1">
      <alignment vertical="center"/>
    </xf>
    <xf numFmtId="3" fontId="32" fillId="0" borderId="33" xfId="0" applyNumberFormat="1" applyFont="1" applyFill="1" applyBorder="1" applyAlignment="1">
      <alignment vertical="center"/>
    </xf>
    <xf numFmtId="0" fontId="53" fillId="0" borderId="0" xfId="0" applyFont="1" applyFill="1"/>
    <xf numFmtId="3" fontId="13" fillId="0" borderId="34" xfId="0" applyNumberFormat="1" applyFont="1" applyFill="1" applyBorder="1" applyAlignment="1">
      <alignment vertical="center"/>
    </xf>
    <xf numFmtId="3" fontId="29" fillId="15" borderId="26" xfId="1" applyNumberFormat="1" applyFont="1" applyFill="1" applyBorder="1" applyAlignment="1">
      <alignment vertical="center" wrapText="1"/>
    </xf>
    <xf numFmtId="3" fontId="29" fillId="8" borderId="37" xfId="0" applyNumberFormat="1" applyFont="1" applyFill="1" applyBorder="1" applyAlignment="1">
      <alignment vertical="center" wrapText="1"/>
    </xf>
    <xf numFmtId="3" fontId="29" fillId="8" borderId="31" xfId="0" applyNumberFormat="1" applyFont="1" applyFill="1" applyBorder="1" applyAlignment="1">
      <alignment vertical="center" wrapText="1"/>
    </xf>
    <xf numFmtId="0" fontId="30" fillId="0" borderId="36" xfId="0" applyFont="1" applyBorder="1" applyAlignment="1">
      <alignment horizontal="center" vertical="center" wrapText="1"/>
    </xf>
    <xf numFmtId="3" fontId="32" fillId="0" borderId="26" xfId="0" applyNumberFormat="1" applyFont="1" applyBorder="1" applyAlignment="1">
      <alignment vertical="center" wrapText="1"/>
    </xf>
    <xf numFmtId="0" fontId="13" fillId="5" borderId="73"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3" fillId="5" borderId="32" xfId="0" applyFont="1" applyFill="1" applyBorder="1" applyAlignment="1">
      <alignment horizontal="center" vertical="center" wrapText="1"/>
    </xf>
    <xf numFmtId="3" fontId="14" fillId="15" borderId="26" xfId="1" applyNumberFormat="1" applyFont="1" applyFill="1" applyBorder="1" applyAlignment="1">
      <alignment vertical="center" wrapText="1"/>
    </xf>
    <xf numFmtId="0" fontId="13" fillId="11" borderId="32" xfId="0" applyFont="1" applyFill="1" applyBorder="1" applyAlignment="1">
      <alignment horizontal="center" vertical="center" wrapText="1"/>
    </xf>
    <xf numFmtId="3" fontId="14" fillId="11" borderId="31" xfId="0" applyNumberFormat="1" applyFont="1" applyFill="1" applyBorder="1" applyAlignment="1">
      <alignment vertical="center" wrapText="1"/>
    </xf>
    <xf numFmtId="0" fontId="14" fillId="0" borderId="52" xfId="0" applyFont="1" applyFill="1" applyBorder="1" applyAlignment="1">
      <alignment horizontal="center" vertical="center" wrapText="1"/>
    </xf>
    <xf numFmtId="3" fontId="32" fillId="15" borderId="13" xfId="1" applyNumberFormat="1" applyFont="1" applyFill="1" applyBorder="1" applyAlignment="1">
      <alignment vertical="center" wrapText="1"/>
    </xf>
    <xf numFmtId="0" fontId="29" fillId="0" borderId="67" xfId="0" applyFont="1" applyFill="1" applyBorder="1" applyAlignment="1">
      <alignment horizontal="center" vertical="center" wrapText="1"/>
    </xf>
    <xf numFmtId="0" fontId="13" fillId="3" borderId="22" xfId="0" applyNumberFormat="1" applyFont="1" applyFill="1" applyBorder="1" applyAlignment="1">
      <alignment horizontal="center" vertical="center" wrapText="1"/>
    </xf>
    <xf numFmtId="1" fontId="13" fillId="8" borderId="37" xfId="0" applyNumberFormat="1" applyFont="1" applyFill="1" applyBorder="1" applyAlignment="1">
      <alignment horizontal="center" vertical="center" wrapText="1"/>
    </xf>
    <xf numFmtId="1" fontId="13" fillId="0" borderId="37" xfId="0" applyNumberFormat="1" applyFont="1" applyFill="1" applyBorder="1" applyAlignment="1">
      <alignment horizontal="center" vertical="center" wrapText="1"/>
    </xf>
    <xf numFmtId="0" fontId="13" fillId="11" borderId="23" xfId="0" applyFont="1" applyFill="1" applyBorder="1" applyAlignment="1">
      <alignment horizontal="center" vertical="center" wrapText="1"/>
    </xf>
    <xf numFmtId="0" fontId="13" fillId="11" borderId="38" xfId="0" applyFont="1" applyFill="1" applyBorder="1" applyAlignment="1">
      <alignment horizontal="center" vertical="center" wrapText="1"/>
    </xf>
    <xf numFmtId="3" fontId="14" fillId="11" borderId="27" xfId="1" applyNumberFormat="1" applyFont="1" applyFill="1" applyBorder="1" applyAlignment="1">
      <alignment vertical="center" wrapText="1"/>
    </xf>
    <xf numFmtId="3" fontId="14" fillId="11" borderId="37" xfId="1" applyNumberFormat="1" applyFont="1" applyFill="1" applyBorder="1" applyAlignment="1">
      <alignment vertical="center" wrapText="1"/>
    </xf>
    <xf numFmtId="0" fontId="13" fillId="11" borderId="20" xfId="0" applyFont="1" applyFill="1" applyBorder="1" applyAlignment="1">
      <alignment horizontal="center" vertical="center" wrapText="1"/>
    </xf>
    <xf numFmtId="3" fontId="14" fillId="15" borderId="31" xfId="1" applyNumberFormat="1" applyFont="1" applyFill="1" applyBorder="1" applyAlignment="1">
      <alignment horizontal="right" vertical="center" wrapText="1"/>
    </xf>
    <xf numFmtId="0" fontId="13" fillId="0" borderId="22" xfId="0" applyFont="1" applyFill="1" applyBorder="1"/>
    <xf numFmtId="0" fontId="41" fillId="10" borderId="0" xfId="0" applyFont="1" applyFill="1"/>
    <xf numFmtId="0" fontId="13" fillId="19" borderId="37" xfId="0" applyFont="1" applyFill="1" applyBorder="1" applyAlignment="1">
      <alignment horizontal="center" vertical="center" wrapText="1"/>
    </xf>
    <xf numFmtId="4" fontId="13" fillId="0" borderId="31" xfId="0" applyNumberFormat="1" applyFont="1" applyFill="1" applyBorder="1" applyAlignment="1">
      <alignment horizontal="center" vertical="center" wrapText="1"/>
    </xf>
    <xf numFmtId="4" fontId="15" fillId="0" borderId="32" xfId="0" applyNumberFormat="1" applyFont="1" applyFill="1" applyBorder="1" applyAlignment="1">
      <alignment horizontal="center" vertical="center" wrapText="1"/>
    </xf>
    <xf numFmtId="0" fontId="13" fillId="11" borderId="37" xfId="0" applyFont="1" applyFill="1" applyBorder="1" applyAlignment="1">
      <alignment horizontal="center" vertical="center" wrapText="1"/>
    </xf>
    <xf numFmtId="4" fontId="13" fillId="0" borderId="30" xfId="0" applyNumberFormat="1" applyFont="1" applyFill="1" applyBorder="1" applyAlignment="1">
      <alignment horizontal="center" vertical="center" wrapText="1"/>
    </xf>
    <xf numFmtId="0" fontId="15" fillId="11" borderId="62" xfId="0" applyFont="1" applyFill="1" applyBorder="1" applyAlignment="1">
      <alignment horizontal="center" vertical="center" wrapText="1"/>
    </xf>
    <xf numFmtId="3" fontId="29" fillId="15" borderId="13" xfId="1" applyNumberFormat="1" applyFont="1" applyFill="1" applyBorder="1" applyAlignment="1">
      <alignment vertical="center" wrapText="1"/>
    </xf>
    <xf numFmtId="3" fontId="29" fillId="15" borderId="15" xfId="1" applyNumberFormat="1" applyFont="1" applyFill="1" applyBorder="1" applyAlignment="1">
      <alignment horizontal="right" vertical="center" wrapText="1"/>
    </xf>
    <xf numFmtId="4" fontId="13" fillId="0" borderId="0" xfId="0" applyNumberFormat="1" applyFont="1" applyFill="1" applyBorder="1" applyAlignment="1">
      <alignment horizontal="center" vertical="center" wrapText="1"/>
    </xf>
    <xf numFmtId="49" fontId="13" fillId="3" borderId="14" xfId="0" applyNumberFormat="1" applyFont="1" applyFill="1" applyBorder="1" applyAlignment="1">
      <alignment horizontal="center" vertical="center" wrapText="1"/>
    </xf>
    <xf numFmtId="4" fontId="13" fillId="11" borderId="0" xfId="0" applyNumberFormat="1" applyFont="1" applyFill="1" applyBorder="1" applyAlignment="1">
      <alignment horizontal="center" vertical="center" wrapText="1"/>
    </xf>
    <xf numFmtId="0" fontId="24" fillId="0" borderId="14" xfId="0" applyFont="1" applyFill="1" applyBorder="1"/>
    <xf numFmtId="3" fontId="49" fillId="0" borderId="37" xfId="0" applyNumberFormat="1" applyFont="1" applyFill="1" applyBorder="1" applyAlignment="1">
      <alignment horizontal="center" vertical="center" wrapText="1"/>
    </xf>
    <xf numFmtId="4" fontId="54" fillId="11" borderId="0" xfId="0" applyNumberFormat="1" applyFont="1" applyFill="1" applyBorder="1" applyAlignment="1">
      <alignment horizontal="center" vertical="center" wrapText="1"/>
    </xf>
    <xf numFmtId="3" fontId="14" fillId="11" borderId="33" xfId="1" applyNumberFormat="1" applyFont="1" applyFill="1" applyBorder="1" applyAlignment="1">
      <alignment vertical="center" wrapText="1"/>
    </xf>
    <xf numFmtId="3" fontId="14" fillId="11" borderId="28" xfId="1" applyNumberFormat="1" applyFont="1" applyFill="1" applyBorder="1" applyAlignment="1">
      <alignment vertical="center" wrapText="1"/>
    </xf>
    <xf numFmtId="3" fontId="14" fillId="0" borderId="44" xfId="1" applyNumberFormat="1" applyFont="1" applyFill="1" applyBorder="1" applyAlignment="1">
      <alignment vertical="center" wrapText="1"/>
    </xf>
    <xf numFmtId="3" fontId="14" fillId="0" borderId="21" xfId="1" applyNumberFormat="1" applyFont="1" applyFill="1" applyBorder="1" applyAlignment="1">
      <alignment vertical="center" wrapText="1"/>
    </xf>
    <xf numFmtId="3" fontId="14" fillId="0" borderId="36" xfId="1" applyNumberFormat="1" applyFont="1" applyFill="1" applyBorder="1" applyAlignment="1">
      <alignment vertical="center" wrapText="1"/>
    </xf>
    <xf numFmtId="0" fontId="15" fillId="0" borderId="44" xfId="0" applyFont="1" applyFill="1" applyBorder="1" applyAlignment="1">
      <alignment horizontal="center" vertical="center"/>
    </xf>
    <xf numFmtId="3" fontId="29" fillId="0" borderId="2" xfId="1" applyNumberFormat="1" applyFont="1" applyFill="1" applyBorder="1" applyAlignment="1">
      <alignment vertical="center" wrapText="1"/>
    </xf>
    <xf numFmtId="3" fontId="29" fillId="8" borderId="25" xfId="1" applyNumberFormat="1" applyFont="1" applyFill="1" applyBorder="1" applyAlignment="1">
      <alignment vertical="center"/>
    </xf>
    <xf numFmtId="3" fontId="13" fillId="0" borderId="50" xfId="0" applyNumberFormat="1" applyFont="1" applyFill="1" applyBorder="1" applyAlignment="1">
      <alignment vertical="center"/>
    </xf>
    <xf numFmtId="0" fontId="13" fillId="6" borderId="24" xfId="0" applyFont="1" applyFill="1" applyBorder="1" applyAlignment="1">
      <alignment horizontal="center" vertical="center"/>
    </xf>
    <xf numFmtId="49" fontId="29" fillId="0" borderId="32" xfId="0" applyNumberFormat="1" applyFont="1" applyFill="1" applyBorder="1" applyAlignment="1">
      <alignment horizontal="center" vertical="center"/>
    </xf>
    <xf numFmtId="0" fontId="15" fillId="0" borderId="32" xfId="0" applyFont="1" applyFill="1" applyBorder="1" applyAlignment="1">
      <alignment horizontal="center" vertical="center"/>
    </xf>
    <xf numFmtId="3" fontId="32" fillId="5" borderId="37" xfId="1" applyNumberFormat="1" applyFont="1" applyFill="1" applyBorder="1" applyAlignment="1">
      <alignment vertical="center" wrapText="1"/>
    </xf>
    <xf numFmtId="3" fontId="29" fillId="8" borderId="26" xfId="1" applyNumberFormat="1" applyFont="1" applyFill="1" applyBorder="1" applyAlignment="1">
      <alignment vertical="center"/>
    </xf>
    <xf numFmtId="0" fontId="15" fillId="6" borderId="32" xfId="0" applyFont="1" applyFill="1" applyBorder="1" applyAlignment="1">
      <alignment horizontal="center" vertical="center"/>
    </xf>
    <xf numFmtId="0" fontId="55" fillId="0" borderId="31" xfId="0" applyFont="1" applyFill="1" applyBorder="1" applyAlignment="1">
      <alignment vertical="center"/>
    </xf>
    <xf numFmtId="1" fontId="55" fillId="15" borderId="26" xfId="0" applyNumberFormat="1" applyFont="1" applyFill="1" applyBorder="1" applyAlignment="1">
      <alignment vertical="center"/>
    </xf>
    <xf numFmtId="1" fontId="55" fillId="8" borderId="26" xfId="0" applyNumberFormat="1" applyFont="1" applyFill="1" applyBorder="1" applyAlignment="1">
      <alignment vertical="center"/>
    </xf>
    <xf numFmtId="1" fontId="14" fillId="4" borderId="29" xfId="0" applyNumberFormat="1" applyFont="1" applyFill="1" applyBorder="1" applyAlignment="1">
      <alignment horizontal="center" vertical="center" wrapText="1"/>
    </xf>
    <xf numFmtId="3" fontId="14" fillId="0" borderId="34" xfId="1" applyNumberFormat="1" applyFont="1" applyFill="1" applyBorder="1" applyAlignment="1">
      <alignment vertical="center"/>
    </xf>
    <xf numFmtId="1" fontId="29" fillId="4" borderId="29" xfId="0" applyNumberFormat="1" applyFont="1" applyFill="1" applyBorder="1" applyAlignment="1">
      <alignment horizontal="center" vertical="center" wrapText="1"/>
    </xf>
    <xf numFmtId="0" fontId="15" fillId="15" borderId="26" xfId="0" applyFont="1" applyFill="1" applyBorder="1" applyAlignment="1">
      <alignment horizontal="center" vertical="center"/>
    </xf>
    <xf numFmtId="0" fontId="15" fillId="11" borderId="32" xfId="0" applyFont="1" applyFill="1" applyBorder="1" applyAlignment="1">
      <alignment horizontal="center" vertical="center" wrapText="1"/>
    </xf>
    <xf numFmtId="3" fontId="29" fillId="15" borderId="34" xfId="1" applyNumberFormat="1" applyFont="1" applyFill="1" applyBorder="1" applyAlignment="1">
      <alignment vertical="center"/>
    </xf>
    <xf numFmtId="3" fontId="30" fillId="0" borderId="1" xfId="0" applyNumberFormat="1" applyFont="1" applyFill="1" applyBorder="1" applyAlignment="1">
      <alignment horizontal="center" vertical="center"/>
    </xf>
    <xf numFmtId="168" fontId="30" fillId="0" borderId="16" xfId="0" applyNumberFormat="1" applyFont="1" applyFill="1" applyBorder="1" applyAlignment="1">
      <alignment horizontal="right" vertical="center"/>
    </xf>
    <xf numFmtId="168" fontId="30" fillId="0" borderId="1" xfId="0" applyNumberFormat="1" applyFont="1" applyFill="1" applyBorder="1" applyAlignment="1">
      <alignment horizontal="right" vertical="center"/>
    </xf>
    <xf numFmtId="0" fontId="30" fillId="0" borderId="30" xfId="0" applyFont="1" applyFill="1" applyBorder="1" applyAlignment="1">
      <alignment horizontal="center" vertical="center"/>
    </xf>
    <xf numFmtId="1" fontId="30" fillId="8" borderId="1" xfId="0" applyNumberFormat="1" applyFont="1" applyFill="1" applyBorder="1" applyAlignment="1">
      <alignment horizontal="center" vertical="center"/>
    </xf>
    <xf numFmtId="1" fontId="30" fillId="0" borderId="1" xfId="0" applyNumberFormat="1" applyFont="1" applyFill="1" applyBorder="1" applyAlignment="1">
      <alignment horizontal="center" vertical="center"/>
    </xf>
    <xf numFmtId="0" fontId="32" fillId="0" borderId="16" xfId="0" applyFont="1" applyFill="1" applyBorder="1" applyAlignment="1">
      <alignment horizontal="center" vertical="center"/>
    </xf>
    <xf numFmtId="1" fontId="32" fillId="0" borderId="16"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3" fontId="30" fillId="15" borderId="13" xfId="0" applyNumberFormat="1" applyFont="1" applyFill="1" applyBorder="1" applyAlignment="1">
      <alignment horizontal="center" vertical="center" wrapText="1"/>
    </xf>
    <xf numFmtId="3" fontId="30" fillId="0" borderId="13" xfId="0" applyNumberFormat="1"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14" xfId="0" applyFont="1" applyFill="1" applyBorder="1"/>
    <xf numFmtId="0" fontId="32" fillId="0" borderId="1" xfId="0" applyFont="1" applyFill="1" applyBorder="1" applyAlignment="1">
      <alignment horizontal="center" vertical="center"/>
    </xf>
    <xf numFmtId="3" fontId="32" fillId="15" borderId="34" xfId="1" applyNumberFormat="1" applyFont="1" applyFill="1" applyBorder="1" applyAlignment="1">
      <alignment vertical="center"/>
    </xf>
    <xf numFmtId="3" fontId="32" fillId="0" borderId="34" xfId="1" applyNumberFormat="1" applyFont="1" applyFill="1" applyBorder="1" applyAlignment="1">
      <alignment vertical="center"/>
    </xf>
    <xf numFmtId="3" fontId="32" fillId="0" borderId="33" xfId="1" applyNumberFormat="1" applyFont="1" applyFill="1" applyBorder="1" applyAlignment="1">
      <alignment vertical="center"/>
    </xf>
    <xf numFmtId="0" fontId="30" fillId="0" borderId="28" xfId="0" applyFont="1" applyFill="1" applyBorder="1" applyAlignment="1">
      <alignment horizontal="center" vertical="center"/>
    </xf>
    <xf numFmtId="1" fontId="30" fillId="8" borderId="0" xfId="0" applyNumberFormat="1" applyFont="1" applyFill="1" applyBorder="1" applyAlignment="1">
      <alignment horizontal="center" vertical="center"/>
    </xf>
    <xf numFmtId="1" fontId="30" fillId="0" borderId="0" xfId="0" applyNumberFormat="1" applyFont="1" applyFill="1" applyBorder="1" applyAlignment="1">
      <alignment horizontal="center" vertical="center"/>
    </xf>
    <xf numFmtId="0" fontId="32" fillId="0" borderId="29" xfId="0" applyFont="1" applyFill="1" applyBorder="1" applyAlignment="1">
      <alignment horizontal="center" vertical="center"/>
    </xf>
    <xf numFmtId="3" fontId="32" fillId="15" borderId="31" xfId="1" applyNumberFormat="1" applyFont="1" applyFill="1" applyBorder="1" applyAlignment="1">
      <alignment vertical="center"/>
    </xf>
    <xf numFmtId="1" fontId="32" fillId="4" borderId="29" xfId="0" applyNumberFormat="1"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30" fillId="11" borderId="29"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22" xfId="0" applyFont="1" applyFill="1" applyBorder="1"/>
    <xf numFmtId="0" fontId="32" fillId="3" borderId="1" xfId="0" applyFont="1" applyFill="1" applyBorder="1" applyAlignment="1">
      <alignment horizontal="center" vertical="center"/>
    </xf>
    <xf numFmtId="0" fontId="32" fillId="0" borderId="2" xfId="0" applyFont="1" applyFill="1" applyBorder="1" applyAlignment="1">
      <alignment vertical="center" wrapText="1"/>
    </xf>
    <xf numFmtId="0" fontId="32" fillId="11" borderId="2" xfId="0" applyFont="1" applyFill="1" applyBorder="1" applyAlignment="1">
      <alignment vertical="center" wrapText="1"/>
    </xf>
    <xf numFmtId="0" fontId="32" fillId="11" borderId="0" xfId="0" applyFont="1" applyFill="1" applyBorder="1" applyAlignment="1">
      <alignment vertical="center" wrapText="1"/>
    </xf>
    <xf numFmtId="3" fontId="32" fillId="0" borderId="0" xfId="1" applyNumberFormat="1" applyFont="1" applyFill="1" applyBorder="1" applyAlignment="1">
      <alignment vertical="center"/>
    </xf>
    <xf numFmtId="3" fontId="32" fillId="0" borderId="22" xfId="1" applyNumberFormat="1" applyFont="1" applyFill="1" applyBorder="1" applyAlignment="1">
      <alignment vertical="center"/>
    </xf>
    <xf numFmtId="49" fontId="15" fillId="3" borderId="2"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3" fontId="15" fillId="0" borderId="7" xfId="0" applyNumberFormat="1" applyFont="1" applyFill="1" applyBorder="1" applyAlignment="1">
      <alignment horizontal="center" vertical="center"/>
    </xf>
    <xf numFmtId="168" fontId="15" fillId="0" borderId="11" xfId="0" applyNumberFormat="1" applyFont="1" applyFill="1" applyBorder="1" applyAlignment="1">
      <alignment horizontal="right" vertical="center"/>
    </xf>
    <xf numFmtId="0" fontId="15" fillId="0" borderId="2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29" fillId="3" borderId="1" xfId="0" applyFont="1" applyFill="1" applyBorder="1" applyAlignment="1">
      <alignment horizontal="center" vertical="center"/>
    </xf>
    <xf numFmtId="3" fontId="29" fillId="11" borderId="2" xfId="1" applyNumberFormat="1" applyFont="1" applyFill="1" applyBorder="1" applyAlignment="1">
      <alignment vertical="center" wrapText="1"/>
    </xf>
    <xf numFmtId="3" fontId="29" fillId="11" borderId="31" xfId="1" applyNumberFormat="1" applyFont="1" applyFill="1" applyBorder="1" applyAlignment="1">
      <alignment vertical="center"/>
    </xf>
    <xf numFmtId="0" fontId="29" fillId="0" borderId="22" xfId="0" applyFont="1" applyFill="1" applyBorder="1" applyAlignment="1">
      <alignment vertical="center" wrapText="1"/>
    </xf>
    <xf numFmtId="0" fontId="29" fillId="11" borderId="22" xfId="0" applyFont="1" applyFill="1" applyBorder="1" applyAlignment="1">
      <alignment vertical="center" wrapText="1"/>
    </xf>
    <xf numFmtId="0" fontId="29" fillId="11" borderId="0" xfId="0" applyFont="1" applyFill="1" applyBorder="1" applyAlignment="1">
      <alignment vertical="center" wrapText="1"/>
    </xf>
    <xf numFmtId="3" fontId="29" fillId="0" borderId="0" xfId="1" applyNumberFormat="1" applyFont="1" applyFill="1" applyBorder="1" applyAlignment="1">
      <alignment vertical="center"/>
    </xf>
    <xf numFmtId="3" fontId="29" fillId="0" borderId="22" xfId="1" applyNumberFormat="1" applyFont="1" applyFill="1" applyBorder="1" applyAlignment="1">
      <alignment vertical="center"/>
    </xf>
    <xf numFmtId="3" fontId="15" fillId="0" borderId="51" xfId="0" applyNumberFormat="1" applyFont="1" applyFill="1" applyBorder="1" applyAlignment="1">
      <alignment vertical="center"/>
    </xf>
    <xf numFmtId="3" fontId="29" fillId="11" borderId="26" xfId="1" applyNumberFormat="1" applyFont="1" applyFill="1" applyBorder="1" applyAlignment="1">
      <alignment vertical="center" wrapText="1"/>
    </xf>
    <xf numFmtId="3" fontId="15" fillId="0" borderId="42" xfId="0" applyNumberFormat="1" applyFont="1" applyFill="1" applyBorder="1" applyAlignment="1">
      <alignment vertical="center"/>
    </xf>
    <xf numFmtId="3" fontId="9" fillId="12" borderId="23" xfId="1" applyNumberFormat="1" applyFont="1" applyFill="1" applyBorder="1" applyAlignment="1">
      <alignment vertical="center" wrapText="1"/>
    </xf>
    <xf numFmtId="3" fontId="29" fillId="0" borderId="30" xfId="1" applyNumberFormat="1" applyFont="1" applyFill="1" applyBorder="1" applyAlignment="1">
      <alignment vertical="center" wrapText="1"/>
    </xf>
    <xf numFmtId="3" fontId="15" fillId="0" borderId="44" xfId="0" applyNumberFormat="1" applyFont="1" applyFill="1" applyBorder="1" applyAlignment="1">
      <alignment vertical="center" wrapText="1"/>
    </xf>
    <xf numFmtId="3" fontId="7" fillId="5" borderId="13" xfId="0" applyNumberFormat="1" applyFont="1" applyFill="1" applyBorder="1" applyAlignment="1">
      <alignment vertical="center"/>
    </xf>
    <xf numFmtId="0" fontId="13" fillId="10" borderId="18" xfId="0" applyFont="1" applyFill="1" applyBorder="1" applyAlignment="1">
      <alignment horizontal="center" vertical="center" wrapText="1"/>
    </xf>
    <xf numFmtId="0" fontId="40" fillId="0" borderId="1" xfId="0" applyFont="1" applyBorder="1"/>
    <xf numFmtId="3" fontId="29" fillId="0" borderId="28" xfId="1" applyNumberFormat="1" applyFont="1" applyFill="1" applyBorder="1" applyAlignment="1">
      <alignment vertical="center" wrapText="1"/>
    </xf>
    <xf numFmtId="0" fontId="40" fillId="0" borderId="0" xfId="0" applyFont="1" applyFill="1"/>
    <xf numFmtId="49" fontId="29" fillId="0" borderId="18" xfId="0" applyNumberFormat="1" applyFont="1" applyFill="1" applyBorder="1" applyAlignment="1">
      <alignment horizontal="center" vertical="center" wrapText="1"/>
    </xf>
    <xf numFmtId="49" fontId="29" fillId="0" borderId="16" xfId="0" applyNumberFormat="1"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2" xfId="1" applyFont="1" applyFill="1" applyBorder="1" applyAlignment="1">
      <alignment horizontal="center" vertical="center" wrapText="1"/>
    </xf>
    <xf numFmtId="0" fontId="46" fillId="0" borderId="18" xfId="0" applyFont="1" applyFill="1" applyBorder="1" applyAlignment="1">
      <alignment horizontal="center" vertical="center" wrapText="1"/>
    </xf>
    <xf numFmtId="3" fontId="29" fillId="0" borderId="6" xfId="1" applyNumberFormat="1" applyFont="1" applyFill="1" applyBorder="1" applyAlignment="1">
      <alignment vertical="center" wrapText="1"/>
    </xf>
    <xf numFmtId="3" fontId="29" fillId="0" borderId="39" xfId="1" applyNumberFormat="1" applyFont="1" applyFill="1" applyBorder="1" applyAlignment="1">
      <alignment vertical="center" wrapText="1"/>
    </xf>
    <xf numFmtId="3" fontId="15" fillId="0" borderId="12" xfId="0" applyNumberFormat="1" applyFont="1" applyFill="1" applyBorder="1" applyAlignment="1">
      <alignment vertical="center" wrapText="1"/>
    </xf>
    <xf numFmtId="3" fontId="29" fillId="12" borderId="14" xfId="1" applyNumberFormat="1" applyFont="1" applyFill="1" applyBorder="1" applyAlignment="1">
      <alignment vertical="center" wrapText="1"/>
    </xf>
    <xf numFmtId="3" fontId="29" fillId="0" borderId="6" xfId="0" applyNumberFormat="1" applyFont="1" applyFill="1" applyBorder="1" applyAlignment="1">
      <alignment vertical="center" wrapText="1"/>
    </xf>
    <xf numFmtId="3" fontId="15" fillId="0" borderId="18" xfId="0" applyNumberFormat="1" applyFont="1" applyFill="1" applyBorder="1" applyAlignment="1">
      <alignment vertical="center" wrapText="1"/>
    </xf>
    <xf numFmtId="49" fontId="15" fillId="0" borderId="18" xfId="0" applyNumberFormat="1" applyFont="1" applyFill="1" applyBorder="1" applyAlignment="1">
      <alignment horizontal="center" vertical="center" wrapText="1"/>
    </xf>
    <xf numFmtId="49" fontId="15" fillId="3" borderId="23" xfId="0" applyNumberFormat="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29" fillId="0" borderId="52" xfId="0" applyFont="1" applyFill="1" applyBorder="1" applyAlignment="1">
      <alignment horizontal="center" vertical="center" wrapText="1"/>
    </xf>
    <xf numFmtId="0" fontId="15" fillId="0" borderId="14" xfId="0" applyFont="1" applyFill="1" applyBorder="1"/>
    <xf numFmtId="3" fontId="15" fillId="5" borderId="30" xfId="0" applyNumberFormat="1" applyFont="1" applyFill="1" applyBorder="1" applyAlignment="1">
      <alignment vertical="center" wrapText="1"/>
    </xf>
    <xf numFmtId="3" fontId="29" fillId="0" borderId="22" xfId="1" applyNumberFormat="1" applyFont="1" applyFill="1" applyBorder="1" applyAlignment="1">
      <alignment vertical="center" wrapText="1"/>
    </xf>
    <xf numFmtId="3" fontId="29" fillId="0" borderId="0" xfId="1" applyNumberFormat="1" applyFont="1" applyFill="1" applyBorder="1" applyAlignment="1">
      <alignment vertical="center" wrapText="1"/>
    </xf>
    <xf numFmtId="3" fontId="15" fillId="0" borderId="76" xfId="0" applyNumberFormat="1" applyFont="1" applyFill="1" applyBorder="1" applyAlignment="1">
      <alignment vertical="center" wrapText="1"/>
    </xf>
    <xf numFmtId="3" fontId="15" fillId="0" borderId="78" xfId="0" applyNumberFormat="1" applyFont="1" applyFill="1" applyBorder="1" applyAlignment="1">
      <alignment vertical="center" wrapText="1"/>
    </xf>
    <xf numFmtId="0" fontId="15" fillId="8" borderId="0" xfId="0" applyFont="1" applyFill="1" applyBorder="1" applyAlignment="1">
      <alignment horizontal="center" vertical="center"/>
    </xf>
    <xf numFmtId="3" fontId="14" fillId="12" borderId="26" xfId="1" applyNumberFormat="1" applyFont="1" applyFill="1" applyBorder="1" applyAlignment="1">
      <alignment vertical="center" wrapText="1"/>
    </xf>
    <xf numFmtId="3" fontId="14" fillId="0" borderId="19" xfId="1" applyNumberFormat="1" applyFont="1" applyBorder="1" applyAlignment="1">
      <alignment vertical="center" wrapText="1"/>
    </xf>
    <xf numFmtId="3" fontId="14" fillId="0" borderId="37" xfId="1" applyNumberFormat="1" applyFont="1" applyBorder="1" applyAlignment="1">
      <alignment vertical="center" wrapText="1"/>
    </xf>
    <xf numFmtId="3" fontId="14" fillId="0" borderId="13" xfId="1" applyNumberFormat="1" applyFont="1" applyBorder="1" applyAlignment="1">
      <alignment vertical="center" wrapText="1"/>
    </xf>
    <xf numFmtId="3" fontId="17" fillId="12" borderId="26" xfId="1" applyNumberFormat="1" applyFont="1" applyFill="1" applyBorder="1" applyAlignment="1">
      <alignment vertical="center" wrapText="1"/>
    </xf>
    <xf numFmtId="3" fontId="29" fillId="0" borderId="40" xfId="1" applyNumberFormat="1" applyFont="1" applyFill="1" applyBorder="1" applyAlignment="1">
      <alignment vertical="center" wrapText="1"/>
    </xf>
    <xf numFmtId="3" fontId="15" fillId="0" borderId="73" xfId="1" applyNumberFormat="1" applyFont="1" applyFill="1" applyBorder="1" applyAlignment="1">
      <alignment vertical="center" wrapText="1"/>
    </xf>
    <xf numFmtId="3" fontId="29" fillId="12" borderId="26" xfId="1" applyNumberFormat="1" applyFont="1" applyFill="1" applyBorder="1" applyAlignment="1">
      <alignment vertical="center" wrapText="1"/>
    </xf>
    <xf numFmtId="3" fontId="17" fillId="0" borderId="40" xfId="1" applyNumberFormat="1" applyFont="1" applyFill="1" applyBorder="1" applyAlignment="1">
      <alignment vertical="center" wrapText="1"/>
    </xf>
    <xf numFmtId="3" fontId="16" fillId="0" borderId="73" xfId="1" applyNumberFormat="1" applyFont="1" applyFill="1" applyBorder="1" applyAlignment="1">
      <alignment vertical="center" wrapText="1"/>
    </xf>
    <xf numFmtId="3" fontId="29" fillId="6" borderId="40" xfId="1" applyNumberFormat="1" applyFont="1" applyFill="1" applyBorder="1" applyAlignment="1">
      <alignment vertical="center" wrapText="1"/>
    </xf>
    <xf numFmtId="3" fontId="15" fillId="0" borderId="36" xfId="1" applyNumberFormat="1" applyFont="1" applyFill="1" applyBorder="1" applyAlignment="1">
      <alignment vertical="center" wrapText="1"/>
    </xf>
    <xf numFmtId="3" fontId="17" fillId="6" borderId="27" xfId="1" applyNumberFormat="1" applyFont="1" applyFill="1" applyBorder="1" applyAlignment="1">
      <alignment vertical="center" wrapText="1"/>
    </xf>
    <xf numFmtId="3" fontId="14" fillId="5" borderId="32" xfId="1" applyNumberFormat="1" applyFont="1" applyFill="1" applyBorder="1" applyAlignment="1">
      <alignment vertical="center" wrapText="1"/>
    </xf>
    <xf numFmtId="0" fontId="13" fillId="5" borderId="24" xfId="0"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3" fontId="14" fillId="12" borderId="13" xfId="1" applyNumberFormat="1" applyFont="1" applyFill="1" applyBorder="1" applyAlignment="1">
      <alignment vertical="center" wrapText="1"/>
    </xf>
    <xf numFmtId="0" fontId="18" fillId="0" borderId="2" xfId="0" applyFont="1" applyFill="1" applyBorder="1" applyAlignment="1">
      <alignment horizontal="center" vertical="center" wrapText="1"/>
    </xf>
    <xf numFmtId="3" fontId="14" fillId="12" borderId="23" xfId="1" applyNumberFormat="1" applyFont="1" applyFill="1" applyBorder="1" applyAlignment="1">
      <alignment vertical="center" wrapText="1"/>
    </xf>
    <xf numFmtId="3" fontId="29" fillId="0" borderId="16" xfId="1" applyNumberFormat="1" applyFont="1" applyFill="1" applyBorder="1" applyAlignment="1">
      <alignment vertical="center" wrapText="1"/>
    </xf>
    <xf numFmtId="3" fontId="29" fillId="0" borderId="35" xfId="1" applyNumberFormat="1" applyFont="1" applyFill="1" applyBorder="1" applyAlignment="1">
      <alignment vertical="center" wrapText="1"/>
    </xf>
    <xf numFmtId="3" fontId="29" fillId="0" borderId="32" xfId="1" applyNumberFormat="1" applyFont="1" applyFill="1" applyBorder="1" applyAlignment="1">
      <alignment vertical="center" wrapText="1"/>
    </xf>
    <xf numFmtId="3" fontId="17" fillId="5" borderId="24" xfId="1" applyNumberFormat="1" applyFont="1" applyFill="1" applyBorder="1" applyAlignment="1">
      <alignment vertical="center" wrapText="1"/>
    </xf>
    <xf numFmtId="3" fontId="14" fillId="0" borderId="24" xfId="1" applyNumberFormat="1" applyFont="1" applyFill="1" applyBorder="1" applyAlignment="1">
      <alignment vertical="center" wrapText="1"/>
    </xf>
    <xf numFmtId="3" fontId="17" fillId="5" borderId="35" xfId="1" applyNumberFormat="1" applyFont="1" applyFill="1" applyBorder="1" applyAlignment="1">
      <alignment vertical="center" wrapText="1"/>
    </xf>
    <xf numFmtId="3" fontId="14" fillId="0" borderId="45" xfId="1" applyNumberFormat="1" applyFont="1" applyFill="1" applyBorder="1" applyAlignment="1">
      <alignment vertical="center" wrapText="1"/>
    </xf>
    <xf numFmtId="3" fontId="14" fillId="0" borderId="16" xfId="1" applyNumberFormat="1" applyFont="1" applyFill="1" applyBorder="1" applyAlignment="1">
      <alignment vertical="center" wrapText="1"/>
    </xf>
    <xf numFmtId="3" fontId="17" fillId="5" borderId="32" xfId="1" applyNumberFormat="1" applyFont="1" applyFill="1" applyBorder="1" applyAlignment="1">
      <alignment vertical="center" wrapText="1"/>
    </xf>
    <xf numFmtId="3" fontId="29" fillId="0" borderId="24" xfId="1" applyNumberFormat="1" applyFont="1" applyFill="1" applyBorder="1" applyAlignment="1">
      <alignment vertical="center" wrapText="1"/>
    </xf>
    <xf numFmtId="3" fontId="9" fillId="5" borderId="16" xfId="1" applyNumberFormat="1" applyFont="1" applyFill="1" applyBorder="1" applyAlignment="1">
      <alignment vertical="center" wrapText="1"/>
    </xf>
    <xf numFmtId="3" fontId="16" fillId="0" borderId="26" xfId="0" applyNumberFormat="1" applyFont="1" applyFill="1" applyBorder="1" applyAlignment="1">
      <alignment vertical="center"/>
    </xf>
    <xf numFmtId="3" fontId="13" fillId="0" borderId="14" xfId="0" applyNumberFormat="1" applyFont="1" applyFill="1" applyBorder="1" applyAlignment="1">
      <alignment vertical="center"/>
    </xf>
    <xf numFmtId="3" fontId="32" fillId="12" borderId="26" xfId="1" applyNumberFormat="1" applyFont="1" applyFill="1" applyBorder="1" applyAlignment="1">
      <alignment vertical="center" wrapText="1"/>
    </xf>
    <xf numFmtId="49" fontId="30" fillId="3" borderId="26" xfId="0" applyNumberFormat="1" applyFont="1" applyFill="1" applyBorder="1" applyAlignment="1">
      <alignment horizontal="center" vertical="center"/>
    </xf>
    <xf numFmtId="0" fontId="30" fillId="0" borderId="26" xfId="1" applyFont="1" applyFill="1" applyBorder="1" applyAlignment="1">
      <alignment horizontal="center" vertical="center"/>
    </xf>
    <xf numFmtId="1" fontId="32" fillId="8" borderId="0"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36" xfId="0" applyFont="1" applyFill="1" applyBorder="1" applyAlignment="1">
      <alignment horizontal="center" vertical="center"/>
    </xf>
    <xf numFmtId="0" fontId="30" fillId="6" borderId="32" xfId="0" applyFont="1" applyFill="1" applyBorder="1" applyAlignment="1">
      <alignment horizontal="center" vertical="center"/>
    </xf>
    <xf numFmtId="0" fontId="32" fillId="3" borderId="0" xfId="0" applyFont="1" applyFill="1" applyBorder="1" applyAlignment="1">
      <alignment horizontal="center" vertical="center"/>
    </xf>
    <xf numFmtId="3" fontId="32" fillId="0" borderId="42" xfId="1" applyNumberFormat="1" applyFont="1" applyFill="1" applyBorder="1" applyAlignment="1">
      <alignment vertical="center" wrapText="1"/>
    </xf>
    <xf numFmtId="3" fontId="32" fillId="0" borderId="37" xfId="1" applyNumberFormat="1" applyFont="1" applyFill="1" applyBorder="1" applyAlignment="1">
      <alignment vertical="center" wrapText="1"/>
    </xf>
    <xf numFmtId="3" fontId="32" fillId="0" borderId="26" xfId="1" applyNumberFormat="1" applyFont="1" applyFill="1" applyBorder="1" applyAlignment="1">
      <alignment vertical="center"/>
    </xf>
    <xf numFmtId="3" fontId="30" fillId="0" borderId="36" xfId="0" applyNumberFormat="1" applyFont="1" applyFill="1" applyBorder="1" applyAlignment="1">
      <alignment vertical="center"/>
    </xf>
    <xf numFmtId="3" fontId="30" fillId="0" borderId="42" xfId="0" applyNumberFormat="1" applyFont="1" applyFill="1" applyBorder="1" applyAlignment="1">
      <alignment vertical="center"/>
    </xf>
    <xf numFmtId="3" fontId="29" fillId="8" borderId="18" xfId="0" applyNumberFormat="1" applyFont="1" applyFill="1" applyBorder="1" applyAlignment="1">
      <alignment vertical="center" wrapText="1"/>
    </xf>
    <xf numFmtId="3" fontId="15" fillId="22" borderId="18" xfId="0" applyNumberFormat="1" applyFont="1" applyFill="1" applyBorder="1" applyAlignment="1">
      <alignment vertical="center" wrapText="1"/>
    </xf>
    <xf numFmtId="0" fontId="15" fillId="15" borderId="26" xfId="0" applyFont="1" applyFill="1" applyBorder="1" applyAlignment="1">
      <alignment horizontal="center" vertical="center" wrapText="1"/>
    </xf>
    <xf numFmtId="3" fontId="29" fillId="15" borderId="31" xfId="0" applyNumberFormat="1" applyFont="1" applyFill="1" applyBorder="1" applyAlignment="1">
      <alignment vertical="center"/>
    </xf>
    <xf numFmtId="3" fontId="29" fillId="8" borderId="31" xfId="0" applyNumberFormat="1" applyFont="1" applyFill="1" applyBorder="1" applyAlignment="1">
      <alignment vertical="center"/>
    </xf>
    <xf numFmtId="3" fontId="29" fillId="0" borderId="26" xfId="0" applyNumberFormat="1" applyFont="1" applyFill="1" applyBorder="1" applyAlignment="1">
      <alignment vertical="center"/>
    </xf>
    <xf numFmtId="3" fontId="15" fillId="0" borderId="42" xfId="1" applyNumberFormat="1" applyFont="1" applyFill="1" applyBorder="1" applyAlignment="1">
      <alignment vertical="center" wrapText="1"/>
    </xf>
    <xf numFmtId="3" fontId="17" fillId="0" borderId="35" xfId="1" applyNumberFormat="1" applyFont="1" applyFill="1" applyBorder="1" applyAlignment="1">
      <alignment vertical="center" wrapText="1"/>
    </xf>
    <xf numFmtId="3" fontId="17" fillId="6" borderId="40" xfId="1" applyNumberFormat="1" applyFont="1" applyFill="1" applyBorder="1" applyAlignment="1">
      <alignment vertical="center" wrapText="1"/>
    </xf>
    <xf numFmtId="3" fontId="16" fillId="0" borderId="37" xfId="0" applyNumberFormat="1" applyFont="1" applyFill="1" applyBorder="1" applyAlignment="1">
      <alignment vertical="center"/>
    </xf>
    <xf numFmtId="3" fontId="16" fillId="0" borderId="42" xfId="0" applyNumberFormat="1" applyFont="1" applyFill="1" applyBorder="1" applyAlignment="1">
      <alignment vertical="center"/>
    </xf>
    <xf numFmtId="0" fontId="15" fillId="0" borderId="27" xfId="0" applyFont="1" applyFill="1" applyBorder="1" applyAlignment="1">
      <alignment horizontal="center" vertical="center" wrapText="1"/>
    </xf>
    <xf numFmtId="3" fontId="29" fillId="15" borderId="31" xfId="1" applyNumberFormat="1" applyFont="1" applyFill="1" applyBorder="1" applyAlignment="1">
      <alignment vertical="center" wrapText="1"/>
    </xf>
    <xf numFmtId="0" fontId="15" fillId="15" borderId="23" xfId="0" applyFont="1" applyFill="1" applyBorder="1" applyAlignment="1">
      <alignment horizontal="center" vertical="center" wrapText="1"/>
    </xf>
    <xf numFmtId="0" fontId="29" fillId="0" borderId="26" xfId="0" applyFont="1" applyFill="1" applyBorder="1" applyAlignment="1">
      <alignment horizontal="center" vertical="center" wrapText="1"/>
    </xf>
    <xf numFmtId="49" fontId="15" fillId="3" borderId="22" xfId="0" applyNumberFormat="1" applyFont="1" applyFill="1" applyBorder="1" applyAlignment="1">
      <alignment horizontal="center" vertical="center" wrapText="1"/>
    </xf>
    <xf numFmtId="0" fontId="15" fillId="11" borderId="3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9" xfId="0" applyFont="1" applyFill="1" applyBorder="1" applyAlignment="1">
      <alignment horizontal="center" vertical="center"/>
    </xf>
    <xf numFmtId="0" fontId="29" fillId="0" borderId="20" xfId="0" applyFont="1" applyFill="1" applyBorder="1" applyAlignment="1">
      <alignment horizontal="center" vertical="center" wrapText="1"/>
    </xf>
    <xf numFmtId="3" fontId="29" fillId="11" borderId="31" xfId="1" applyNumberFormat="1" applyFont="1" applyFill="1" applyBorder="1" applyAlignment="1">
      <alignment vertical="center" wrapText="1"/>
    </xf>
    <xf numFmtId="3" fontId="29" fillId="11" borderId="22" xfId="1" applyNumberFormat="1" applyFont="1" applyFill="1" applyBorder="1" applyAlignment="1">
      <alignment vertical="center" wrapText="1"/>
    </xf>
    <xf numFmtId="3" fontId="29" fillId="11" borderId="0" xfId="1" applyNumberFormat="1" applyFont="1" applyFill="1" applyBorder="1" applyAlignment="1">
      <alignment vertical="center" wrapText="1"/>
    </xf>
    <xf numFmtId="3" fontId="29" fillId="0" borderId="29" xfId="1" applyNumberFormat="1" applyFont="1" applyFill="1" applyBorder="1" applyAlignment="1">
      <alignment vertical="center" wrapText="1"/>
    </xf>
    <xf numFmtId="49" fontId="16" fillId="3" borderId="22" xfId="0" applyNumberFormat="1" applyFont="1" applyFill="1" applyBorder="1" applyAlignment="1">
      <alignment horizontal="center" vertical="center" wrapText="1"/>
    </xf>
    <xf numFmtId="0" fontId="16" fillId="0" borderId="22" xfId="1" applyFont="1" applyFill="1" applyBorder="1" applyAlignment="1">
      <alignment horizontal="center" vertical="center" wrapText="1"/>
    </xf>
    <xf numFmtId="0" fontId="16" fillId="11" borderId="31"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29" xfId="0" applyFont="1" applyFill="1" applyBorder="1" applyAlignment="1">
      <alignment horizontal="center" vertical="center"/>
    </xf>
    <xf numFmtId="3" fontId="17" fillId="0" borderId="37" xfId="1" applyNumberFormat="1" applyFont="1" applyFill="1" applyBorder="1" applyAlignment="1">
      <alignment vertical="center" wrapText="1"/>
    </xf>
    <xf numFmtId="3" fontId="17" fillId="11" borderId="26" xfId="1" applyNumberFormat="1" applyFont="1" applyFill="1" applyBorder="1" applyAlignment="1">
      <alignment vertical="center" wrapText="1"/>
    </xf>
    <xf numFmtId="3" fontId="17" fillId="11" borderId="31" xfId="1" applyNumberFormat="1" applyFont="1" applyFill="1" applyBorder="1" applyAlignment="1">
      <alignment vertical="center" wrapText="1"/>
    </xf>
    <xf numFmtId="3" fontId="17" fillId="0" borderId="22" xfId="1" applyNumberFormat="1" applyFont="1" applyFill="1" applyBorder="1" applyAlignment="1">
      <alignment vertical="center" wrapText="1"/>
    </xf>
    <xf numFmtId="3" fontId="17" fillId="11" borderId="22" xfId="1" applyNumberFormat="1" applyFont="1" applyFill="1" applyBorder="1" applyAlignment="1">
      <alignment vertical="center" wrapText="1"/>
    </xf>
    <xf numFmtId="3" fontId="17" fillId="11" borderId="0" xfId="1" applyNumberFormat="1" applyFont="1" applyFill="1" applyBorder="1" applyAlignment="1">
      <alignment vertical="center" wrapText="1"/>
    </xf>
    <xf numFmtId="3" fontId="17" fillId="0" borderId="29" xfId="1" applyNumberFormat="1" applyFont="1" applyFill="1" applyBorder="1" applyAlignment="1">
      <alignment vertical="center" wrapText="1"/>
    </xf>
    <xf numFmtId="3" fontId="29" fillId="6" borderId="37" xfId="0" applyNumberFormat="1" applyFont="1" applyFill="1" applyBorder="1" applyAlignment="1">
      <alignment vertical="center" wrapText="1"/>
    </xf>
    <xf numFmtId="3" fontId="15" fillId="0" borderId="51" xfId="0" applyNumberFormat="1" applyFont="1" applyFill="1" applyBorder="1" applyAlignment="1">
      <alignment vertical="center" wrapText="1"/>
    </xf>
    <xf numFmtId="0" fontId="15" fillId="0" borderId="23" xfId="1" applyFont="1" applyBorder="1" applyAlignment="1">
      <alignment horizontal="center" vertical="center" wrapText="1"/>
    </xf>
    <xf numFmtId="3" fontId="29" fillId="15" borderId="37" xfId="0" applyNumberFormat="1" applyFont="1" applyFill="1" applyBorder="1" applyAlignment="1">
      <alignment vertical="center" wrapText="1"/>
    </xf>
    <xf numFmtId="49" fontId="15" fillId="3" borderId="35"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11" borderId="24" xfId="0" applyFont="1" applyFill="1" applyBorder="1" applyAlignment="1">
      <alignment horizontal="center" vertical="center" wrapText="1"/>
    </xf>
    <xf numFmtId="0" fontId="15" fillId="0" borderId="73" xfId="0" applyFont="1" applyBorder="1" applyAlignment="1">
      <alignment horizontal="center" vertical="center" wrapText="1"/>
    </xf>
    <xf numFmtId="3" fontId="29" fillId="11" borderId="25" xfId="0" applyNumberFormat="1" applyFont="1" applyFill="1" applyBorder="1" applyAlignment="1">
      <alignment vertical="center" wrapText="1"/>
    </xf>
    <xf numFmtId="3" fontId="29" fillId="11" borderId="28" xfId="0" applyNumberFormat="1" applyFont="1" applyFill="1" applyBorder="1" applyAlignment="1">
      <alignment vertical="center" wrapText="1"/>
    </xf>
    <xf numFmtId="3" fontId="29" fillId="0" borderId="28" xfId="0" applyNumberFormat="1" applyFont="1" applyBorder="1" applyAlignment="1">
      <alignment vertical="center" wrapText="1"/>
    </xf>
    <xf numFmtId="49" fontId="15" fillId="3" borderId="13" xfId="0" applyNumberFormat="1" applyFont="1" applyFill="1" applyBorder="1" applyAlignment="1">
      <alignment horizontal="center" vertical="center" wrapText="1"/>
    </xf>
    <xf numFmtId="168" fontId="15" fillId="0" borderId="1" xfId="0" applyNumberFormat="1" applyFont="1" applyFill="1" applyBorder="1" applyAlignment="1">
      <alignment horizontal="right" vertical="center"/>
    </xf>
    <xf numFmtId="0" fontId="15" fillId="0" borderId="30"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5" fillId="15" borderId="16" xfId="0" applyFont="1" applyFill="1" applyBorder="1" applyAlignment="1">
      <alignment horizontal="center" vertical="center" wrapText="1"/>
    </xf>
    <xf numFmtId="0" fontId="15" fillId="0" borderId="73" xfId="0" applyFont="1" applyFill="1" applyBorder="1" applyAlignment="1">
      <alignment horizontal="center" vertical="center" wrapText="1"/>
    </xf>
    <xf numFmtId="3" fontId="29" fillId="15" borderId="1" xfId="0" applyNumberFormat="1" applyFont="1" applyFill="1" applyBorder="1" applyAlignment="1">
      <alignment vertical="center" wrapText="1"/>
    </xf>
    <xf numFmtId="3" fontId="29" fillId="0" borderId="28" xfId="0" applyNumberFormat="1" applyFont="1" applyFill="1" applyBorder="1" applyAlignment="1">
      <alignment vertical="center" wrapText="1"/>
    </xf>
    <xf numFmtId="0" fontId="40" fillId="0" borderId="1" xfId="0" applyFont="1" applyFill="1" applyBorder="1"/>
    <xf numFmtId="3" fontId="29" fillId="11" borderId="37" xfId="0" applyNumberFormat="1" applyFont="1" applyFill="1" applyBorder="1" applyAlignment="1">
      <alignment vertical="center" wrapText="1"/>
    </xf>
    <xf numFmtId="0" fontId="15" fillId="11" borderId="36" xfId="0" applyFont="1" applyFill="1" applyBorder="1" applyAlignment="1">
      <alignment horizontal="center" vertical="center" wrapText="1"/>
    </xf>
    <xf numFmtId="3" fontId="29" fillId="12" borderId="23" xfId="1" applyNumberFormat="1" applyFont="1" applyFill="1" applyBorder="1" applyAlignment="1">
      <alignment vertical="center" wrapText="1"/>
    </xf>
    <xf numFmtId="0" fontId="15" fillId="0" borderId="53" xfId="0" applyFont="1" applyFill="1" applyBorder="1" applyAlignment="1">
      <alignment horizontal="center" vertical="center" wrapText="1"/>
    </xf>
    <xf numFmtId="3" fontId="29" fillId="6" borderId="27" xfId="1" applyNumberFormat="1" applyFont="1" applyFill="1" applyBorder="1" applyAlignment="1">
      <alignment vertical="center" wrapText="1"/>
    </xf>
    <xf numFmtId="3" fontId="29" fillId="8" borderId="4" xfId="1" applyNumberFormat="1" applyFont="1" applyFill="1" applyBorder="1" applyAlignment="1">
      <alignment vertical="center" wrapText="1"/>
    </xf>
    <xf numFmtId="3" fontId="29" fillId="8" borderId="8" xfId="1" applyNumberFormat="1" applyFont="1" applyFill="1" applyBorder="1" applyAlignment="1">
      <alignment vertical="center" wrapText="1"/>
    </xf>
    <xf numFmtId="3" fontId="29" fillId="0" borderId="4" xfId="1" applyNumberFormat="1" applyFont="1" applyFill="1" applyBorder="1" applyAlignment="1">
      <alignment vertical="center" wrapText="1"/>
    </xf>
    <xf numFmtId="3" fontId="15" fillId="0" borderId="53" xfId="0" applyNumberFormat="1" applyFont="1" applyFill="1" applyBorder="1" applyAlignment="1">
      <alignment vertical="center" wrapText="1"/>
    </xf>
    <xf numFmtId="3" fontId="15" fillId="0" borderId="50" xfId="0" applyNumberFormat="1" applyFont="1" applyFill="1" applyBorder="1" applyAlignment="1">
      <alignment vertical="center" wrapText="1"/>
    </xf>
    <xf numFmtId="0" fontId="16" fillId="3" borderId="22" xfId="0" applyNumberFormat="1" applyFont="1" applyFill="1" applyBorder="1" applyAlignment="1">
      <alignment horizontal="center" vertical="center" wrapText="1"/>
    </xf>
    <xf numFmtId="0" fontId="16" fillId="0" borderId="23" xfId="1" applyFont="1" applyFill="1" applyBorder="1" applyAlignment="1">
      <alignment horizontal="center" vertical="center" wrapText="1"/>
    </xf>
    <xf numFmtId="1" fontId="16" fillId="8" borderId="37" xfId="0" applyNumberFormat="1" applyFont="1" applyFill="1" applyBorder="1" applyAlignment="1">
      <alignment horizontal="center" vertical="center" wrapText="1"/>
    </xf>
    <xf numFmtId="1" fontId="16" fillId="0" borderId="37" xfId="0" applyNumberFormat="1" applyFont="1" applyFill="1" applyBorder="1" applyAlignment="1">
      <alignment horizontal="center" vertical="center" wrapText="1"/>
    </xf>
    <xf numFmtId="1" fontId="17" fillId="4" borderId="5" xfId="0" applyNumberFormat="1"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1" borderId="3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5" xfId="0" applyFont="1" applyFill="1" applyBorder="1" applyAlignment="1">
      <alignment horizontal="center" vertical="center"/>
    </xf>
    <xf numFmtId="3" fontId="17" fillId="11" borderId="27" xfId="1" applyNumberFormat="1" applyFont="1" applyFill="1" applyBorder="1" applyAlignment="1">
      <alignment vertical="center" wrapText="1"/>
    </xf>
    <xf numFmtId="3" fontId="16" fillId="0" borderId="44" xfId="0" applyNumberFormat="1" applyFont="1" applyFill="1" applyBorder="1" applyAlignment="1">
      <alignment vertical="center" wrapText="1"/>
    </xf>
    <xf numFmtId="3" fontId="16" fillId="0" borderId="51" xfId="0" applyNumberFormat="1" applyFont="1" applyFill="1" applyBorder="1" applyAlignment="1">
      <alignment vertical="center" wrapText="1"/>
    </xf>
    <xf numFmtId="0" fontId="16" fillId="10" borderId="22" xfId="1" applyFont="1" applyFill="1" applyBorder="1" applyAlignment="1">
      <alignment horizontal="center" vertical="center" wrapText="1"/>
    </xf>
    <xf numFmtId="0" fontId="16" fillId="11" borderId="26" xfId="0" applyFont="1" applyFill="1" applyBorder="1" applyAlignment="1">
      <alignment horizontal="center" vertical="center" wrapText="1"/>
    </xf>
    <xf numFmtId="4" fontId="15" fillId="0" borderId="3" xfId="0" applyNumberFormat="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4" fontId="15" fillId="0" borderId="21" xfId="0" applyNumberFormat="1" applyFont="1" applyFill="1" applyBorder="1" applyAlignment="1">
      <alignment horizontal="center" vertical="center" wrapText="1"/>
    </xf>
    <xf numFmtId="4" fontId="15" fillId="11" borderId="21" xfId="0" applyNumberFormat="1" applyFont="1" applyFill="1" applyBorder="1" applyAlignment="1">
      <alignment horizontal="center" vertical="center" wrapText="1"/>
    </xf>
    <xf numFmtId="4" fontId="15" fillId="0" borderId="27" xfId="0" applyNumberFormat="1" applyFont="1" applyFill="1" applyBorder="1" applyAlignment="1">
      <alignment horizontal="center" vertical="center" wrapText="1"/>
    </xf>
    <xf numFmtId="4" fontId="15" fillId="11" borderId="37" xfId="0" applyNumberFormat="1" applyFont="1" applyFill="1" applyBorder="1" applyAlignment="1">
      <alignment horizontal="center" vertical="center" wrapText="1"/>
    </xf>
    <xf numFmtId="0" fontId="15" fillId="0" borderId="7" xfId="0" applyFont="1" applyFill="1" applyBorder="1"/>
    <xf numFmtId="0" fontId="15" fillId="0" borderId="11" xfId="0" applyFont="1" applyFill="1" applyBorder="1"/>
    <xf numFmtId="3" fontId="29" fillId="0" borderId="25" xfId="1" applyNumberFormat="1" applyFont="1" applyFill="1" applyBorder="1" applyAlignment="1">
      <alignment horizontal="right" vertical="center" wrapText="1"/>
    </xf>
    <xf numFmtId="3" fontId="29" fillId="0" borderId="27" xfId="1" applyNumberFormat="1" applyFont="1" applyFill="1" applyBorder="1" applyAlignment="1">
      <alignment horizontal="right" vertical="center" wrapText="1"/>
    </xf>
    <xf numFmtId="3" fontId="29" fillId="0" borderId="37" xfId="1" applyNumberFormat="1" applyFont="1" applyFill="1" applyBorder="1" applyAlignment="1">
      <alignment horizontal="right" vertical="center" wrapText="1"/>
    </xf>
    <xf numFmtId="3" fontId="29" fillId="0" borderId="0" xfId="1" applyNumberFormat="1" applyFont="1" applyFill="1" applyBorder="1" applyAlignment="1">
      <alignment horizontal="right" vertical="center" wrapText="1"/>
    </xf>
    <xf numFmtId="49" fontId="15" fillId="3" borderId="14" xfId="0" applyNumberFormat="1" applyFont="1" applyFill="1" applyBorder="1" applyAlignment="1">
      <alignment horizontal="center" vertical="center" wrapText="1"/>
    </xf>
    <xf numFmtId="4" fontId="15" fillId="0" borderId="37" xfId="0" applyNumberFormat="1" applyFont="1" applyFill="1" applyBorder="1" applyAlignment="1">
      <alignment horizontal="center" vertical="center" wrapText="1"/>
    </xf>
    <xf numFmtId="4" fontId="15" fillId="11" borderId="0" xfId="0" applyNumberFormat="1" applyFont="1" applyFill="1" applyBorder="1" applyAlignment="1">
      <alignment horizontal="center" vertical="center" wrapText="1"/>
    </xf>
    <xf numFmtId="4" fontId="15" fillId="0" borderId="16" xfId="0" applyNumberFormat="1" applyFont="1" applyFill="1" applyBorder="1" applyAlignment="1">
      <alignment horizontal="center" vertical="center" wrapText="1"/>
    </xf>
    <xf numFmtId="3" fontId="52" fillId="0" borderId="37" xfId="0" applyNumberFormat="1" applyFont="1" applyFill="1" applyBorder="1" applyAlignment="1">
      <alignment horizontal="center" vertical="center" wrapText="1"/>
    </xf>
    <xf numFmtId="4" fontId="52" fillId="11" borderId="37" xfId="0" applyNumberFormat="1" applyFont="1" applyFill="1" applyBorder="1" applyAlignment="1">
      <alignment horizontal="center" vertical="center" wrapText="1"/>
    </xf>
    <xf numFmtId="49" fontId="15" fillId="3" borderId="23" xfId="0" applyNumberFormat="1" applyFont="1" applyFill="1" applyBorder="1" applyAlignment="1">
      <alignment horizontal="center" vertical="center"/>
    </xf>
    <xf numFmtId="0" fontId="15" fillId="11" borderId="44" xfId="0" applyFont="1" applyFill="1" applyBorder="1" applyAlignment="1">
      <alignment horizontal="center" vertical="center" wrapText="1"/>
    </xf>
    <xf numFmtId="3" fontId="29" fillId="15" borderId="4" xfId="1" applyNumberFormat="1" applyFont="1" applyFill="1" applyBorder="1" applyAlignment="1">
      <alignment vertical="center"/>
    </xf>
    <xf numFmtId="3" fontId="29" fillId="0" borderId="4" xfId="1" applyNumberFormat="1" applyFont="1" applyFill="1" applyBorder="1" applyAlignment="1">
      <alignment vertical="center"/>
    </xf>
    <xf numFmtId="1" fontId="29" fillId="0" borderId="29" xfId="0" applyNumberFormat="1" applyFont="1" applyFill="1" applyBorder="1" applyAlignment="1">
      <alignment horizontal="center" vertical="center" wrapText="1"/>
    </xf>
    <xf numFmtId="0" fontId="15" fillId="15" borderId="29" xfId="0" applyFont="1" applyFill="1" applyBorder="1" applyAlignment="1">
      <alignment horizontal="center" vertical="center" wrapText="1"/>
    </xf>
    <xf numFmtId="0" fontId="15" fillId="15" borderId="0" xfId="0" applyFont="1" applyFill="1" applyAlignment="1">
      <alignment horizontal="center" vertical="center"/>
    </xf>
    <xf numFmtId="0" fontId="15" fillId="15" borderId="22" xfId="0" applyFont="1" applyFill="1" applyBorder="1"/>
    <xf numFmtId="0" fontId="29" fillId="15" borderId="0" xfId="0" applyFont="1" applyFill="1" applyBorder="1" applyAlignment="1">
      <alignment horizontal="center" vertical="center"/>
    </xf>
    <xf numFmtId="3" fontId="29" fillId="15" borderId="31" xfId="1" applyNumberFormat="1" applyFont="1" applyFill="1" applyBorder="1" applyAlignment="1">
      <alignment vertical="center"/>
    </xf>
    <xf numFmtId="3" fontId="29" fillId="15" borderId="26" xfId="1" applyNumberFormat="1" applyFont="1" applyFill="1" applyBorder="1" applyAlignment="1">
      <alignment vertical="center"/>
    </xf>
    <xf numFmtId="0" fontId="40" fillId="15" borderId="0" xfId="0" applyFont="1" applyFill="1"/>
    <xf numFmtId="3" fontId="14" fillId="28" borderId="26" xfId="0" applyNumberFormat="1" applyFont="1" applyFill="1" applyBorder="1" applyAlignment="1">
      <alignment vertical="center" wrapText="1"/>
    </xf>
    <xf numFmtId="3" fontId="14" fillId="28" borderId="23" xfId="0" applyNumberFormat="1" applyFont="1" applyFill="1" applyBorder="1" applyAlignment="1">
      <alignment vertical="center" wrapText="1"/>
    </xf>
    <xf numFmtId="3" fontId="9" fillId="28" borderId="26" xfId="0" applyNumberFormat="1" applyFont="1" applyFill="1" applyBorder="1" applyAlignment="1">
      <alignment vertical="center" wrapText="1"/>
    </xf>
    <xf numFmtId="3" fontId="14" fillId="29" borderId="26" xfId="0" applyNumberFormat="1" applyFont="1" applyFill="1" applyBorder="1" applyAlignment="1">
      <alignment vertical="center" wrapText="1"/>
    </xf>
    <xf numFmtId="3" fontId="29" fillId="28" borderId="26" xfId="0" applyNumberFormat="1" applyFont="1" applyFill="1" applyBorder="1" applyAlignment="1">
      <alignment vertical="center" wrapText="1"/>
    </xf>
    <xf numFmtId="3" fontId="29" fillId="5" borderId="26" xfId="0" applyNumberFormat="1" applyFont="1" applyFill="1" applyBorder="1" applyAlignment="1">
      <alignment vertical="center" wrapText="1"/>
    </xf>
    <xf numFmtId="3" fontId="29" fillId="23" borderId="26" xfId="0" applyNumberFormat="1" applyFont="1" applyFill="1" applyBorder="1" applyAlignment="1">
      <alignment vertical="center" wrapText="1"/>
    </xf>
    <xf numFmtId="3" fontId="15" fillId="17" borderId="26" xfId="0" applyNumberFormat="1" applyFont="1" applyFill="1" applyBorder="1" applyAlignment="1">
      <alignment vertical="center" wrapText="1"/>
    </xf>
    <xf numFmtId="3" fontId="29" fillId="17" borderId="37" xfId="1" applyNumberFormat="1" applyFont="1" applyFill="1" applyBorder="1" applyAlignment="1">
      <alignment vertical="center" wrapText="1"/>
    </xf>
    <xf numFmtId="3" fontId="29" fillId="0" borderId="26" xfId="0" applyNumberFormat="1" applyFont="1" applyBorder="1" applyAlignment="1">
      <alignment horizontal="right" vertical="center"/>
    </xf>
    <xf numFmtId="3" fontId="9" fillId="5" borderId="23" xfId="0" applyNumberFormat="1" applyFont="1" applyFill="1" applyBorder="1" applyAlignment="1">
      <alignment vertical="center" wrapText="1"/>
    </xf>
    <xf numFmtId="3" fontId="13" fillId="28" borderId="26" xfId="0" applyNumberFormat="1" applyFont="1" applyFill="1" applyBorder="1" applyAlignment="1">
      <alignment vertical="center" wrapText="1"/>
    </xf>
    <xf numFmtId="49" fontId="15" fillId="17" borderId="23" xfId="0" applyNumberFormat="1" applyFont="1" applyFill="1" applyBorder="1" applyAlignment="1">
      <alignment horizontal="center" vertical="center" wrapText="1"/>
    </xf>
    <xf numFmtId="3" fontId="29" fillId="28" borderId="13" xfId="0" applyNumberFormat="1" applyFont="1" applyFill="1" applyBorder="1" applyAlignment="1">
      <alignment vertical="center" wrapText="1"/>
    </xf>
    <xf numFmtId="3" fontId="15" fillId="17" borderId="23" xfId="0" applyNumberFormat="1" applyFont="1" applyFill="1" applyBorder="1" applyAlignment="1">
      <alignment vertical="center" wrapText="1"/>
    </xf>
    <xf numFmtId="3" fontId="29" fillId="17" borderId="27" xfId="1" applyNumberFormat="1" applyFont="1" applyFill="1" applyBorder="1" applyAlignment="1">
      <alignment vertical="center" wrapText="1"/>
    </xf>
    <xf numFmtId="3" fontId="29" fillId="28" borderId="23" xfId="0" applyNumberFormat="1" applyFont="1" applyFill="1" applyBorder="1" applyAlignment="1">
      <alignment vertical="center" wrapText="1"/>
    </xf>
    <xf numFmtId="0" fontId="15" fillId="17" borderId="24" xfId="0" applyFont="1" applyFill="1" applyBorder="1" applyAlignment="1">
      <alignment horizontal="center" vertical="center" wrapText="1"/>
    </xf>
    <xf numFmtId="3" fontId="15" fillId="22" borderId="23" xfId="0" applyNumberFormat="1" applyFont="1" applyFill="1" applyBorder="1" applyAlignment="1">
      <alignment horizontal="right" vertical="center"/>
    </xf>
    <xf numFmtId="3" fontId="15" fillId="8" borderId="27" xfId="0" applyNumberFormat="1" applyFont="1" applyFill="1" applyBorder="1" applyAlignment="1">
      <alignment horizontal="right" vertical="center"/>
    </xf>
    <xf numFmtId="0" fontId="15" fillId="5" borderId="32" xfId="0" applyFont="1" applyFill="1" applyBorder="1" applyAlignment="1">
      <alignment horizontal="center" vertical="center" wrapText="1"/>
    </xf>
    <xf numFmtId="0" fontId="57" fillId="0" borderId="27" xfId="0" applyFont="1" applyFill="1" applyBorder="1" applyAlignment="1">
      <alignment horizontal="center" vertical="center" wrapText="1"/>
    </xf>
    <xf numFmtId="3" fontId="15" fillId="8" borderId="37" xfId="0" applyNumberFormat="1" applyFont="1" applyFill="1" applyBorder="1" applyAlignment="1">
      <alignment horizontal="right" vertical="center"/>
    </xf>
    <xf numFmtId="3" fontId="15" fillId="8" borderId="30" xfId="0" applyNumberFormat="1" applyFont="1" applyFill="1" applyBorder="1" applyAlignment="1">
      <alignment horizontal="right" vertical="center"/>
    </xf>
    <xf numFmtId="3" fontId="15" fillId="8" borderId="25" xfId="0" applyNumberFormat="1" applyFont="1" applyFill="1" applyBorder="1" applyAlignment="1">
      <alignment horizontal="right" vertical="center"/>
    </xf>
    <xf numFmtId="3" fontId="15" fillId="10" borderId="37" xfId="0" applyNumberFormat="1" applyFont="1" applyFill="1" applyBorder="1" applyAlignment="1">
      <alignment vertical="center" wrapText="1"/>
    </xf>
    <xf numFmtId="49" fontId="15" fillId="3" borderId="45" xfId="0" applyNumberFormat="1" applyFont="1" applyFill="1" applyBorder="1" applyAlignment="1">
      <alignment horizontal="center" vertical="center" wrapText="1"/>
    </xf>
    <xf numFmtId="0" fontId="29" fillId="0" borderId="52" xfId="0" applyFont="1" applyBorder="1" applyAlignment="1">
      <alignment horizontal="center" vertical="center" wrapText="1"/>
    </xf>
    <xf numFmtId="49" fontId="29" fillId="0" borderId="48"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0" fontId="15" fillId="0" borderId="62" xfId="0" applyFont="1" applyFill="1" applyBorder="1" applyAlignment="1">
      <alignment horizontal="center" vertical="center" wrapText="1"/>
    </xf>
    <xf numFmtId="0" fontId="46" fillId="0" borderId="13" xfId="0" applyFont="1" applyFill="1" applyBorder="1" applyAlignment="1">
      <alignment horizontal="center" vertical="center"/>
    </xf>
    <xf numFmtId="3" fontId="29" fillId="0" borderId="13" xfId="0" applyNumberFormat="1" applyFont="1" applyFill="1" applyBorder="1" applyAlignment="1">
      <alignment horizontal="right" vertical="center"/>
    </xf>
    <xf numFmtId="3" fontId="29" fillId="0" borderId="62" xfId="1" applyNumberFormat="1" applyFont="1" applyFill="1" applyBorder="1" applyAlignment="1">
      <alignment vertical="center" wrapText="1"/>
    </xf>
    <xf numFmtId="3" fontId="15" fillId="0" borderId="13" xfId="0" applyNumberFormat="1" applyFont="1" applyFill="1" applyBorder="1" applyAlignment="1">
      <alignment vertical="center" wrapText="1"/>
    </xf>
    <xf numFmtId="3" fontId="29" fillId="0" borderId="19" xfId="1" applyNumberFormat="1" applyFont="1" applyFill="1" applyBorder="1" applyAlignment="1">
      <alignment vertical="center" wrapText="1"/>
    </xf>
    <xf numFmtId="3" fontId="29" fillId="0" borderId="13" xfId="0" applyNumberFormat="1" applyFont="1" applyFill="1" applyBorder="1" applyAlignment="1">
      <alignment vertical="center" wrapText="1"/>
    </xf>
    <xf numFmtId="3" fontId="15" fillId="0" borderId="62" xfId="0" applyNumberFormat="1" applyFont="1" applyFill="1" applyBorder="1" applyAlignment="1">
      <alignment horizontal="right" vertical="center"/>
    </xf>
    <xf numFmtId="3" fontId="15" fillId="0" borderId="48" xfId="0" applyNumberFormat="1" applyFont="1" applyFill="1" applyBorder="1" applyAlignment="1">
      <alignment horizontal="right" vertical="center"/>
    </xf>
    <xf numFmtId="3" fontId="15" fillId="0" borderId="19" xfId="0" applyNumberFormat="1" applyFont="1" applyFill="1" applyBorder="1" applyAlignment="1">
      <alignment horizontal="right" vertical="center"/>
    </xf>
    <xf numFmtId="3" fontId="15" fillId="8" borderId="19" xfId="0" applyNumberFormat="1" applyFont="1" applyFill="1" applyBorder="1" applyAlignment="1">
      <alignment horizontal="right" vertical="center"/>
    </xf>
    <xf numFmtId="3" fontId="15" fillId="0" borderId="13" xfId="0" applyNumberFormat="1" applyFont="1" applyFill="1" applyBorder="1" applyAlignment="1">
      <alignment vertical="center"/>
    </xf>
    <xf numFmtId="3" fontId="15" fillId="0" borderId="13" xfId="0" applyNumberFormat="1" applyFont="1" applyFill="1" applyBorder="1" applyAlignment="1">
      <alignment horizontal="right" vertical="center"/>
    </xf>
    <xf numFmtId="49" fontId="15" fillId="0" borderId="13"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3" fontId="15" fillId="0" borderId="56" xfId="0" applyNumberFormat="1" applyFont="1" applyFill="1" applyBorder="1" applyAlignment="1">
      <alignment vertical="center" wrapText="1"/>
    </xf>
    <xf numFmtId="3" fontId="15" fillId="0" borderId="6" xfId="0" applyNumberFormat="1" applyFont="1" applyFill="1" applyBorder="1" applyAlignment="1">
      <alignment vertical="center" wrapText="1"/>
    </xf>
    <xf numFmtId="1" fontId="7" fillId="12" borderId="18" xfId="1" applyNumberFormat="1" applyFont="1" applyFill="1" applyBorder="1" applyAlignment="1">
      <alignment horizontal="center" vertical="center" wrapText="1"/>
    </xf>
    <xf numFmtId="3" fontId="7" fillId="12" borderId="18" xfId="0" applyNumberFormat="1" applyFont="1" applyFill="1" applyBorder="1" applyAlignment="1">
      <alignment horizontal="center" vertical="center" wrapText="1" shrinkToFit="1"/>
    </xf>
    <xf numFmtId="3" fontId="15" fillId="0" borderId="0" xfId="0" applyNumberFormat="1" applyFont="1" applyFill="1" applyBorder="1" applyAlignment="1">
      <alignment vertical="center" wrapText="1"/>
    </xf>
    <xf numFmtId="3" fontId="7" fillId="8" borderId="0" xfId="0" applyNumberFormat="1" applyFont="1" applyFill="1" applyBorder="1" applyAlignment="1">
      <alignment vertical="center" wrapText="1"/>
    </xf>
    <xf numFmtId="3" fontId="13" fillId="8" borderId="0" xfId="0" applyNumberFormat="1" applyFont="1" applyFill="1" applyBorder="1" applyAlignment="1">
      <alignment vertical="center" wrapText="1"/>
    </xf>
    <xf numFmtId="3" fontId="15" fillId="8" borderId="0" xfId="0" applyNumberFormat="1" applyFont="1" applyFill="1" applyBorder="1" applyAlignment="1">
      <alignment vertical="center" wrapText="1"/>
    </xf>
    <xf numFmtId="166" fontId="15" fillId="8" borderId="0" xfId="0" applyNumberFormat="1" applyFont="1" applyFill="1" applyBorder="1" applyAlignment="1">
      <alignment vertical="center" wrapText="1"/>
    </xf>
    <xf numFmtId="3" fontId="16" fillId="8" borderId="0" xfId="0" applyNumberFormat="1" applyFont="1" applyFill="1" applyBorder="1" applyAlignment="1">
      <alignment vertical="center" wrapText="1"/>
    </xf>
    <xf numFmtId="3" fontId="15" fillId="8" borderId="1" xfId="0" applyNumberFormat="1" applyFont="1" applyFill="1" applyBorder="1" applyAlignment="1">
      <alignment vertical="center" wrapText="1"/>
    </xf>
    <xf numFmtId="3" fontId="30" fillId="8" borderId="0" xfId="0" applyNumberFormat="1" applyFont="1" applyFill="1" applyBorder="1" applyAlignment="1">
      <alignment vertical="center" wrapText="1"/>
    </xf>
    <xf numFmtId="3" fontId="29" fillId="0" borderId="5" xfId="1" applyNumberFormat="1" applyFont="1" applyFill="1" applyBorder="1" applyAlignment="1">
      <alignment vertical="center" wrapText="1"/>
    </xf>
    <xf numFmtId="3" fontId="29" fillId="0" borderId="18" xfId="1" applyNumberFormat="1" applyFont="1" applyFill="1" applyBorder="1" applyAlignment="1">
      <alignment vertical="center" wrapText="1"/>
    </xf>
    <xf numFmtId="3" fontId="14" fillId="17" borderId="26" xfId="0" applyNumberFormat="1" applyFont="1" applyFill="1" applyBorder="1" applyAlignment="1">
      <alignment vertical="center" wrapText="1"/>
    </xf>
    <xf numFmtId="3" fontId="29" fillId="0" borderId="14" xfId="0" applyNumberFormat="1" applyFont="1" applyFill="1" applyBorder="1" applyAlignment="1">
      <alignment vertical="center" wrapText="1"/>
    </xf>
    <xf numFmtId="0" fontId="47" fillId="3" borderId="0" xfId="0" applyFont="1" applyFill="1"/>
    <xf numFmtId="49" fontId="15" fillId="0" borderId="1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12" borderId="5" xfId="0" applyFont="1" applyFill="1" applyBorder="1" applyAlignment="1">
      <alignment horizontal="center" vertical="center" wrapText="1"/>
    </xf>
    <xf numFmtId="49" fontId="13" fillId="0" borderId="31" xfId="0" applyNumberFormat="1" applyFont="1" applyBorder="1" applyAlignment="1">
      <alignment horizontal="center" vertical="center"/>
    </xf>
    <xf numFmtId="49" fontId="7" fillId="0" borderId="30" xfId="0" applyNumberFormat="1" applyFont="1" applyFill="1" applyBorder="1" applyAlignment="1">
      <alignment horizontal="center" vertical="center"/>
    </xf>
    <xf numFmtId="49" fontId="15" fillId="0" borderId="30"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49" fontId="9" fillId="12" borderId="12" xfId="1" applyNumberFormat="1" applyFont="1" applyFill="1" applyBorder="1" applyAlignment="1">
      <alignment horizontal="center" vertical="center" wrapText="1"/>
    </xf>
    <xf numFmtId="4" fontId="9" fillId="22" borderId="16" xfId="0" applyNumberFormat="1" applyFont="1" applyFill="1" applyBorder="1" applyAlignment="1">
      <alignment horizontal="center" vertical="center" wrapText="1"/>
    </xf>
    <xf numFmtId="3" fontId="15" fillId="22" borderId="6" xfId="0" applyNumberFormat="1" applyFont="1" applyFill="1" applyBorder="1" applyAlignment="1">
      <alignment vertical="center" wrapText="1"/>
    </xf>
    <xf numFmtId="3" fontId="13" fillId="22" borderId="32" xfId="0" applyNumberFormat="1" applyFont="1" applyFill="1" applyBorder="1" applyAlignment="1">
      <alignment vertical="center" wrapText="1"/>
    </xf>
    <xf numFmtId="3" fontId="13" fillId="22" borderId="45" xfId="0" applyNumberFormat="1" applyFont="1" applyFill="1" applyBorder="1" applyAlignment="1">
      <alignment vertical="center" wrapText="1"/>
    </xf>
    <xf numFmtId="3" fontId="13" fillId="22" borderId="24" xfId="0" applyNumberFormat="1" applyFont="1" applyFill="1" applyBorder="1" applyAlignment="1">
      <alignment vertical="center" wrapText="1"/>
    </xf>
    <xf numFmtId="3" fontId="15" fillId="22" borderId="32" xfId="0" applyNumberFormat="1" applyFont="1" applyFill="1" applyBorder="1" applyAlignment="1">
      <alignment vertical="center" wrapText="1"/>
    </xf>
    <xf numFmtId="3" fontId="13" fillId="22" borderId="35" xfId="0" applyNumberFormat="1" applyFont="1" applyFill="1" applyBorder="1" applyAlignment="1">
      <alignment vertical="center" wrapText="1"/>
    </xf>
    <xf numFmtId="3" fontId="15" fillId="22" borderId="35" xfId="0" applyNumberFormat="1" applyFont="1" applyFill="1" applyBorder="1" applyAlignment="1">
      <alignment vertical="center" wrapText="1"/>
    </xf>
    <xf numFmtId="3" fontId="15" fillId="22" borderId="24" xfId="0" applyNumberFormat="1" applyFont="1" applyFill="1" applyBorder="1" applyAlignment="1">
      <alignment vertical="center" wrapText="1"/>
    </xf>
    <xf numFmtId="3" fontId="13" fillId="22" borderId="16" xfId="0" applyNumberFormat="1" applyFont="1" applyFill="1" applyBorder="1" applyAlignment="1">
      <alignment vertical="center" wrapText="1"/>
    </xf>
    <xf numFmtId="3" fontId="13" fillId="22" borderId="32" xfId="1" applyNumberFormat="1" applyFont="1" applyFill="1" applyBorder="1" applyAlignment="1">
      <alignment vertical="center" wrapText="1"/>
    </xf>
    <xf numFmtId="3" fontId="15" fillId="22" borderId="32" xfId="1" applyNumberFormat="1" applyFont="1" applyFill="1" applyBorder="1" applyAlignment="1">
      <alignment vertical="center" wrapText="1"/>
    </xf>
    <xf numFmtId="3" fontId="13" fillId="22" borderId="32" xfId="0" applyNumberFormat="1" applyFont="1" applyFill="1" applyBorder="1" applyAlignment="1">
      <alignment vertical="center"/>
    </xf>
    <xf numFmtId="3" fontId="15" fillId="22" borderId="24" xfId="0" applyNumberFormat="1" applyFont="1" applyFill="1" applyBorder="1" applyAlignment="1">
      <alignment horizontal="right" vertical="center"/>
    </xf>
    <xf numFmtId="3" fontId="13" fillId="22" borderId="24" xfId="0" applyNumberFormat="1" applyFont="1" applyFill="1" applyBorder="1" applyAlignment="1">
      <alignment horizontal="right" vertical="center"/>
    </xf>
    <xf numFmtId="3" fontId="15" fillId="22" borderId="32" xfId="0" applyNumberFormat="1" applyFont="1" applyFill="1" applyBorder="1" applyAlignment="1">
      <alignment horizontal="right" vertical="center"/>
    </xf>
    <xf numFmtId="3" fontId="15" fillId="22" borderId="45" xfId="0" applyNumberFormat="1" applyFont="1" applyFill="1" applyBorder="1" applyAlignment="1">
      <alignment vertical="center" wrapText="1"/>
    </xf>
    <xf numFmtId="3" fontId="13" fillId="22" borderId="32" xfId="0" applyNumberFormat="1" applyFont="1" applyFill="1" applyBorder="1" applyAlignment="1">
      <alignment horizontal="right" vertical="center" wrapText="1"/>
    </xf>
    <xf numFmtId="3" fontId="15" fillId="22" borderId="24" xfId="0" applyNumberFormat="1" applyFont="1" applyFill="1" applyBorder="1" applyAlignment="1">
      <alignment horizontal="right" vertical="center" wrapText="1"/>
    </xf>
    <xf numFmtId="3" fontId="13" fillId="22" borderId="45" xfId="0" applyNumberFormat="1" applyFont="1" applyFill="1" applyBorder="1" applyAlignment="1">
      <alignment horizontal="right" vertical="center" wrapText="1"/>
    </xf>
    <xf numFmtId="3" fontId="13" fillId="22" borderId="24" xfId="0" applyNumberFormat="1" applyFont="1" applyFill="1" applyBorder="1" applyAlignment="1">
      <alignment horizontal="right" vertical="center" wrapText="1"/>
    </xf>
    <xf numFmtId="3" fontId="13" fillId="22" borderId="24" xfId="0" applyNumberFormat="1" applyFont="1" applyFill="1" applyBorder="1" applyAlignment="1">
      <alignment vertical="center"/>
    </xf>
    <xf numFmtId="3" fontId="15" fillId="22" borderId="32" xfId="0" applyNumberFormat="1" applyFont="1" applyFill="1" applyBorder="1" applyAlignment="1">
      <alignment vertical="center"/>
    </xf>
    <xf numFmtId="3" fontId="13" fillId="22" borderId="45" xfId="0" applyNumberFormat="1" applyFont="1" applyFill="1" applyBorder="1" applyAlignment="1">
      <alignment vertical="center"/>
    </xf>
    <xf numFmtId="3" fontId="13" fillId="22" borderId="35" xfId="0" applyNumberFormat="1" applyFont="1" applyFill="1" applyBorder="1" applyAlignment="1">
      <alignment vertical="center"/>
    </xf>
    <xf numFmtId="3" fontId="15" fillId="22" borderId="9" xfId="0" applyNumberFormat="1" applyFont="1" applyFill="1" applyBorder="1" applyAlignment="1">
      <alignment vertical="center"/>
    </xf>
    <xf numFmtId="3" fontId="15" fillId="22" borderId="24" xfId="0" applyNumberFormat="1" applyFont="1" applyFill="1" applyBorder="1" applyAlignment="1">
      <alignment vertical="center"/>
    </xf>
    <xf numFmtId="3" fontId="13" fillId="0" borderId="15" xfId="0" applyNumberFormat="1" applyFont="1" applyBorder="1" applyAlignment="1">
      <alignment vertical="center" wrapText="1"/>
    </xf>
    <xf numFmtId="3" fontId="15" fillId="0" borderId="47" xfId="0" applyNumberFormat="1" applyFont="1" applyFill="1" applyBorder="1" applyAlignment="1">
      <alignment vertical="center" wrapText="1"/>
    </xf>
    <xf numFmtId="3" fontId="15" fillId="0" borderId="32" xfId="1" applyNumberFormat="1" applyFont="1" applyFill="1" applyBorder="1" applyAlignment="1">
      <alignment vertical="center" wrapText="1"/>
    </xf>
    <xf numFmtId="3" fontId="13" fillId="0" borderId="58" xfId="0" applyNumberFormat="1" applyFont="1" applyFill="1" applyBorder="1" applyAlignment="1">
      <alignment vertical="center"/>
    </xf>
    <xf numFmtId="3" fontId="15" fillId="0" borderId="47" xfId="0" applyNumberFormat="1" applyFont="1" applyFill="1" applyBorder="1" applyAlignment="1">
      <alignment vertical="center"/>
    </xf>
    <xf numFmtId="3" fontId="15" fillId="5" borderId="47" xfId="0" applyNumberFormat="1" applyFont="1" applyFill="1" applyBorder="1" applyAlignment="1">
      <alignment vertical="center"/>
    </xf>
    <xf numFmtId="3" fontId="13" fillId="0" borderId="58" xfId="0" applyNumberFormat="1" applyFont="1" applyBorder="1" applyAlignment="1">
      <alignment vertical="center"/>
    </xf>
    <xf numFmtId="3" fontId="15" fillId="0" borderId="58" xfId="0" applyNumberFormat="1" applyFont="1" applyFill="1" applyBorder="1" applyAlignment="1">
      <alignment vertical="center"/>
    </xf>
    <xf numFmtId="3" fontId="15" fillId="0" borderId="70" xfId="0" applyNumberFormat="1" applyFont="1" applyFill="1" applyBorder="1" applyAlignment="1">
      <alignment vertical="center"/>
    </xf>
    <xf numFmtId="3" fontId="15" fillId="0" borderId="60" xfId="0" applyNumberFormat="1" applyFont="1" applyFill="1" applyBorder="1" applyAlignment="1">
      <alignment vertical="center"/>
    </xf>
    <xf numFmtId="3" fontId="15" fillId="0" borderId="45" xfId="0" applyNumberFormat="1" applyFont="1" applyFill="1" applyBorder="1" applyAlignment="1">
      <alignment horizontal="right" vertical="center"/>
    </xf>
    <xf numFmtId="3" fontId="13" fillId="0" borderId="65" xfId="0" applyNumberFormat="1" applyFont="1" applyFill="1" applyBorder="1" applyAlignment="1">
      <alignment vertical="center" wrapText="1"/>
    </xf>
    <xf numFmtId="3" fontId="15" fillId="0" borderId="58" xfId="0" applyNumberFormat="1" applyFont="1" applyFill="1" applyBorder="1" applyAlignment="1">
      <alignment vertical="center" wrapText="1"/>
    </xf>
    <xf numFmtId="3" fontId="13" fillId="0" borderId="58" xfId="0" applyNumberFormat="1" applyFont="1" applyFill="1" applyBorder="1" applyAlignment="1">
      <alignment vertical="center" wrapText="1"/>
    </xf>
    <xf numFmtId="3" fontId="7" fillId="0" borderId="70" xfId="0" applyNumberFormat="1" applyFont="1" applyFill="1" applyBorder="1" applyAlignment="1">
      <alignment vertical="center" wrapText="1"/>
    </xf>
    <xf numFmtId="3" fontId="13" fillId="0" borderId="60" xfId="0" applyNumberFormat="1" applyFont="1" applyFill="1" applyBorder="1" applyAlignment="1">
      <alignment vertical="center"/>
    </xf>
    <xf numFmtId="3" fontId="30" fillId="5" borderId="47" xfId="0" applyNumberFormat="1" applyFont="1" applyFill="1" applyBorder="1" applyAlignment="1">
      <alignment vertical="center"/>
    </xf>
    <xf numFmtId="4" fontId="9" fillId="26" borderId="1" xfId="0" applyNumberFormat="1" applyFont="1" applyFill="1" applyBorder="1" applyAlignment="1">
      <alignment horizontal="center" vertical="center" wrapText="1"/>
    </xf>
    <xf numFmtId="4" fontId="9" fillId="26" borderId="70" xfId="0" applyNumberFormat="1" applyFont="1" applyFill="1" applyBorder="1" applyAlignment="1">
      <alignment horizontal="center" vertical="center" wrapText="1"/>
    </xf>
    <xf numFmtId="4" fontId="9" fillId="26" borderId="56" xfId="0" applyNumberFormat="1" applyFont="1" applyFill="1" applyBorder="1" applyAlignment="1">
      <alignment horizontal="center" vertical="center" wrapText="1"/>
    </xf>
    <xf numFmtId="4" fontId="15" fillId="0" borderId="23" xfId="0" applyNumberFormat="1" applyFont="1" applyFill="1" applyBorder="1" applyAlignment="1">
      <alignment horizontal="center" vertical="center" wrapText="1"/>
    </xf>
    <xf numFmtId="49" fontId="15" fillId="0" borderId="27"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3" fontId="15" fillId="27" borderId="27" xfId="0" applyNumberFormat="1" applyFont="1" applyFill="1" applyBorder="1" applyAlignment="1">
      <alignment vertical="center" wrapText="1"/>
    </xf>
    <xf numFmtId="49" fontId="15" fillId="17" borderId="14" xfId="0" applyNumberFormat="1" applyFont="1" applyFill="1" applyBorder="1" applyAlignment="1">
      <alignment horizontal="center" vertical="center" wrapText="1"/>
    </xf>
    <xf numFmtId="1" fontId="15" fillId="8" borderId="76"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6" xfId="1" applyFont="1" applyFill="1" applyBorder="1" applyAlignment="1">
      <alignment horizontal="center" vertical="center" wrapText="1"/>
    </xf>
    <xf numFmtId="4" fontId="9" fillId="0" borderId="55" xfId="0" applyNumberFormat="1" applyFont="1" applyFill="1" applyBorder="1" applyAlignment="1">
      <alignment horizontal="center" vertical="center" wrapText="1"/>
    </xf>
    <xf numFmtId="4" fontId="9" fillId="0" borderId="56"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9" fillId="0" borderId="5" xfId="0" applyNumberFormat="1" applyFont="1" applyFill="1" applyBorder="1" applyAlignment="1">
      <alignment horizontal="right" vertical="center" wrapText="1"/>
    </xf>
    <xf numFmtId="0" fontId="7" fillId="5" borderId="9" xfId="0" applyFont="1" applyFill="1" applyBorder="1" applyAlignment="1">
      <alignment horizontal="center" vertical="center" wrapText="1"/>
    </xf>
    <xf numFmtId="49" fontId="46" fillId="0" borderId="26" xfId="0" applyNumberFormat="1" applyFont="1" applyFill="1" applyBorder="1" applyAlignment="1">
      <alignment horizontal="center" vertical="center" wrapText="1"/>
    </xf>
    <xf numFmtId="49" fontId="46" fillId="0" borderId="51" xfId="0" applyNumberFormat="1" applyFont="1" applyFill="1" applyBorder="1" applyAlignment="1">
      <alignment horizontal="center" vertical="center" wrapText="1"/>
    </xf>
    <xf numFmtId="3" fontId="14" fillId="12" borderId="26" xfId="0" applyNumberFormat="1" applyFont="1" applyFill="1" applyBorder="1" applyAlignment="1">
      <alignment vertical="center" wrapText="1"/>
    </xf>
    <xf numFmtId="3" fontId="14" fillId="12" borderId="23" xfId="0" applyNumberFormat="1" applyFont="1" applyFill="1" applyBorder="1" applyAlignment="1">
      <alignment vertical="center" wrapText="1"/>
    </xf>
    <xf numFmtId="3" fontId="29" fillId="12" borderId="26" xfId="0" applyNumberFormat="1" applyFont="1" applyFill="1" applyBorder="1" applyAlignment="1">
      <alignment vertical="center" wrapText="1"/>
    </xf>
    <xf numFmtId="3" fontId="13" fillId="12" borderId="26" xfId="0" applyNumberFormat="1" applyFont="1" applyFill="1" applyBorder="1" applyAlignment="1">
      <alignment vertical="center" wrapText="1"/>
    </xf>
    <xf numFmtId="3" fontId="29" fillId="12" borderId="13" xfId="0" applyNumberFormat="1" applyFont="1" applyFill="1" applyBorder="1" applyAlignment="1">
      <alignment vertical="center" wrapText="1"/>
    </xf>
    <xf numFmtId="3" fontId="29" fillId="12" borderId="23" xfId="0" applyNumberFormat="1" applyFont="1" applyFill="1" applyBorder="1" applyAlignment="1">
      <alignment vertical="center" wrapText="1"/>
    </xf>
    <xf numFmtId="0" fontId="27" fillId="0" borderId="26" xfId="0" applyFont="1" applyFill="1" applyBorder="1" applyAlignment="1">
      <alignment horizontal="center" vertical="center"/>
    </xf>
    <xf numFmtId="3" fontId="15" fillId="0" borderId="79" xfId="0" applyNumberFormat="1" applyFont="1" applyFill="1" applyBorder="1" applyAlignment="1">
      <alignment vertical="center"/>
    </xf>
    <xf numFmtId="3" fontId="13" fillId="8" borderId="27" xfId="0" applyNumberFormat="1" applyFont="1" applyFill="1" applyBorder="1" applyAlignment="1">
      <alignment horizontal="right" vertical="center"/>
    </xf>
    <xf numFmtId="3" fontId="15" fillId="22" borderId="32" xfId="0" applyNumberFormat="1" applyFont="1" applyFill="1" applyBorder="1" applyAlignment="1">
      <alignment horizontal="right" vertical="center" wrapText="1"/>
    </xf>
    <xf numFmtId="3" fontId="15" fillId="8" borderId="37" xfId="0" applyNumberFormat="1" applyFont="1" applyFill="1" applyBorder="1" applyAlignment="1">
      <alignment horizontal="right" vertical="center" wrapText="1"/>
    </xf>
    <xf numFmtId="0" fontId="15" fillId="0" borderId="26" xfId="0" applyNumberFormat="1" applyFont="1" applyFill="1" applyBorder="1" applyAlignment="1">
      <alignment horizontal="center" vertical="center" wrapText="1"/>
    </xf>
    <xf numFmtId="3" fontId="32" fillId="5" borderId="26" xfId="1" applyNumberFormat="1" applyFont="1" applyFill="1" applyBorder="1" applyAlignment="1">
      <alignment vertical="center" wrapText="1"/>
    </xf>
    <xf numFmtId="3" fontId="17" fillId="0" borderId="2" xfId="1" applyNumberFormat="1" applyFont="1" applyFill="1" applyBorder="1" applyAlignment="1">
      <alignment vertical="center" wrapText="1"/>
    </xf>
    <xf numFmtId="3" fontId="15" fillId="8" borderId="27" xfId="0" applyNumberFormat="1" applyFont="1" applyFill="1" applyBorder="1" applyAlignment="1">
      <alignment vertical="center"/>
    </xf>
    <xf numFmtId="0" fontId="9" fillId="25" borderId="10" xfId="1" applyFont="1" applyFill="1" applyBorder="1" applyAlignment="1">
      <alignment horizontal="center" vertical="center" wrapText="1"/>
    </xf>
    <xf numFmtId="0" fontId="9" fillId="25" borderId="30" xfId="1" applyFont="1" applyFill="1" applyBorder="1" applyAlignment="1">
      <alignment horizontal="center" vertical="center" wrapText="1"/>
    </xf>
    <xf numFmtId="3" fontId="7" fillId="0" borderId="28" xfId="1" applyNumberFormat="1" applyFont="1" applyFill="1" applyBorder="1" applyAlignment="1">
      <alignment horizontal="center" vertical="center" wrapText="1"/>
    </xf>
    <xf numFmtId="3" fontId="7" fillId="24" borderId="28" xfId="1" applyNumberFormat="1" applyFont="1" applyFill="1" applyBorder="1" applyAlignment="1">
      <alignment horizontal="center" vertical="center" wrapText="1"/>
    </xf>
    <xf numFmtId="3" fontId="7" fillId="15" borderId="28" xfId="1" applyNumberFormat="1" applyFont="1" applyFill="1" applyBorder="1" applyAlignment="1">
      <alignment horizontal="center" vertical="center" wrapText="1"/>
    </xf>
    <xf numFmtId="49" fontId="29" fillId="0" borderId="24" xfId="0" applyNumberFormat="1" applyFont="1" applyFill="1" applyBorder="1" applyAlignment="1">
      <alignment horizontal="center" vertical="center"/>
    </xf>
    <xf numFmtId="0" fontId="46" fillId="0" borderId="23" xfId="1" applyFont="1" applyFill="1" applyBorder="1" applyAlignment="1">
      <alignment horizontal="center" vertical="center" wrapText="1"/>
    </xf>
    <xf numFmtId="3" fontId="16" fillId="0" borderId="28" xfId="1" applyNumberFormat="1" applyFont="1" applyFill="1" applyBorder="1" applyAlignment="1">
      <alignment horizontal="center" vertical="center" wrapText="1"/>
    </xf>
    <xf numFmtId="3" fontId="15" fillId="22" borderId="13" xfId="0" applyNumberFormat="1" applyFont="1" applyFill="1" applyBorder="1" applyAlignment="1">
      <alignment horizontal="right" vertical="center"/>
    </xf>
    <xf numFmtId="49" fontId="13" fillId="3" borderId="16" xfId="0" applyNumberFormat="1" applyFont="1" applyFill="1" applyBorder="1" applyAlignment="1">
      <alignment horizontal="center" vertical="center"/>
    </xf>
    <xf numFmtId="169" fontId="9" fillId="0" borderId="18" xfId="0" applyNumberFormat="1" applyFont="1" applyFill="1" applyBorder="1" applyAlignment="1">
      <alignment horizontal="center" vertical="center" wrapText="1"/>
    </xf>
    <xf numFmtId="169" fontId="14" fillId="0" borderId="33" xfId="0" applyNumberFormat="1" applyFont="1" applyFill="1" applyBorder="1" applyAlignment="1">
      <alignment horizontal="center" vertical="center" wrapText="1"/>
    </xf>
    <xf numFmtId="169" fontId="14" fillId="0" borderId="33" xfId="0" applyNumberFormat="1" applyFont="1" applyFill="1" applyBorder="1" applyAlignment="1">
      <alignment horizontal="center" vertical="center" wrapText="1" shrinkToFit="1"/>
    </xf>
    <xf numFmtId="169" fontId="29" fillId="0" borderId="33" xfId="0" applyNumberFormat="1" applyFont="1" applyFill="1" applyBorder="1" applyAlignment="1">
      <alignment horizontal="center" vertical="center" wrapText="1"/>
    </xf>
    <xf numFmtId="169" fontId="29" fillId="0" borderId="33" xfId="0" applyNumberFormat="1" applyFont="1" applyFill="1" applyBorder="1" applyAlignment="1">
      <alignment horizontal="center" vertical="center" wrapText="1" shrinkToFit="1"/>
    </xf>
    <xf numFmtId="169" fontId="29" fillId="0" borderId="26" xfId="0" applyNumberFormat="1" applyFont="1" applyFill="1" applyBorder="1" applyAlignment="1">
      <alignment horizontal="center" vertical="center" wrapText="1"/>
    </xf>
    <xf numFmtId="169" fontId="29" fillId="0" borderId="26" xfId="0" applyNumberFormat="1" applyFont="1" applyFill="1" applyBorder="1" applyAlignment="1">
      <alignment horizontal="center" vertical="center" wrapText="1" shrinkToFit="1"/>
    </xf>
    <xf numFmtId="169" fontId="14" fillId="0" borderId="26" xfId="0" applyNumberFormat="1" applyFont="1" applyFill="1" applyBorder="1" applyAlignment="1">
      <alignment horizontal="center" vertical="center" wrapText="1"/>
    </xf>
    <xf numFmtId="169" fontId="14" fillId="0" borderId="26" xfId="0" applyNumberFormat="1" applyFont="1" applyFill="1" applyBorder="1" applyAlignment="1">
      <alignment horizontal="center" vertical="center" wrapText="1" shrinkToFit="1"/>
    </xf>
    <xf numFmtId="169" fontId="14" fillId="0" borderId="13" xfId="0" applyNumberFormat="1" applyFont="1" applyFill="1" applyBorder="1" applyAlignment="1">
      <alignment horizontal="center" vertical="center" wrapText="1"/>
    </xf>
    <xf numFmtId="169" fontId="14" fillId="0" borderId="14" xfId="0" applyNumberFormat="1" applyFont="1" applyFill="1" applyBorder="1" applyAlignment="1">
      <alignment horizontal="center" vertical="center" wrapText="1" shrinkToFit="1"/>
    </xf>
    <xf numFmtId="169" fontId="14" fillId="0" borderId="23" xfId="0" applyNumberFormat="1" applyFont="1" applyFill="1" applyBorder="1" applyAlignment="1">
      <alignment horizontal="center" vertical="center" wrapText="1" shrinkToFit="1"/>
    </xf>
    <xf numFmtId="169" fontId="29" fillId="0" borderId="23" xfId="0" applyNumberFormat="1" applyFont="1" applyFill="1" applyBorder="1" applyAlignment="1">
      <alignment horizontal="center" vertical="center" wrapText="1" shrinkToFit="1"/>
    </xf>
    <xf numFmtId="169" fontId="9" fillId="0" borderId="26" xfId="0" applyNumberFormat="1" applyFont="1" applyFill="1" applyBorder="1" applyAlignment="1">
      <alignment horizontal="center" vertical="center" wrapText="1"/>
    </xf>
    <xf numFmtId="169" fontId="9" fillId="0" borderId="26" xfId="0" applyNumberFormat="1" applyFont="1" applyFill="1" applyBorder="1" applyAlignment="1">
      <alignment horizontal="center" vertical="center" wrapText="1" shrinkToFit="1"/>
    </xf>
    <xf numFmtId="169" fontId="9" fillId="0" borderId="14" xfId="0" applyNumberFormat="1" applyFont="1" applyFill="1" applyBorder="1" applyAlignment="1">
      <alignment horizontal="center" vertical="center" wrapText="1"/>
    </xf>
    <xf numFmtId="169" fontId="9" fillId="0" borderId="16" xfId="0" applyNumberFormat="1" applyFont="1" applyFill="1" applyBorder="1" applyAlignment="1">
      <alignment horizontal="center" vertical="center" wrapText="1" shrinkToFit="1"/>
    </xf>
    <xf numFmtId="0" fontId="7" fillId="0" borderId="55" xfId="0" applyFont="1" applyFill="1" applyBorder="1" applyAlignment="1">
      <alignment horizontal="center" vertical="center" wrapText="1"/>
    </xf>
    <xf numFmtId="3" fontId="29" fillId="5" borderId="37" xfId="1" applyNumberFormat="1" applyFont="1" applyFill="1" applyBorder="1" applyAlignment="1">
      <alignment vertical="center" wrapText="1"/>
    </xf>
    <xf numFmtId="0" fontId="9" fillId="12" borderId="14" xfId="0"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 fontId="9" fillId="16" borderId="3" xfId="0" applyNumberFormat="1" applyFont="1" applyFill="1" applyBorder="1" applyAlignment="1">
      <alignment horizontal="center" vertical="center" wrapText="1"/>
    </xf>
    <xf numFmtId="4" fontId="9" fillId="16" borderId="14" xfId="0" applyNumberFormat="1" applyFont="1" applyFill="1" applyBorder="1" applyAlignment="1">
      <alignment horizontal="center" vertical="center" wrapText="1"/>
    </xf>
    <xf numFmtId="0" fontId="9" fillId="12" borderId="11" xfId="0" applyFont="1" applyFill="1" applyBorder="1" applyAlignment="1">
      <alignment horizontal="center" vertical="center" wrapText="1"/>
    </xf>
    <xf numFmtId="0" fontId="18" fillId="0" borderId="0" xfId="0" applyFont="1" applyAlignment="1">
      <alignment horizontal="center" vertical="center" wrapText="1"/>
    </xf>
    <xf numFmtId="0" fontId="7" fillId="12" borderId="14" xfId="0" applyFont="1" applyFill="1" applyBorder="1" applyAlignment="1">
      <alignment horizontal="center" vertical="center" wrapText="1"/>
    </xf>
    <xf numFmtId="3" fontId="13" fillId="22" borderId="22" xfId="0" applyNumberFormat="1" applyFont="1" applyFill="1" applyBorder="1" applyAlignment="1">
      <alignment vertical="center" wrapText="1"/>
    </xf>
    <xf numFmtId="3" fontId="15" fillId="22" borderId="22" xfId="0" applyNumberFormat="1" applyFont="1" applyFill="1" applyBorder="1" applyAlignment="1">
      <alignment vertical="center" wrapText="1"/>
    </xf>
    <xf numFmtId="3" fontId="13" fillId="22" borderId="29" xfId="0" applyNumberFormat="1" applyFont="1" applyFill="1" applyBorder="1" applyAlignment="1">
      <alignment vertical="center" wrapText="1"/>
    </xf>
    <xf numFmtId="3" fontId="15" fillId="0" borderId="5" xfId="0" applyNumberFormat="1" applyFont="1" applyFill="1" applyBorder="1" applyAlignment="1">
      <alignment vertical="center" wrapText="1"/>
    </xf>
    <xf numFmtId="0" fontId="15" fillId="0" borderId="6"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3" fontId="15" fillId="0" borderId="75" xfId="0" applyNumberFormat="1" applyFont="1" applyFill="1" applyBorder="1" applyAlignment="1">
      <alignment vertical="center"/>
    </xf>
    <xf numFmtId="3" fontId="15" fillId="0" borderId="75" xfId="0" applyNumberFormat="1" applyFont="1" applyFill="1" applyBorder="1" applyAlignment="1">
      <alignment vertical="center" wrapText="1"/>
    </xf>
    <xf numFmtId="0" fontId="9" fillId="0" borderId="12" xfId="1" applyFont="1" applyFill="1" applyBorder="1" applyAlignment="1">
      <alignment horizontal="center" vertical="center" wrapText="1"/>
    </xf>
    <xf numFmtId="0" fontId="10" fillId="0" borderId="6" xfId="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0" fontId="9" fillId="12" borderId="0" xfId="1" applyFont="1" applyFill="1" applyBorder="1" applyAlignment="1">
      <alignment horizontal="center" vertical="center" wrapText="1"/>
    </xf>
    <xf numFmtId="0" fontId="7" fillId="0" borderId="28" xfId="0" applyFont="1" applyFill="1" applyBorder="1" applyAlignment="1">
      <alignment horizontal="right" vertical="center"/>
    </xf>
    <xf numFmtId="0" fontId="7" fillId="12" borderId="0" xfId="0" applyFont="1" applyFill="1" applyBorder="1" applyAlignment="1">
      <alignment horizontal="center" vertical="center" wrapText="1"/>
    </xf>
    <xf numFmtId="166" fontId="9" fillId="12" borderId="5" xfId="1" applyNumberFormat="1" applyFont="1" applyFill="1" applyBorder="1" applyAlignment="1">
      <alignment vertical="center" wrapText="1"/>
    </xf>
    <xf numFmtId="166" fontId="9" fillId="12" borderId="7" xfId="1" applyNumberFormat="1" applyFont="1" applyFill="1" applyBorder="1" applyAlignment="1">
      <alignment vertical="center" wrapText="1"/>
    </xf>
    <xf numFmtId="0" fontId="7" fillId="12" borderId="7" xfId="0" applyFont="1" applyFill="1" applyBorder="1" applyAlignment="1">
      <alignment horizontal="center" vertical="center" wrapText="1"/>
    </xf>
    <xf numFmtId="169" fontId="9" fillId="31" borderId="18" xfId="0" applyNumberFormat="1" applyFont="1" applyFill="1" applyBorder="1" applyAlignment="1">
      <alignment horizontal="center" vertical="center" wrapText="1"/>
    </xf>
    <xf numFmtId="0" fontId="9" fillId="31" borderId="18" xfId="0" applyFont="1" applyFill="1" applyBorder="1" applyAlignment="1">
      <alignment horizontal="center" vertical="center" wrapText="1"/>
    </xf>
    <xf numFmtId="0" fontId="7" fillId="31" borderId="18" xfId="0" applyFont="1" applyFill="1" applyBorder="1" applyAlignment="1">
      <alignment horizontal="center" vertical="center" wrapText="1"/>
    </xf>
    <xf numFmtId="0" fontId="9" fillId="31" borderId="18" xfId="1" applyFont="1" applyFill="1" applyBorder="1" applyAlignment="1">
      <alignment horizontal="center" vertical="center" wrapText="1"/>
    </xf>
    <xf numFmtId="0" fontId="9" fillId="31" borderId="6" xfId="1" applyFont="1" applyFill="1" applyBorder="1" applyAlignment="1">
      <alignment horizontal="center" vertical="center" wrapText="1"/>
    </xf>
    <xf numFmtId="0" fontId="10" fillId="31" borderId="18" xfId="1" applyFont="1" applyFill="1" applyBorder="1" applyAlignment="1">
      <alignment horizontal="center" vertical="center" wrapText="1"/>
    </xf>
    <xf numFmtId="3" fontId="9" fillId="31" borderId="18" xfId="1" applyNumberFormat="1" applyFont="1" applyFill="1" applyBorder="1" applyAlignment="1">
      <alignment vertical="center" wrapText="1"/>
    </xf>
    <xf numFmtId="3" fontId="9" fillId="31" borderId="5" xfId="1" applyNumberFormat="1" applyFont="1" applyFill="1" applyBorder="1" applyAlignment="1">
      <alignment vertical="center" wrapText="1"/>
    </xf>
    <xf numFmtId="4" fontId="9" fillId="31" borderId="55" xfId="0" applyNumberFormat="1" applyFont="1" applyFill="1" applyBorder="1" applyAlignment="1">
      <alignment horizontal="center" vertical="center" wrapText="1"/>
    </xf>
    <xf numFmtId="4" fontId="9" fillId="31" borderId="39" xfId="0" applyNumberFormat="1" applyFont="1" applyFill="1" applyBorder="1" applyAlignment="1">
      <alignment horizontal="center" vertical="center" wrapText="1"/>
    </xf>
    <xf numFmtId="4" fontId="9" fillId="31" borderId="56" xfId="0" applyNumberFormat="1" applyFont="1" applyFill="1" applyBorder="1" applyAlignment="1">
      <alignment horizontal="center" vertical="center" wrapText="1"/>
    </xf>
    <xf numFmtId="4" fontId="9" fillId="31" borderId="6" xfId="0" applyNumberFormat="1" applyFont="1" applyFill="1" applyBorder="1" applyAlignment="1">
      <alignment horizontal="center" vertical="center" wrapText="1"/>
    </xf>
    <xf numFmtId="4" fontId="9" fillId="31" borderId="5" xfId="0" applyNumberFormat="1" applyFont="1" applyFill="1" applyBorder="1" applyAlignment="1">
      <alignment horizontal="center" vertical="center" wrapText="1"/>
    </xf>
    <xf numFmtId="4" fontId="9" fillId="31" borderId="18" xfId="0" applyNumberFormat="1" applyFont="1" applyFill="1" applyBorder="1" applyAlignment="1">
      <alignment horizontal="center" vertical="center" wrapText="1"/>
    </xf>
    <xf numFmtId="4" fontId="9" fillId="31" borderId="5" xfId="0" applyNumberFormat="1" applyFont="1" applyFill="1" applyBorder="1" applyAlignment="1">
      <alignment horizontal="right" vertical="center" wrapText="1"/>
    </xf>
    <xf numFmtId="0" fontId="7" fillId="31" borderId="5" xfId="0" applyFont="1" applyFill="1" applyBorder="1" applyAlignment="1">
      <alignment horizontal="center" vertical="center" wrapText="1"/>
    </xf>
    <xf numFmtId="49" fontId="9" fillId="31" borderId="6" xfId="0" applyNumberFormat="1" applyFont="1" applyFill="1" applyBorder="1" applyAlignment="1">
      <alignment horizontal="center" vertical="center" wrapText="1"/>
    </xf>
    <xf numFmtId="49" fontId="9" fillId="31" borderId="12" xfId="0" applyNumberFormat="1" applyFont="1" applyFill="1" applyBorder="1" applyAlignment="1">
      <alignment horizontal="center" vertical="center" wrapText="1"/>
    </xf>
    <xf numFmtId="49" fontId="9" fillId="31" borderId="18" xfId="0" applyNumberFormat="1" applyFont="1" applyFill="1" applyBorder="1" applyAlignment="1">
      <alignment horizontal="center" vertical="center" wrapText="1"/>
    </xf>
    <xf numFmtId="0" fontId="9" fillId="31" borderId="5" xfId="1" applyFont="1" applyFill="1" applyBorder="1" applyAlignment="1">
      <alignment horizontal="center" vertical="center" wrapText="1"/>
    </xf>
    <xf numFmtId="0" fontId="7" fillId="31" borderId="55" xfId="0" applyFont="1" applyFill="1" applyBorder="1" applyAlignment="1">
      <alignment horizontal="right" vertical="center"/>
    </xf>
    <xf numFmtId="0" fontId="7" fillId="31" borderId="56" xfId="0" applyFont="1" applyFill="1" applyBorder="1" applyAlignment="1">
      <alignment horizontal="center" vertical="center"/>
    </xf>
    <xf numFmtId="168" fontId="7" fillId="31" borderId="57" xfId="0" applyNumberFormat="1" applyFont="1" applyFill="1" applyBorder="1" applyAlignment="1">
      <alignment horizontal="right" vertical="center"/>
    </xf>
    <xf numFmtId="168" fontId="7" fillId="31" borderId="31" xfId="0" applyNumberFormat="1" applyFont="1" applyFill="1" applyBorder="1" applyAlignment="1">
      <alignment horizontal="right" vertical="center"/>
    </xf>
    <xf numFmtId="0" fontId="9" fillId="31" borderId="55" xfId="0" applyFont="1" applyFill="1" applyBorder="1" applyAlignment="1">
      <alignment horizontal="center" vertical="center" wrapText="1"/>
    </xf>
    <xf numFmtId="1" fontId="9" fillId="31" borderId="56" xfId="0" applyNumberFormat="1" applyFont="1" applyFill="1" applyBorder="1" applyAlignment="1">
      <alignment horizontal="center" vertical="center" wrapText="1"/>
    </xf>
    <xf numFmtId="1" fontId="9" fillId="31" borderId="39" xfId="0" applyNumberFormat="1" applyFont="1" applyFill="1" applyBorder="1" applyAlignment="1">
      <alignment horizontal="center" vertical="center" wrapText="1"/>
    </xf>
    <xf numFmtId="1" fontId="9" fillId="31" borderId="5" xfId="0" applyNumberFormat="1" applyFont="1" applyFill="1" applyBorder="1" applyAlignment="1">
      <alignment horizontal="center" vertical="center" wrapText="1"/>
    </xf>
    <xf numFmtId="1" fontId="9" fillId="31" borderId="6" xfId="0" applyNumberFormat="1" applyFont="1" applyFill="1" applyBorder="1" applyAlignment="1">
      <alignment horizontal="center" vertical="center" wrapText="1"/>
    </xf>
    <xf numFmtId="0" fontId="9" fillId="31" borderId="6" xfId="0" applyFont="1" applyFill="1" applyBorder="1" applyAlignment="1">
      <alignment horizontal="center" vertical="center" wrapText="1"/>
    </xf>
    <xf numFmtId="0" fontId="18" fillId="31" borderId="3" xfId="0" applyFont="1" applyFill="1" applyBorder="1" applyAlignment="1">
      <alignment vertical="center" wrapText="1"/>
    </xf>
    <xf numFmtId="0" fontId="7" fillId="31" borderId="6" xfId="0" applyFont="1" applyFill="1" applyBorder="1" applyAlignment="1">
      <alignment horizontal="center" vertical="center" wrapText="1"/>
    </xf>
    <xf numFmtId="0" fontId="18" fillId="31" borderId="11" xfId="0" applyFont="1" applyFill="1" applyBorder="1" applyAlignment="1">
      <alignment vertical="center" wrapText="1"/>
    </xf>
    <xf numFmtId="0" fontId="18" fillId="31" borderId="11" xfId="0" applyFont="1" applyFill="1" applyBorder="1" applyAlignment="1">
      <alignment horizontal="center" vertical="center"/>
    </xf>
    <xf numFmtId="0" fontId="9" fillId="31" borderId="11" xfId="0" applyFont="1" applyFill="1" applyBorder="1" applyAlignment="1">
      <alignment horizontal="center" vertical="center" wrapText="1"/>
    </xf>
    <xf numFmtId="0" fontId="18" fillId="31" borderId="0" xfId="0" applyFont="1" applyFill="1" applyAlignment="1">
      <alignment horizontal="center" vertical="center"/>
    </xf>
    <xf numFmtId="0" fontId="18" fillId="31" borderId="22" xfId="0" applyFont="1" applyFill="1" applyBorder="1"/>
    <xf numFmtId="166" fontId="9" fillId="31" borderId="6" xfId="1" applyNumberFormat="1" applyFont="1" applyFill="1" applyBorder="1" applyAlignment="1">
      <alignment vertical="center" wrapText="1"/>
    </xf>
    <xf numFmtId="166" fontId="9" fillId="31" borderId="11" xfId="1" applyNumberFormat="1" applyFont="1" applyFill="1" applyBorder="1" applyAlignment="1">
      <alignment vertical="center" wrapText="1"/>
    </xf>
    <xf numFmtId="0" fontId="18" fillId="31" borderId="29" xfId="0" applyFont="1" applyFill="1" applyBorder="1"/>
    <xf numFmtId="0" fontId="9" fillId="31" borderId="6" xfId="1" applyFont="1" applyFill="1" applyBorder="1" applyAlignment="1">
      <alignment vertical="center" wrapText="1"/>
    </xf>
    <xf numFmtId="0" fontId="0" fillId="31" borderId="0" xfId="0" applyFill="1"/>
    <xf numFmtId="49" fontId="14" fillId="0" borderId="28" xfId="0" applyNumberFormat="1" applyFont="1" applyFill="1" applyBorder="1" applyAlignment="1">
      <alignment horizontal="center" vertical="center" wrapText="1" shrinkToFit="1"/>
    </xf>
    <xf numFmtId="3" fontId="14" fillId="12" borderId="22" xfId="1" applyNumberFormat="1" applyFont="1" applyFill="1" applyBorder="1" applyAlignment="1">
      <alignment vertical="center" wrapText="1"/>
    </xf>
    <xf numFmtId="3" fontId="14" fillId="0" borderId="22" xfId="0" applyNumberFormat="1" applyFont="1" applyFill="1" applyBorder="1" applyAlignment="1">
      <alignment vertical="center" wrapText="1"/>
    </xf>
    <xf numFmtId="3" fontId="13" fillId="0" borderId="0" xfId="0" applyNumberFormat="1" applyFont="1" applyFill="1" applyBorder="1" applyAlignment="1">
      <alignment horizontal="center" vertical="center" wrapText="1"/>
    </xf>
    <xf numFmtId="4" fontId="13" fillId="0" borderId="22" xfId="0" applyNumberFormat="1" applyFont="1" applyFill="1" applyBorder="1" applyAlignment="1">
      <alignment horizontal="center" vertical="center" wrapText="1"/>
    </xf>
    <xf numFmtId="3" fontId="49" fillId="0" borderId="0" xfId="0" applyNumberFormat="1" applyFont="1" applyFill="1" applyBorder="1" applyAlignment="1">
      <alignment horizontal="center" vertical="center" wrapText="1"/>
    </xf>
    <xf numFmtId="3" fontId="30" fillId="0" borderId="29" xfId="0" applyNumberFormat="1" applyFont="1" applyFill="1" applyBorder="1" applyAlignment="1">
      <alignment vertical="center" wrapText="1"/>
    </xf>
    <xf numFmtId="3" fontId="14" fillId="0" borderId="77" xfId="1" applyNumberFormat="1" applyFont="1" applyFill="1" applyBorder="1" applyAlignment="1">
      <alignment vertical="center" wrapText="1"/>
    </xf>
    <xf numFmtId="3" fontId="14" fillId="0" borderId="75" xfId="1" applyNumberFormat="1" applyFont="1" applyFill="1" applyBorder="1" applyAlignment="1">
      <alignment vertical="center" wrapText="1"/>
    </xf>
    <xf numFmtId="3" fontId="13" fillId="0" borderId="77" xfId="0" applyNumberFormat="1" applyFont="1" applyFill="1" applyBorder="1" applyAlignment="1">
      <alignment vertical="center" wrapText="1"/>
    </xf>
    <xf numFmtId="49" fontId="13" fillId="0" borderId="14" xfId="0" applyNumberFormat="1" applyFont="1" applyFill="1" applyBorder="1" applyAlignment="1">
      <alignment horizontal="center" vertical="center" wrapText="1" shrinkToFit="1"/>
    </xf>
    <xf numFmtId="0" fontId="13" fillId="0" borderId="30" xfId="1" applyFont="1" applyFill="1" applyBorder="1" applyAlignment="1">
      <alignment horizontal="center" vertical="center" wrapText="1"/>
    </xf>
    <xf numFmtId="0" fontId="27" fillId="0" borderId="16" xfId="0" applyFont="1" applyFill="1" applyBorder="1" applyAlignment="1">
      <alignment horizontal="center" vertical="center" wrapText="1"/>
    </xf>
    <xf numFmtId="3" fontId="14" fillId="12" borderId="14" xfId="1" applyNumberFormat="1" applyFont="1" applyFill="1" applyBorder="1" applyAlignment="1">
      <alignment vertical="center" wrapText="1"/>
    </xf>
    <xf numFmtId="3" fontId="13" fillId="22" borderId="1" xfId="0" applyNumberFormat="1" applyFont="1" applyFill="1" applyBorder="1" applyAlignment="1">
      <alignment vertical="center" wrapText="1"/>
    </xf>
    <xf numFmtId="3" fontId="13" fillId="8" borderId="1" xfId="0" applyNumberFormat="1" applyFont="1" applyFill="1" applyBorder="1" applyAlignment="1">
      <alignment vertical="center" wrapText="1"/>
    </xf>
    <xf numFmtId="3" fontId="13" fillId="22" borderId="30" xfId="0" applyNumberFormat="1" applyFont="1" applyFill="1" applyBorder="1" applyAlignment="1">
      <alignment vertical="center" wrapText="1"/>
    </xf>
    <xf numFmtId="49" fontId="13" fillId="0" borderId="30"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49" fontId="13" fillId="3" borderId="22" xfId="0" applyNumberFormat="1" applyFont="1" applyFill="1" applyBorder="1" applyAlignment="1">
      <alignment horizontal="center" vertical="center"/>
    </xf>
    <xf numFmtId="0" fontId="13" fillId="0" borderId="14" xfId="1" applyFont="1" applyBorder="1" applyAlignment="1">
      <alignment horizontal="center" vertical="center" wrapText="1"/>
    </xf>
    <xf numFmtId="0" fontId="15" fillId="6" borderId="16" xfId="0" applyFont="1" applyFill="1" applyBorder="1" applyAlignment="1">
      <alignment horizontal="center" vertical="center" wrapText="1"/>
    </xf>
    <xf numFmtId="0" fontId="15" fillId="0" borderId="16" xfId="0" applyFont="1" applyBorder="1" applyAlignment="1">
      <alignment horizontal="center" vertical="center" wrapText="1"/>
    </xf>
    <xf numFmtId="3" fontId="29" fillId="0" borderId="14" xfId="1" applyNumberFormat="1" applyFont="1" applyFill="1" applyBorder="1" applyAlignment="1">
      <alignment vertical="center" wrapText="1"/>
    </xf>
    <xf numFmtId="3" fontId="29" fillId="0" borderId="30" xfId="1" applyNumberFormat="1" applyFont="1" applyBorder="1" applyAlignment="1">
      <alignment vertical="center" wrapText="1"/>
    </xf>
    <xf numFmtId="3" fontId="29" fillId="8" borderId="30" xfId="1" applyNumberFormat="1" applyFont="1" applyFill="1" applyBorder="1" applyAlignment="1">
      <alignment vertical="center" wrapText="1"/>
    </xf>
    <xf numFmtId="3" fontId="13" fillId="0" borderId="76" xfId="0" applyNumberFormat="1" applyFont="1" applyFill="1" applyBorder="1" applyAlignment="1">
      <alignment vertical="center" wrapText="1"/>
    </xf>
    <xf numFmtId="3" fontId="13" fillId="0" borderId="78" xfId="0" applyNumberFormat="1" applyFont="1" applyFill="1" applyBorder="1" applyAlignment="1">
      <alignment vertical="center" wrapText="1"/>
    </xf>
    <xf numFmtId="169" fontId="29" fillId="0" borderId="22" xfId="0" applyNumberFormat="1" applyFont="1" applyFill="1" applyBorder="1" applyAlignment="1">
      <alignment horizontal="center" vertical="center" wrapText="1"/>
    </xf>
    <xf numFmtId="169" fontId="29" fillId="0" borderId="22" xfId="0" applyNumberFormat="1" applyFont="1" applyFill="1" applyBorder="1" applyAlignment="1">
      <alignment horizontal="center" vertical="center" wrapText="1" shrinkToFit="1"/>
    </xf>
    <xf numFmtId="0" fontId="15" fillId="0" borderId="0" xfId="1" applyFont="1" applyFill="1" applyBorder="1" applyAlignment="1">
      <alignment horizontal="center" vertical="center" wrapText="1"/>
    </xf>
    <xf numFmtId="3" fontId="29" fillId="12" borderId="22" xfId="1" applyNumberFormat="1" applyFont="1" applyFill="1" applyBorder="1" applyAlignment="1">
      <alignment vertical="center" wrapText="1"/>
    </xf>
    <xf numFmtId="3" fontId="15" fillId="0" borderId="0" xfId="1" applyNumberFormat="1" applyFont="1" applyFill="1" applyBorder="1" applyAlignment="1">
      <alignment vertical="center" wrapText="1"/>
    </xf>
    <xf numFmtId="3" fontId="15" fillId="0" borderId="29" xfId="1" applyNumberFormat="1" applyFont="1" applyFill="1" applyBorder="1" applyAlignment="1">
      <alignment vertical="center" wrapText="1"/>
    </xf>
    <xf numFmtId="3" fontId="15" fillId="8" borderId="0" xfId="1" applyNumberFormat="1" applyFont="1" applyFill="1" applyBorder="1" applyAlignment="1">
      <alignment vertical="center" wrapText="1"/>
    </xf>
    <xf numFmtId="3" fontId="15" fillId="0" borderId="22" xfId="0" applyNumberFormat="1" applyFont="1" applyFill="1" applyBorder="1" applyAlignment="1">
      <alignment vertical="center" wrapText="1"/>
    </xf>
    <xf numFmtId="49" fontId="15" fillId="0" borderId="0" xfId="0" applyNumberFormat="1" applyFont="1" applyFill="1" applyBorder="1" applyAlignment="1">
      <alignment horizontal="center" vertical="center" wrapText="1"/>
    </xf>
    <xf numFmtId="49" fontId="15" fillId="0" borderId="22" xfId="0" applyNumberFormat="1" applyFont="1" applyFill="1" applyBorder="1" applyAlignment="1">
      <alignment horizontal="center" vertical="center" wrapText="1"/>
    </xf>
    <xf numFmtId="0" fontId="15" fillId="11" borderId="0" xfId="0" applyFont="1" applyFill="1" applyBorder="1" applyAlignment="1">
      <alignment horizontal="center" vertical="center" wrapText="1"/>
    </xf>
    <xf numFmtId="3" fontId="15" fillId="0" borderId="22" xfId="0" applyNumberFormat="1" applyFont="1" applyFill="1" applyBorder="1" applyAlignment="1">
      <alignment vertical="center"/>
    </xf>
    <xf numFmtId="3" fontId="15" fillId="0" borderId="28" xfId="0" applyNumberFormat="1" applyFont="1" applyFill="1" applyBorder="1" applyAlignment="1">
      <alignment vertical="center"/>
    </xf>
    <xf numFmtId="3" fontId="29" fillId="0" borderId="77" xfId="1" applyNumberFormat="1" applyFont="1" applyFill="1" applyBorder="1" applyAlignment="1">
      <alignment vertical="center" wrapText="1"/>
    </xf>
    <xf numFmtId="3" fontId="29" fillId="11" borderId="28" xfId="1" applyNumberFormat="1" applyFont="1" applyFill="1" applyBorder="1" applyAlignment="1">
      <alignment vertical="center" wrapText="1"/>
    </xf>
    <xf numFmtId="3" fontId="15" fillId="0" borderId="77" xfId="0" applyNumberFormat="1" applyFont="1" applyFill="1" applyBorder="1" applyAlignment="1">
      <alignment vertical="center" wrapText="1"/>
    </xf>
    <xf numFmtId="3" fontId="15" fillId="0" borderId="77" xfId="0" applyNumberFormat="1" applyFont="1" applyFill="1" applyBorder="1" applyAlignment="1">
      <alignment vertical="center"/>
    </xf>
    <xf numFmtId="49" fontId="29"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46" fillId="0" borderId="1" xfId="0" applyFont="1" applyFill="1" applyBorder="1" applyAlignment="1">
      <alignment horizontal="center" vertical="center"/>
    </xf>
    <xf numFmtId="3" fontId="29" fillId="12" borderId="14" xfId="0" applyNumberFormat="1" applyFont="1" applyFill="1" applyBorder="1" applyAlignment="1">
      <alignment vertical="center" wrapText="1"/>
    </xf>
    <xf numFmtId="3" fontId="15" fillId="0" borderId="30" xfId="0" applyNumberFormat="1" applyFont="1" applyFill="1" applyBorder="1" applyAlignment="1">
      <alignment vertical="center"/>
    </xf>
    <xf numFmtId="3" fontId="15" fillId="0" borderId="1" xfId="0" applyNumberFormat="1" applyFont="1" applyFill="1" applyBorder="1" applyAlignment="1">
      <alignment horizontal="right" vertical="center"/>
    </xf>
    <xf numFmtId="3" fontId="15" fillId="22" borderId="1" xfId="0" applyNumberFormat="1" applyFont="1" applyFill="1" applyBorder="1" applyAlignment="1">
      <alignment vertical="center" wrapText="1"/>
    </xf>
    <xf numFmtId="3" fontId="15" fillId="8" borderId="1" xfId="0" applyNumberFormat="1" applyFont="1" applyFill="1" applyBorder="1" applyAlignment="1">
      <alignment horizontal="right" vertical="center"/>
    </xf>
    <xf numFmtId="3" fontId="15" fillId="22" borderId="30" xfId="0" applyNumberFormat="1" applyFont="1" applyFill="1" applyBorder="1" applyAlignment="1">
      <alignment vertical="center" wrapText="1"/>
    </xf>
    <xf numFmtId="49" fontId="15" fillId="0" borderId="14" xfId="0" applyNumberFormat="1" applyFont="1" applyFill="1" applyBorder="1" applyAlignment="1">
      <alignment horizontal="center" vertical="center" wrapText="1"/>
    </xf>
    <xf numFmtId="49" fontId="15" fillId="3" borderId="16"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3" fontId="15" fillId="27" borderId="0" xfId="0" applyNumberFormat="1" applyFont="1" applyFill="1" applyBorder="1" applyAlignment="1">
      <alignment vertical="center" wrapText="1"/>
    </xf>
    <xf numFmtId="3" fontId="29" fillId="11" borderId="0" xfId="0" applyNumberFormat="1" applyFont="1" applyFill="1" applyBorder="1" applyAlignment="1">
      <alignment vertical="center" wrapText="1"/>
    </xf>
    <xf numFmtId="3" fontId="15" fillId="0" borderId="66" xfId="0" applyNumberFormat="1" applyFont="1" applyFill="1" applyBorder="1" applyAlignment="1">
      <alignment vertical="center" wrapText="1"/>
    </xf>
    <xf numFmtId="0" fontId="13" fillId="0" borderId="28" xfId="1" applyFont="1" applyFill="1" applyBorder="1" applyAlignment="1">
      <alignment horizontal="center" vertical="center" wrapText="1"/>
    </xf>
    <xf numFmtId="3" fontId="13" fillId="22" borderId="0" xfId="0" applyNumberFormat="1" applyFont="1" applyFill="1" applyBorder="1" applyAlignment="1">
      <alignment horizontal="right" vertical="center" wrapText="1"/>
    </xf>
    <xf numFmtId="3" fontId="13" fillId="8" borderId="0" xfId="0" applyNumberFormat="1" applyFont="1" applyFill="1" applyBorder="1" applyAlignment="1">
      <alignment horizontal="right" vertical="center" wrapText="1"/>
    </xf>
    <xf numFmtId="3" fontId="13" fillId="22" borderId="28" xfId="0" applyNumberFormat="1" applyFont="1" applyFill="1" applyBorder="1" applyAlignment="1">
      <alignment vertical="center" wrapText="1"/>
    </xf>
    <xf numFmtId="3" fontId="13" fillId="0" borderId="0" xfId="0" applyNumberFormat="1" applyFont="1" applyFill="1" applyBorder="1" applyAlignment="1">
      <alignment horizontal="right" vertical="center" wrapText="1"/>
    </xf>
    <xf numFmtId="3" fontId="13" fillId="0" borderId="29" xfId="0" applyNumberFormat="1" applyFont="1" applyFill="1" applyBorder="1" applyAlignment="1">
      <alignment horizontal="right" vertical="center" wrapText="1"/>
    </xf>
    <xf numFmtId="0" fontId="13" fillId="0" borderId="22" xfId="0" applyNumberFormat="1" applyFont="1" applyFill="1" applyBorder="1" applyAlignment="1">
      <alignment horizontal="center" vertical="center" wrapText="1"/>
    </xf>
    <xf numFmtId="0" fontId="13" fillId="11" borderId="5" xfId="0" applyFont="1" applyFill="1" applyBorder="1" applyAlignment="1">
      <alignment horizontal="center" vertical="center" wrapText="1"/>
    </xf>
    <xf numFmtId="1" fontId="7" fillId="0" borderId="18" xfId="1"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shrinkToFit="1"/>
    </xf>
    <xf numFmtId="0" fontId="7" fillId="0" borderId="12" xfId="1" applyFont="1" applyFill="1" applyBorder="1" applyAlignment="1">
      <alignment horizontal="center" vertical="center" wrapText="1"/>
    </xf>
    <xf numFmtId="0" fontId="10" fillId="0" borderId="5" xfId="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3" fontId="7" fillId="0" borderId="78" xfId="1" applyNumberFormat="1" applyFont="1" applyFill="1" applyBorder="1" applyAlignment="1">
      <alignment vertical="center" wrapText="1"/>
    </xf>
    <xf numFmtId="49" fontId="29" fillId="0" borderId="22" xfId="0" applyNumberFormat="1" applyFont="1" applyFill="1" applyBorder="1" applyAlignment="1">
      <alignment horizontal="center" vertical="center"/>
    </xf>
    <xf numFmtId="0" fontId="15" fillId="0" borderId="28" xfId="1" applyFont="1" applyFill="1" applyBorder="1" applyAlignment="1">
      <alignment horizontal="center" vertical="center"/>
    </xf>
    <xf numFmtId="0" fontId="15" fillId="0" borderId="22" xfId="1" applyFont="1" applyFill="1" applyBorder="1" applyAlignment="1">
      <alignment horizontal="center" vertical="center"/>
    </xf>
    <xf numFmtId="0" fontId="46" fillId="0" borderId="29" xfId="0" applyFont="1" applyFill="1" applyBorder="1" applyAlignment="1">
      <alignment horizontal="center" vertical="center" wrapText="1"/>
    </xf>
    <xf numFmtId="3" fontId="15" fillId="0" borderId="0" xfId="0" applyNumberFormat="1" applyFont="1" applyFill="1" applyBorder="1" applyAlignment="1">
      <alignment vertical="center"/>
    </xf>
    <xf numFmtId="3" fontId="15" fillId="0" borderId="29" xfId="0" applyNumberFormat="1" applyFont="1" applyFill="1" applyBorder="1" applyAlignment="1">
      <alignment vertical="center"/>
    </xf>
    <xf numFmtId="3" fontId="15" fillId="22" borderId="29" xfId="0" applyNumberFormat="1" applyFont="1" applyFill="1" applyBorder="1" applyAlignment="1">
      <alignment vertical="center"/>
    </xf>
    <xf numFmtId="3" fontId="15" fillId="8" borderId="28" xfId="0" applyNumberFormat="1" applyFont="1" applyFill="1" applyBorder="1" applyAlignment="1">
      <alignment vertical="center"/>
    </xf>
    <xf numFmtId="3" fontId="15" fillId="0" borderId="22" xfId="0" applyNumberFormat="1" applyFont="1" applyFill="1" applyBorder="1" applyAlignment="1">
      <alignment horizontal="right" vertical="center"/>
    </xf>
    <xf numFmtId="49" fontId="15" fillId="0" borderId="28"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3" borderId="22" xfId="0" applyNumberFormat="1" applyFont="1" applyFill="1" applyBorder="1" applyAlignment="1">
      <alignment horizontal="center" vertical="center"/>
    </xf>
    <xf numFmtId="3" fontId="29" fillId="11" borderId="28" xfId="1" applyNumberFormat="1" applyFont="1" applyFill="1" applyBorder="1" applyAlignment="1">
      <alignment vertical="center"/>
    </xf>
    <xf numFmtId="3" fontId="7" fillId="0" borderId="72" xfId="1" applyNumberFormat="1" applyFont="1" applyFill="1" applyBorder="1" applyAlignment="1">
      <alignment vertical="center" wrapText="1"/>
    </xf>
    <xf numFmtId="0" fontId="9" fillId="0" borderId="14" xfId="0" applyFont="1" applyFill="1" applyBorder="1" applyAlignment="1">
      <alignment horizontal="center" vertical="center" wrapText="1"/>
    </xf>
    <xf numFmtId="0" fontId="25" fillId="2" borderId="12" xfId="0" applyFont="1" applyFill="1" applyBorder="1" applyAlignment="1">
      <alignment vertical="center"/>
    </xf>
    <xf numFmtId="166" fontId="25" fillId="2" borderId="5" xfId="0" applyNumberFormat="1" applyFont="1" applyFill="1" applyBorder="1" applyAlignment="1">
      <alignment vertical="center"/>
    </xf>
    <xf numFmtId="0" fontId="8" fillId="0" borderId="33" xfId="0" applyFont="1" applyFill="1" applyBorder="1" applyAlignment="1">
      <alignment horizontal="center" vertical="center" wrapText="1"/>
    </xf>
    <xf numFmtId="169" fontId="9" fillId="0" borderId="23" xfId="0" applyNumberFormat="1" applyFont="1" applyFill="1" applyBorder="1" applyAlignment="1">
      <alignment horizontal="center" vertical="center" wrapText="1"/>
    </xf>
    <xf numFmtId="169" fontId="9" fillId="0" borderId="23" xfId="0" applyNumberFormat="1" applyFont="1" applyFill="1" applyBorder="1" applyAlignment="1">
      <alignment horizontal="center" vertical="center" wrapText="1" shrinkToFit="1"/>
    </xf>
    <xf numFmtId="0" fontId="7" fillId="0" borderId="27" xfId="1" applyFont="1" applyFill="1" applyBorder="1" applyAlignment="1">
      <alignment horizontal="center" vertical="center" wrapText="1"/>
    </xf>
    <xf numFmtId="0" fontId="8" fillId="0" borderId="32" xfId="0" applyFont="1" applyFill="1" applyBorder="1" applyAlignment="1">
      <alignment horizontal="center" vertical="center" wrapText="1"/>
    </xf>
    <xf numFmtId="3" fontId="7" fillId="0" borderId="35" xfId="0" applyNumberFormat="1" applyFont="1" applyFill="1" applyBorder="1" applyAlignment="1">
      <alignment horizontal="right" vertical="center" wrapText="1"/>
    </xf>
    <xf numFmtId="0" fontId="8" fillId="0" borderId="15" xfId="1" applyFont="1" applyFill="1" applyBorder="1" applyAlignment="1">
      <alignment horizontal="center" vertical="center" wrapText="1"/>
    </xf>
    <xf numFmtId="49" fontId="9" fillId="0" borderId="18" xfId="0" applyNumberFormat="1" applyFont="1" applyFill="1" applyBorder="1" applyAlignment="1">
      <alignment horizontal="center" vertical="center" wrapText="1" shrinkToFit="1"/>
    </xf>
    <xf numFmtId="3" fontId="7" fillId="0" borderId="6" xfId="0" applyNumberFormat="1" applyFont="1" applyFill="1" applyBorder="1" applyAlignment="1">
      <alignment horizontal="right" vertical="center" wrapText="1"/>
    </xf>
    <xf numFmtId="49" fontId="7" fillId="0" borderId="12" xfId="0" applyNumberFormat="1" applyFont="1" applyFill="1" applyBorder="1" applyAlignment="1">
      <alignment horizontal="center" vertical="center" wrapText="1"/>
    </xf>
    <xf numFmtId="3" fontId="9" fillId="0" borderId="26" xfId="1" applyNumberFormat="1" applyFont="1" applyFill="1" applyBorder="1" applyAlignment="1">
      <alignment horizontal="right" vertical="center" wrapText="1"/>
    </xf>
    <xf numFmtId="49" fontId="9" fillId="0" borderId="33" xfId="0" applyNumberFormat="1" applyFont="1" applyFill="1" applyBorder="1" applyAlignment="1">
      <alignment horizontal="center" vertical="center"/>
    </xf>
    <xf numFmtId="0" fontId="7" fillId="0" borderId="33" xfId="0" applyFont="1" applyFill="1" applyBorder="1" applyAlignment="1">
      <alignment horizontal="center" vertical="center"/>
    </xf>
    <xf numFmtId="3" fontId="7" fillId="0" borderId="43" xfId="0" applyNumberFormat="1" applyFont="1" applyFill="1" applyBorder="1" applyAlignment="1">
      <alignment vertical="center"/>
    </xf>
    <xf numFmtId="3" fontId="9" fillId="0" borderId="14" xfId="1" applyNumberFormat="1" applyFont="1" applyFill="1" applyBorder="1" applyAlignment="1">
      <alignment vertical="center"/>
    </xf>
    <xf numFmtId="0" fontId="8" fillId="0" borderId="24" xfId="0" applyFont="1" applyFill="1" applyBorder="1" applyAlignment="1">
      <alignment horizontal="center" vertical="center" wrapText="1"/>
    </xf>
    <xf numFmtId="49" fontId="7" fillId="0" borderId="23" xfId="0" applyNumberFormat="1" applyFont="1" applyFill="1" applyBorder="1" applyAlignment="1">
      <alignment horizontal="center" vertical="center"/>
    </xf>
    <xf numFmtId="3" fontId="13" fillId="23" borderId="23" xfId="0" applyNumberFormat="1" applyFont="1" applyFill="1" applyBorder="1" applyAlignment="1">
      <alignment vertical="center" wrapText="1"/>
    </xf>
    <xf numFmtId="3" fontId="15" fillId="23" borderId="23" xfId="0" applyNumberFormat="1" applyFont="1" applyFill="1" applyBorder="1" applyAlignment="1">
      <alignment vertical="center" wrapText="1"/>
    </xf>
    <xf numFmtId="0" fontId="10" fillId="12" borderId="6" xfId="1" applyFont="1" applyFill="1" applyBorder="1" applyAlignment="1">
      <alignment horizontal="left" vertical="center" wrapText="1"/>
    </xf>
    <xf numFmtId="0" fontId="10" fillId="12" borderId="5" xfId="1" applyFont="1" applyFill="1" applyBorder="1" applyAlignment="1">
      <alignment horizontal="left" vertical="center" wrapText="1"/>
    </xf>
    <xf numFmtId="4" fontId="10" fillId="12" borderId="18" xfId="1" applyNumberFormat="1" applyFont="1" applyFill="1" applyBorder="1" applyAlignment="1">
      <alignment horizontal="left" vertical="center" wrapText="1"/>
    </xf>
    <xf numFmtId="3" fontId="15" fillId="23" borderId="24" xfId="0" applyNumberFormat="1" applyFont="1" applyFill="1" applyBorder="1" applyAlignment="1">
      <alignment vertical="center" wrapText="1"/>
    </xf>
    <xf numFmtId="3" fontId="7" fillId="0" borderId="16" xfId="0" applyNumberFormat="1" applyFont="1" applyFill="1" applyBorder="1" applyAlignment="1">
      <alignment horizontal="center" vertical="center" wrapText="1"/>
    </xf>
    <xf numFmtId="3" fontId="7" fillId="8" borderId="14" xfId="0" applyNumberFormat="1" applyFont="1" applyFill="1" applyBorder="1" applyAlignment="1">
      <alignment vertical="center" wrapText="1"/>
    </xf>
    <xf numFmtId="3" fontId="7" fillId="0" borderId="16" xfId="0" applyNumberFormat="1" applyFont="1" applyFill="1" applyBorder="1" applyAlignment="1">
      <alignment horizontal="right" vertical="center"/>
    </xf>
    <xf numFmtId="166" fontId="7" fillId="0" borderId="30" xfId="0" applyNumberFormat="1" applyFont="1" applyFill="1" applyBorder="1" applyAlignment="1">
      <alignment horizontal="right" vertical="center"/>
    </xf>
    <xf numFmtId="3" fontId="15" fillId="0" borderId="60" xfId="0" applyNumberFormat="1" applyFont="1" applyFill="1" applyBorder="1" applyAlignment="1">
      <alignment vertical="center" wrapText="1"/>
    </xf>
    <xf numFmtId="3" fontId="15" fillId="0" borderId="48" xfId="1" applyNumberFormat="1" applyFont="1" applyFill="1" applyBorder="1" applyAlignment="1">
      <alignment vertical="center" wrapText="1"/>
    </xf>
    <xf numFmtId="3" fontId="15" fillId="22" borderId="14" xfId="1" applyNumberFormat="1" applyFont="1" applyFill="1" applyBorder="1" applyAlignment="1">
      <alignment vertical="center" wrapText="1"/>
    </xf>
    <xf numFmtId="3" fontId="15" fillId="22" borderId="26" xfId="1" applyNumberFormat="1" applyFont="1" applyFill="1" applyBorder="1" applyAlignment="1">
      <alignment vertical="center" wrapText="1"/>
    </xf>
    <xf numFmtId="3" fontId="15" fillId="22" borderId="14" xfId="0" applyNumberFormat="1" applyFont="1" applyFill="1" applyBorder="1" applyAlignment="1">
      <alignment vertical="center" wrapText="1"/>
    </xf>
    <xf numFmtId="3" fontId="45" fillId="0" borderId="0" xfId="0" applyNumberFormat="1" applyFont="1" applyFill="1" applyAlignment="1">
      <alignment horizontal="right" vertical="center"/>
    </xf>
    <xf numFmtId="0" fontId="7" fillId="10" borderId="26" xfId="1" applyFont="1" applyFill="1" applyBorder="1" applyAlignment="1">
      <alignment horizontal="center" vertical="center" wrapText="1"/>
    </xf>
    <xf numFmtId="0" fontId="9" fillId="0" borderId="16" xfId="0" applyFont="1" applyBorder="1" applyAlignment="1">
      <alignment horizontal="center" vertical="center" wrapText="1"/>
    </xf>
    <xf numFmtId="166" fontId="7" fillId="0" borderId="0" xfId="0" applyNumberFormat="1" applyFont="1" applyAlignment="1">
      <alignment vertical="center"/>
    </xf>
    <xf numFmtId="3" fontId="14" fillId="0" borderId="31" xfId="0" applyNumberFormat="1" applyFont="1" applyBorder="1" applyAlignment="1">
      <alignment horizontal="right" vertical="center"/>
    </xf>
    <xf numFmtId="3" fontId="9" fillId="12" borderId="0" xfId="0" applyNumberFormat="1" applyFont="1" applyFill="1" applyBorder="1" applyAlignment="1">
      <alignment horizontal="right" wrapText="1"/>
    </xf>
    <xf numFmtId="3" fontId="9" fillId="12" borderId="0" xfId="0" applyNumberFormat="1" applyFont="1" applyFill="1" applyBorder="1" applyAlignment="1"/>
    <xf numFmtId="0" fontId="9" fillId="3" borderId="4" xfId="1" applyFont="1" applyFill="1" applyBorder="1" applyAlignment="1">
      <alignment horizontal="center" vertical="center" wrapText="1"/>
    </xf>
    <xf numFmtId="0" fontId="9" fillId="3" borderId="15" xfId="1" applyFont="1" applyFill="1" applyBorder="1" applyAlignment="1">
      <alignment horizontal="center" vertical="center" wrapText="1"/>
    </xf>
    <xf numFmtId="49" fontId="7" fillId="11" borderId="26" xfId="0" applyNumberFormat="1" applyFont="1" applyFill="1" applyBorder="1" applyAlignment="1">
      <alignment horizontal="center" vertical="center" wrapText="1"/>
    </xf>
    <xf numFmtId="3" fontId="9" fillId="0" borderId="5" xfId="1" applyNumberFormat="1" applyFont="1" applyFill="1" applyBorder="1" applyAlignment="1">
      <alignment horizontal="center" vertical="center" wrapText="1"/>
    </xf>
    <xf numFmtId="0" fontId="9" fillId="10" borderId="3" xfId="1" applyFont="1" applyFill="1" applyBorder="1" applyAlignment="1">
      <alignment horizontal="center" vertical="center" wrapText="1"/>
    </xf>
    <xf numFmtId="0" fontId="9" fillId="10" borderId="14" xfId="1" applyFont="1" applyFill="1" applyBorder="1" applyAlignment="1">
      <alignment horizontal="center" vertical="center" wrapText="1"/>
    </xf>
    <xf numFmtId="3" fontId="9" fillId="10" borderId="26" xfId="1" applyNumberFormat="1" applyFont="1" applyFill="1" applyBorder="1" applyAlignment="1">
      <alignment vertical="center" wrapText="1"/>
    </xf>
    <xf numFmtId="3" fontId="7" fillId="10" borderId="47" xfId="0" applyNumberFormat="1" applyFont="1" applyFill="1" applyBorder="1" applyAlignment="1">
      <alignment vertical="center" wrapText="1"/>
    </xf>
    <xf numFmtId="3" fontId="9" fillId="10" borderId="5" xfId="1" applyNumberFormat="1" applyFont="1" applyFill="1" applyBorder="1" applyAlignment="1">
      <alignment horizontal="center" vertical="center" wrapText="1"/>
    </xf>
    <xf numFmtId="169" fontId="17" fillId="10" borderId="33" xfId="0" applyNumberFormat="1" applyFont="1" applyFill="1" applyBorder="1" applyAlignment="1">
      <alignment horizontal="center" vertical="center" wrapText="1"/>
    </xf>
    <xf numFmtId="169" fontId="17" fillId="10" borderId="33" xfId="0" applyNumberFormat="1" applyFont="1" applyFill="1" applyBorder="1" applyAlignment="1">
      <alignment horizontal="center" vertical="center" wrapText="1" shrinkToFit="1"/>
    </xf>
    <xf numFmtId="0" fontId="16" fillId="10" borderId="33" xfId="0" applyFont="1" applyFill="1" applyBorder="1" applyAlignment="1">
      <alignment horizontal="center" vertical="center" wrapText="1"/>
    </xf>
    <xf numFmtId="0" fontId="16" fillId="10" borderId="33" xfId="1" applyFont="1" applyFill="1" applyBorder="1" applyAlignment="1">
      <alignment horizontal="center" vertical="center" wrapText="1"/>
    </xf>
    <xf numFmtId="0" fontId="16" fillId="10" borderId="35" xfId="1" applyFont="1" applyFill="1" applyBorder="1" applyAlignment="1">
      <alignment horizontal="center" vertical="center" wrapText="1"/>
    </xf>
    <xf numFmtId="0" fontId="58" fillId="10" borderId="34" xfId="1" applyFont="1" applyFill="1" applyBorder="1" applyAlignment="1">
      <alignment horizontal="center" vertical="center" wrapText="1"/>
    </xf>
    <xf numFmtId="3" fontId="17" fillId="10" borderId="33" xfId="1" applyNumberFormat="1" applyFont="1" applyFill="1" applyBorder="1" applyAlignment="1">
      <alignment vertical="center" wrapText="1"/>
    </xf>
    <xf numFmtId="3" fontId="16" fillId="10" borderId="47" xfId="0" applyNumberFormat="1" applyFont="1" applyFill="1" applyBorder="1" applyAlignment="1">
      <alignment vertical="center" wrapText="1"/>
    </xf>
    <xf numFmtId="3" fontId="16" fillId="10" borderId="37" xfId="0" applyNumberFormat="1" applyFont="1" applyFill="1" applyBorder="1" applyAlignment="1">
      <alignment vertical="center" wrapText="1"/>
    </xf>
    <xf numFmtId="3" fontId="16" fillId="10" borderId="43" xfId="0" applyNumberFormat="1" applyFont="1" applyFill="1" applyBorder="1" applyAlignment="1">
      <alignment vertical="center" wrapText="1"/>
    </xf>
    <xf numFmtId="3" fontId="16" fillId="10" borderId="35" xfId="0" applyNumberFormat="1" applyFont="1" applyFill="1" applyBorder="1" applyAlignment="1">
      <alignment vertical="center" wrapText="1"/>
    </xf>
    <xf numFmtId="3" fontId="16" fillId="10" borderId="24" xfId="0" applyNumberFormat="1" applyFont="1" applyFill="1" applyBorder="1" applyAlignment="1">
      <alignment vertical="center" wrapText="1"/>
    </xf>
    <xf numFmtId="3" fontId="16" fillId="10" borderId="23" xfId="0" applyNumberFormat="1" applyFont="1" applyFill="1" applyBorder="1" applyAlignment="1">
      <alignment vertical="center" wrapText="1"/>
    </xf>
    <xf numFmtId="3" fontId="16" fillId="10" borderId="34" xfId="0" applyNumberFormat="1" applyFont="1" applyFill="1" applyBorder="1" applyAlignment="1">
      <alignment vertical="center" wrapText="1"/>
    </xf>
    <xf numFmtId="3" fontId="16" fillId="10" borderId="33" xfId="0" applyNumberFormat="1" applyFont="1" applyFill="1" applyBorder="1" applyAlignment="1">
      <alignment vertical="center" wrapText="1"/>
    </xf>
    <xf numFmtId="0" fontId="16" fillId="10" borderId="32" xfId="0" applyFont="1" applyFill="1" applyBorder="1" applyAlignment="1">
      <alignment horizontal="center" vertical="center" wrapText="1"/>
    </xf>
    <xf numFmtId="49" fontId="16" fillId="10" borderId="31" xfId="0" applyNumberFormat="1" applyFont="1" applyFill="1" applyBorder="1" applyAlignment="1">
      <alignment horizontal="center" vertical="center" wrapText="1"/>
    </xf>
    <xf numFmtId="0" fontId="16" fillId="10" borderId="26" xfId="0" applyFont="1" applyFill="1" applyBorder="1" applyAlignment="1">
      <alignment horizontal="center" vertical="center" wrapText="1"/>
    </xf>
    <xf numFmtId="0" fontId="16" fillId="10" borderId="24" xfId="0" applyFont="1" applyFill="1" applyBorder="1" applyAlignment="1">
      <alignment horizontal="center" vertical="center" wrapText="1"/>
    </xf>
    <xf numFmtId="3" fontId="17" fillId="10" borderId="27" xfId="1" applyNumberFormat="1" applyFont="1" applyFill="1" applyBorder="1" applyAlignment="1">
      <alignment vertical="center" wrapText="1"/>
    </xf>
    <xf numFmtId="3" fontId="17" fillId="10" borderId="26" xfId="1" applyNumberFormat="1" applyFont="1" applyFill="1" applyBorder="1" applyAlignment="1">
      <alignment vertical="center" wrapText="1"/>
    </xf>
    <xf numFmtId="3" fontId="16" fillId="10" borderId="26" xfId="0" applyNumberFormat="1" applyFont="1" applyFill="1" applyBorder="1" applyAlignment="1">
      <alignment vertical="center" wrapText="1"/>
    </xf>
    <xf numFmtId="3" fontId="13" fillId="23" borderId="24" xfId="0" applyNumberFormat="1" applyFont="1" applyFill="1" applyBorder="1" applyAlignment="1">
      <alignment vertical="center" wrapText="1"/>
    </xf>
    <xf numFmtId="3" fontId="29" fillId="0" borderId="25" xfId="1" applyNumberFormat="1" applyFont="1" applyFill="1" applyBorder="1" applyAlignment="1">
      <alignment vertical="center" wrapText="1"/>
    </xf>
    <xf numFmtId="3" fontId="16" fillId="8" borderId="27" xfId="0" applyNumberFormat="1" applyFont="1" applyFill="1" applyBorder="1" applyAlignment="1">
      <alignment vertical="center" wrapText="1"/>
    </xf>
    <xf numFmtId="3" fontId="13" fillId="23" borderId="14" xfId="0" applyNumberFormat="1" applyFont="1" applyFill="1" applyBorder="1" applyAlignment="1">
      <alignment vertical="center" wrapText="1"/>
    </xf>
    <xf numFmtId="0" fontId="27" fillId="0" borderId="9" xfId="1" applyFont="1" applyFill="1" applyBorder="1" applyAlignment="1">
      <alignment horizontal="center" vertical="center" wrapText="1"/>
    </xf>
    <xf numFmtId="3" fontId="13" fillId="0" borderId="8" xfId="0" applyNumberFormat="1" applyFont="1" applyFill="1" applyBorder="1" applyAlignment="1">
      <alignment vertical="center" wrapText="1"/>
    </xf>
    <xf numFmtId="3" fontId="13" fillId="0" borderId="64" xfId="0" applyNumberFormat="1" applyFont="1" applyFill="1" applyBorder="1" applyAlignment="1">
      <alignment vertical="center" wrapText="1"/>
    </xf>
    <xf numFmtId="3" fontId="13" fillId="0" borderId="9" xfId="0" applyNumberFormat="1" applyFont="1" applyFill="1" applyBorder="1" applyAlignment="1">
      <alignment vertical="center" wrapText="1"/>
    </xf>
    <xf numFmtId="3" fontId="13" fillId="0" borderId="2" xfId="0" applyNumberFormat="1" applyFont="1" applyFill="1" applyBorder="1" applyAlignment="1">
      <alignment horizontal="right" vertical="center" wrapText="1"/>
    </xf>
    <xf numFmtId="49" fontId="13" fillId="0" borderId="4" xfId="0" applyNumberFormat="1" applyFont="1" applyFill="1" applyBorder="1" applyAlignment="1">
      <alignment horizontal="center" vertical="center" wrapText="1"/>
    </xf>
    <xf numFmtId="0" fontId="8" fillId="0" borderId="23" xfId="0" applyFont="1" applyFill="1" applyBorder="1" applyAlignment="1">
      <alignment horizontal="center" wrapText="1"/>
    </xf>
    <xf numFmtId="49" fontId="29" fillId="0" borderId="13" xfId="0" applyNumberFormat="1" applyFont="1" applyFill="1" applyBorder="1" applyAlignment="1">
      <alignment horizontal="center" vertical="center"/>
    </xf>
    <xf numFmtId="49" fontId="29" fillId="0" borderId="13" xfId="0" applyNumberFormat="1" applyFont="1" applyFill="1" applyBorder="1" applyAlignment="1">
      <alignment horizontal="center" vertical="center" wrapText="1" shrinkToFit="1"/>
    </xf>
    <xf numFmtId="0" fontId="15" fillId="0" borderId="14" xfId="1" applyFont="1" applyFill="1" applyBorder="1" applyAlignment="1">
      <alignment horizontal="center" vertical="center"/>
    </xf>
    <xf numFmtId="0" fontId="46" fillId="0" borderId="16" xfId="0" applyFont="1" applyFill="1" applyBorder="1" applyAlignment="1">
      <alignment horizontal="center" vertical="center" wrapText="1"/>
    </xf>
    <xf numFmtId="3" fontId="29" fillId="0" borderId="14" xfId="1" applyNumberFormat="1" applyFont="1" applyFill="1" applyBorder="1" applyAlignment="1">
      <alignment vertical="center"/>
    </xf>
    <xf numFmtId="3" fontId="15" fillId="23" borderId="16" xfId="0" applyNumberFormat="1" applyFont="1" applyFill="1" applyBorder="1" applyAlignment="1">
      <alignment vertical="center" wrapText="1"/>
    </xf>
    <xf numFmtId="3" fontId="16" fillId="8" borderId="13" xfId="0" applyNumberFormat="1" applyFont="1" applyFill="1" applyBorder="1" applyAlignment="1">
      <alignment vertical="center" wrapText="1"/>
    </xf>
    <xf numFmtId="3" fontId="15" fillId="23" borderId="14" xfId="0" applyNumberFormat="1" applyFont="1" applyFill="1" applyBorder="1" applyAlignment="1">
      <alignment vertical="center" wrapText="1"/>
    </xf>
    <xf numFmtId="49" fontId="15" fillId="0" borderId="15"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1" fontId="11" fillId="8" borderId="0" xfId="0" applyNumberFormat="1" applyFont="1" applyFill="1" applyBorder="1" applyAlignment="1">
      <alignment horizontal="center" vertical="center"/>
    </xf>
    <xf numFmtId="169" fontId="9" fillId="10" borderId="33" xfId="0" applyNumberFormat="1" applyFont="1" applyFill="1" applyBorder="1" applyAlignment="1">
      <alignment horizontal="center" vertical="center" wrapText="1"/>
    </xf>
    <xf numFmtId="169" fontId="9" fillId="10" borderId="26" xfId="0" applyNumberFormat="1" applyFont="1" applyFill="1" applyBorder="1" applyAlignment="1">
      <alignment horizontal="center" vertical="center" wrapText="1"/>
    </xf>
    <xf numFmtId="169" fontId="9" fillId="10" borderId="33" xfId="0" applyNumberFormat="1" applyFont="1" applyFill="1" applyBorder="1" applyAlignment="1">
      <alignment horizontal="center" vertical="center" wrapText="1" shrinkToFit="1"/>
    </xf>
    <xf numFmtId="0" fontId="7" fillId="10" borderId="33" xfId="0" applyFont="1" applyFill="1" applyBorder="1" applyAlignment="1">
      <alignment horizontal="center" vertical="center" wrapText="1"/>
    </xf>
    <xf numFmtId="0" fontId="7" fillId="10" borderId="35" xfId="1" applyFont="1" applyFill="1" applyBorder="1" applyAlignment="1">
      <alignment horizontal="center" vertical="center" wrapText="1"/>
    </xf>
    <xf numFmtId="0" fontId="8" fillId="10" borderId="34" xfId="1" applyFont="1" applyFill="1" applyBorder="1" applyAlignment="1">
      <alignment horizontal="center" vertical="center" wrapText="1"/>
    </xf>
    <xf numFmtId="3" fontId="9" fillId="10" borderId="33" xfId="1" applyNumberFormat="1" applyFont="1" applyFill="1" applyBorder="1" applyAlignment="1">
      <alignment vertical="center" wrapText="1"/>
    </xf>
    <xf numFmtId="3" fontId="17" fillId="10" borderId="14" xfId="1" applyNumberFormat="1" applyFont="1" applyFill="1" applyBorder="1" applyAlignment="1">
      <alignment vertical="center" wrapText="1"/>
    </xf>
    <xf numFmtId="3" fontId="9" fillId="10" borderId="27" xfId="1" applyNumberFormat="1" applyFont="1" applyFill="1" applyBorder="1" applyAlignment="1">
      <alignment vertical="center" wrapText="1"/>
    </xf>
    <xf numFmtId="3" fontId="7" fillId="10" borderId="43" xfId="0" applyNumberFormat="1" applyFont="1" applyFill="1" applyBorder="1" applyAlignment="1">
      <alignment vertical="center" wrapText="1"/>
    </xf>
    <xf numFmtId="3" fontId="7" fillId="10" borderId="35" xfId="0" applyNumberFormat="1" applyFont="1" applyFill="1" applyBorder="1" applyAlignment="1">
      <alignment vertical="center" wrapText="1"/>
    </xf>
    <xf numFmtId="3" fontId="7" fillId="10" borderId="34" xfId="0" applyNumberFormat="1" applyFont="1" applyFill="1" applyBorder="1" applyAlignment="1">
      <alignment vertical="center" wrapText="1"/>
    </xf>
    <xf numFmtId="3" fontId="7" fillId="10" borderId="23" xfId="0" applyNumberFormat="1" applyFont="1" applyFill="1" applyBorder="1" applyAlignment="1">
      <alignment vertical="center" wrapText="1"/>
    </xf>
    <xf numFmtId="3" fontId="7" fillId="10" borderId="33" xfId="0" applyNumberFormat="1" applyFont="1" applyFill="1" applyBorder="1" applyAlignment="1">
      <alignment vertical="center" wrapText="1"/>
    </xf>
    <xf numFmtId="0" fontId="7" fillId="10" borderId="32" xfId="0" applyFont="1" applyFill="1" applyBorder="1" applyAlignment="1">
      <alignment horizontal="center" vertical="center" wrapText="1"/>
    </xf>
    <xf numFmtId="0" fontId="58" fillId="10" borderId="0" xfId="0" applyFont="1" applyFill="1" applyBorder="1" applyAlignment="1">
      <alignment horizontal="center" vertical="center"/>
    </xf>
    <xf numFmtId="49" fontId="16" fillId="0" borderId="26" xfId="0" applyNumberFormat="1" applyFont="1" applyFill="1" applyBorder="1" applyAlignment="1">
      <alignment horizontal="center" vertical="center" wrapText="1"/>
    </xf>
    <xf numFmtId="0" fontId="58" fillId="10" borderId="40" xfId="0" applyFont="1" applyFill="1" applyBorder="1" applyAlignment="1">
      <alignment horizontal="center" vertical="center" wrapText="1"/>
    </xf>
    <xf numFmtId="169" fontId="17" fillId="10" borderId="26" xfId="0" applyNumberFormat="1" applyFont="1" applyFill="1" applyBorder="1" applyAlignment="1">
      <alignment horizontal="center" vertical="center" wrapText="1"/>
    </xf>
    <xf numFmtId="169" fontId="17" fillId="10" borderId="26" xfId="0" applyNumberFormat="1" applyFont="1" applyFill="1" applyBorder="1" applyAlignment="1">
      <alignment horizontal="center" vertical="center" wrapText="1" shrinkToFit="1"/>
    </xf>
    <xf numFmtId="0" fontId="16" fillId="10" borderId="26" xfId="1" applyFont="1" applyFill="1" applyBorder="1" applyAlignment="1">
      <alignment horizontal="center" vertical="center" wrapText="1"/>
    </xf>
    <xf numFmtId="0" fontId="58" fillId="10" borderId="37" xfId="0" applyFont="1" applyFill="1" applyBorder="1" applyAlignment="1">
      <alignment horizontal="center" vertical="center"/>
    </xf>
    <xf numFmtId="3" fontId="16" fillId="10" borderId="20" xfId="0" applyNumberFormat="1" applyFont="1" applyFill="1" applyBorder="1" applyAlignment="1">
      <alignment vertical="center" wrapText="1"/>
    </xf>
    <xf numFmtId="3" fontId="16" fillId="10" borderId="32" xfId="0" applyNumberFormat="1" applyFont="1" applyFill="1" applyBorder="1" applyAlignment="1">
      <alignment vertical="center" wrapText="1"/>
    </xf>
    <xf numFmtId="0" fontId="16" fillId="10" borderId="23" xfId="0" applyFont="1" applyFill="1" applyBorder="1" applyAlignment="1">
      <alignment horizontal="center" vertical="center" wrapText="1"/>
    </xf>
    <xf numFmtId="169" fontId="9" fillId="10" borderId="26" xfId="0" applyNumberFormat="1" applyFont="1" applyFill="1" applyBorder="1" applyAlignment="1">
      <alignment horizontal="center" vertical="center" wrapText="1" shrinkToFit="1"/>
    </xf>
    <xf numFmtId="0" fontId="7" fillId="10" borderId="31" xfId="0" applyFont="1" applyFill="1" applyBorder="1" applyAlignment="1">
      <alignment horizontal="center" vertical="center" wrapText="1"/>
    </xf>
    <xf numFmtId="0" fontId="7" fillId="10" borderId="32" xfId="1" applyFont="1" applyFill="1" applyBorder="1" applyAlignment="1">
      <alignment horizontal="center" vertical="center" wrapText="1"/>
    </xf>
    <xf numFmtId="0" fontId="8" fillId="10" borderId="42" xfId="0" applyFont="1" applyFill="1" applyBorder="1" applyAlignment="1">
      <alignment horizontal="center" vertical="center" wrapText="1"/>
    </xf>
    <xf numFmtId="3" fontId="7" fillId="10" borderId="42" xfId="0" applyNumberFormat="1" applyFont="1" applyFill="1" applyBorder="1" applyAlignment="1">
      <alignment vertical="center" wrapText="1"/>
    </xf>
    <xf numFmtId="3" fontId="7" fillId="10" borderId="20" xfId="0" applyNumberFormat="1" applyFont="1" applyFill="1" applyBorder="1" applyAlignment="1">
      <alignment vertical="center" wrapText="1"/>
    </xf>
    <xf numFmtId="3" fontId="7" fillId="10" borderId="32" xfId="0" applyNumberFormat="1" applyFont="1" applyFill="1" applyBorder="1" applyAlignment="1">
      <alignment vertical="center" wrapText="1"/>
    </xf>
    <xf numFmtId="3" fontId="7" fillId="10" borderId="32" xfId="1" applyNumberFormat="1" applyFont="1" applyFill="1" applyBorder="1" applyAlignment="1">
      <alignment vertical="center" wrapText="1"/>
    </xf>
    <xf numFmtId="3" fontId="7" fillId="10" borderId="26" xfId="1" applyNumberFormat="1" applyFont="1" applyFill="1" applyBorder="1" applyAlignment="1">
      <alignment vertical="center" wrapText="1"/>
    </xf>
    <xf numFmtId="3" fontId="7" fillId="10" borderId="37" xfId="1" applyNumberFormat="1" applyFont="1" applyFill="1" applyBorder="1" applyAlignment="1">
      <alignment vertical="center" wrapText="1"/>
    </xf>
    <xf numFmtId="3" fontId="7" fillId="10" borderId="26" xfId="0" applyNumberFormat="1" applyFont="1" applyFill="1" applyBorder="1" applyAlignment="1">
      <alignment vertical="center" wrapText="1"/>
    </xf>
    <xf numFmtId="49" fontId="7" fillId="10" borderId="31" xfId="0" applyNumberFormat="1" applyFont="1" applyFill="1" applyBorder="1" applyAlignment="1">
      <alignment horizontal="center" vertical="center" wrapText="1"/>
    </xf>
    <xf numFmtId="49" fontId="7" fillId="10" borderId="37" xfId="0" applyNumberFormat="1" applyFont="1" applyFill="1" applyBorder="1" applyAlignment="1">
      <alignment horizontal="center" vertical="center" wrapText="1"/>
    </xf>
    <xf numFmtId="3" fontId="12" fillId="0" borderId="26" xfId="1" applyNumberFormat="1" applyFont="1" applyFill="1" applyBorder="1" applyAlignment="1">
      <alignment horizontal="right" vertical="center" wrapText="1"/>
    </xf>
    <xf numFmtId="3" fontId="13" fillId="23" borderId="26" xfId="0" applyNumberFormat="1" applyFont="1" applyFill="1" applyBorder="1" applyAlignment="1">
      <alignment vertical="center" wrapText="1"/>
    </xf>
    <xf numFmtId="3" fontId="12" fillId="0" borderId="13" xfId="1" applyNumberFormat="1" applyFont="1" applyFill="1" applyBorder="1" applyAlignment="1">
      <alignment vertical="center" wrapText="1"/>
    </xf>
    <xf numFmtId="3" fontId="13" fillId="23" borderId="27" xfId="0" applyNumberFormat="1" applyFont="1" applyFill="1" applyBorder="1" applyAlignment="1">
      <alignment vertical="center" wrapText="1"/>
    </xf>
    <xf numFmtId="3" fontId="13" fillId="8" borderId="23" xfId="0" applyNumberFormat="1" applyFont="1" applyFill="1" applyBorder="1" applyAlignment="1">
      <alignment vertical="center" wrapText="1"/>
    </xf>
    <xf numFmtId="3" fontId="9" fillId="5" borderId="25" xfId="1" applyNumberFormat="1" applyFont="1" applyFill="1" applyBorder="1" applyAlignment="1">
      <alignment vertical="center" wrapText="1"/>
    </xf>
    <xf numFmtId="1" fontId="16" fillId="3" borderId="0" xfId="0" applyNumberFormat="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0" fillId="10" borderId="0" xfId="0" applyFont="1" applyFill="1"/>
    <xf numFmtId="3" fontId="9" fillId="10" borderId="25" xfId="1" applyNumberFormat="1" applyFont="1" applyFill="1" applyBorder="1" applyAlignment="1">
      <alignment vertical="center" wrapText="1"/>
    </xf>
    <xf numFmtId="0" fontId="7" fillId="5" borderId="22" xfId="0" applyFont="1" applyFill="1" applyBorder="1" applyAlignment="1">
      <alignment horizontal="center" vertical="center" wrapText="1"/>
    </xf>
    <xf numFmtId="3" fontId="7" fillId="0" borderId="35" xfId="0" applyNumberFormat="1" applyFont="1" applyFill="1" applyBorder="1" applyAlignment="1">
      <alignment horizontal="center" vertical="center" wrapText="1"/>
    </xf>
    <xf numFmtId="3" fontId="15" fillId="23" borderId="26" xfId="0" applyNumberFormat="1" applyFont="1" applyFill="1" applyBorder="1" applyAlignment="1">
      <alignment vertical="center" wrapText="1"/>
    </xf>
    <xf numFmtId="0" fontId="15" fillId="0" borderId="13" xfId="1" applyFont="1" applyFill="1" applyBorder="1" applyAlignment="1">
      <alignment horizontal="center" vertical="center" wrapText="1"/>
    </xf>
    <xf numFmtId="0" fontId="15" fillId="0" borderId="45" xfId="1" applyFont="1" applyFill="1" applyBorder="1" applyAlignment="1">
      <alignment horizontal="center" vertical="center" wrapText="1"/>
    </xf>
    <xf numFmtId="0" fontId="46" fillId="0" borderId="15" xfId="1" applyFont="1" applyFill="1" applyBorder="1" applyAlignment="1">
      <alignment horizontal="center" vertical="center" wrapText="1"/>
    </xf>
    <xf numFmtId="3" fontId="29" fillId="0" borderId="15" xfId="1" applyNumberFormat="1" applyFont="1" applyFill="1" applyBorder="1" applyAlignment="1">
      <alignment vertical="center" wrapText="1"/>
    </xf>
    <xf numFmtId="3" fontId="15" fillId="0" borderId="19" xfId="0" applyNumberFormat="1" applyFont="1" applyFill="1" applyBorder="1" applyAlignment="1">
      <alignment vertical="center" wrapText="1"/>
    </xf>
    <xf numFmtId="3" fontId="15" fillId="0" borderId="48" xfId="0" applyNumberFormat="1" applyFont="1" applyFill="1" applyBorder="1" applyAlignment="1">
      <alignment vertical="center" wrapText="1"/>
    </xf>
    <xf numFmtId="3" fontId="15" fillId="23" borderId="13" xfId="0" applyNumberFormat="1" applyFont="1" applyFill="1" applyBorder="1" applyAlignment="1">
      <alignment vertical="center" wrapText="1"/>
    </xf>
    <xf numFmtId="3" fontId="16" fillId="8" borderId="19" xfId="0" applyNumberFormat="1" applyFont="1" applyFill="1" applyBorder="1" applyAlignment="1">
      <alignment vertical="center" wrapText="1"/>
    </xf>
    <xf numFmtId="3" fontId="15" fillId="0" borderId="45" xfId="0" applyNumberFormat="1" applyFont="1" applyFill="1" applyBorder="1" applyAlignment="1">
      <alignment horizontal="right" vertical="center" wrapText="1"/>
    </xf>
    <xf numFmtId="0" fontId="15" fillId="0" borderId="14"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27" fillId="0" borderId="13" xfId="0" applyFont="1" applyFill="1" applyBorder="1" applyAlignment="1">
      <alignment horizontal="center" vertical="center"/>
    </xf>
    <xf numFmtId="3" fontId="14" fillId="0" borderId="14" xfId="0" applyNumberFormat="1" applyFont="1" applyFill="1" applyBorder="1" applyAlignment="1">
      <alignment horizontal="right" vertical="center"/>
    </xf>
    <xf numFmtId="49" fontId="13" fillId="0" borderId="30" xfId="0" applyNumberFormat="1" applyFont="1" applyFill="1" applyBorder="1" applyAlignment="1">
      <alignment horizontal="center" vertical="center" wrapText="1"/>
    </xf>
    <xf numFmtId="49" fontId="7" fillId="24" borderId="26" xfId="0" applyNumberFormat="1" applyFont="1" applyFill="1" applyBorder="1" applyAlignment="1">
      <alignment horizontal="center" vertical="center" wrapText="1"/>
    </xf>
    <xf numFmtId="0" fontId="47" fillId="0" borderId="14" xfId="0" applyFont="1" applyBorder="1"/>
    <xf numFmtId="0" fontId="8" fillId="0" borderId="14" xfId="1" applyFont="1" applyFill="1" applyBorder="1" applyAlignment="1">
      <alignment horizontal="center" vertical="center" wrapText="1"/>
    </xf>
    <xf numFmtId="1" fontId="7" fillId="0" borderId="0" xfId="0" applyNumberFormat="1" applyFont="1" applyAlignment="1">
      <alignment horizontal="right" vertical="center"/>
    </xf>
    <xf numFmtId="3" fontId="9" fillId="3" borderId="27" xfId="1" applyNumberFormat="1" applyFont="1" applyFill="1" applyBorder="1" applyAlignment="1">
      <alignment vertical="center" wrapText="1"/>
    </xf>
    <xf numFmtId="3" fontId="14" fillId="3" borderId="27" xfId="1" applyNumberFormat="1" applyFont="1" applyFill="1" applyBorder="1" applyAlignment="1">
      <alignment vertical="center" wrapText="1"/>
    </xf>
    <xf numFmtId="3" fontId="29" fillId="3" borderId="27" xfId="1" applyNumberFormat="1" applyFont="1" applyFill="1" applyBorder="1" applyAlignment="1">
      <alignment vertical="center" wrapText="1"/>
    </xf>
    <xf numFmtId="3" fontId="14" fillId="3" borderId="0" xfId="1" applyNumberFormat="1" applyFont="1" applyFill="1" applyBorder="1" applyAlignment="1">
      <alignment vertical="center" wrapText="1"/>
    </xf>
    <xf numFmtId="3" fontId="29" fillId="3" borderId="19" xfId="1" applyNumberFormat="1" applyFont="1" applyFill="1" applyBorder="1" applyAlignment="1">
      <alignment vertical="center" wrapText="1"/>
    </xf>
    <xf numFmtId="3" fontId="29" fillId="3" borderId="0" xfId="1" applyNumberFormat="1" applyFont="1" applyFill="1" applyBorder="1" applyAlignment="1">
      <alignment vertical="center" wrapText="1"/>
    </xf>
    <xf numFmtId="0" fontId="25" fillId="2" borderId="5" xfId="0" applyFont="1" applyFill="1" applyBorder="1" applyAlignment="1">
      <alignment horizontal="right" vertical="center"/>
    </xf>
    <xf numFmtId="0" fontId="8" fillId="0" borderId="0" xfId="0" applyFont="1" applyAlignment="1">
      <alignment horizontal="right" vertical="center" wrapText="1"/>
    </xf>
    <xf numFmtId="3" fontId="0" fillId="0" borderId="26" xfId="0" applyNumberFormat="1" applyBorder="1" applyAlignment="1">
      <alignment horizontal="right" vertical="center"/>
    </xf>
    <xf numFmtId="3" fontId="0" fillId="0" borderId="13" xfId="0" applyNumberFormat="1" applyBorder="1" applyAlignment="1">
      <alignment horizontal="right" vertical="center"/>
    </xf>
    <xf numFmtId="3" fontId="0" fillId="0" borderId="33" xfId="0" applyNumberFormat="1" applyBorder="1" applyAlignment="1">
      <alignment horizontal="right" vertical="center"/>
    </xf>
    <xf numFmtId="3" fontId="0" fillId="0" borderId="23" xfId="0" applyNumberFormat="1" applyBorder="1" applyAlignment="1">
      <alignment horizontal="right" vertical="center"/>
    </xf>
    <xf numFmtId="3" fontId="15" fillId="0" borderId="54" xfId="0" applyNumberFormat="1" applyFont="1" applyFill="1" applyBorder="1" applyAlignment="1">
      <alignment vertical="center" wrapText="1"/>
    </xf>
    <xf numFmtId="3" fontId="13" fillId="0" borderId="53" xfId="0" applyNumberFormat="1" applyFont="1" applyFill="1" applyBorder="1" applyAlignment="1">
      <alignment vertical="center" wrapText="1"/>
    </xf>
    <xf numFmtId="0" fontId="18" fillId="0" borderId="0" xfId="0" applyFont="1" applyAlignment="1">
      <alignment horizontal="center" vertical="center" wrapText="1"/>
    </xf>
    <xf numFmtId="3" fontId="14" fillId="0" borderId="28" xfId="1" applyNumberFormat="1" applyFont="1" applyFill="1" applyBorder="1" applyAlignment="1">
      <alignment vertical="center" wrapText="1"/>
    </xf>
    <xf numFmtId="3" fontId="29" fillId="0" borderId="30" xfId="1" applyNumberFormat="1" applyFont="1" applyFill="1" applyBorder="1" applyAlignment="1">
      <alignment vertical="center"/>
    </xf>
    <xf numFmtId="3" fontId="0" fillId="0" borderId="37" xfId="0" applyNumberFormat="1" applyBorder="1" applyAlignment="1">
      <alignment horizontal="right" vertical="center"/>
    </xf>
    <xf numFmtId="3" fontId="0" fillId="0" borderId="19" xfId="0" applyNumberFormat="1" applyBorder="1" applyAlignment="1">
      <alignment horizontal="right" vertical="center"/>
    </xf>
    <xf numFmtId="3" fontId="0" fillId="0" borderId="27" xfId="0" applyNumberFormat="1" applyBorder="1" applyAlignment="1">
      <alignment horizontal="right" vertical="center"/>
    </xf>
    <xf numFmtId="3" fontId="0" fillId="0" borderId="40" xfId="0" applyNumberFormat="1" applyBorder="1" applyAlignment="1">
      <alignment horizontal="right" vertical="center"/>
    </xf>
    <xf numFmtId="3" fontId="0" fillId="0" borderId="1" xfId="0" applyNumberFormat="1" applyBorder="1" applyAlignment="1">
      <alignment horizontal="right" vertical="center"/>
    </xf>
    <xf numFmtId="0" fontId="18" fillId="31" borderId="7" xfId="0" applyFont="1" applyFill="1" applyBorder="1" applyAlignment="1">
      <alignment vertical="center" wrapText="1"/>
    </xf>
    <xf numFmtId="0" fontId="18" fillId="12" borderId="7" xfId="0" applyFont="1" applyFill="1" applyBorder="1" applyAlignment="1">
      <alignment vertical="center" wrapText="1"/>
    </xf>
    <xf numFmtId="0" fontId="7" fillId="12" borderId="1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0" borderId="19" xfId="0" applyFont="1" applyFill="1" applyBorder="1" applyAlignment="1">
      <alignment horizontal="center" vertical="center" wrapText="1"/>
    </xf>
    <xf numFmtId="3" fontId="9" fillId="0" borderId="25" xfId="0" applyNumberFormat="1" applyFont="1" applyFill="1" applyBorder="1" applyAlignment="1">
      <alignment horizontal="right" vertical="center"/>
    </xf>
    <xf numFmtId="49" fontId="7" fillId="0" borderId="8" xfId="0" applyNumberFormat="1" applyFont="1" applyFill="1" applyBorder="1" applyAlignment="1">
      <alignment horizontal="center" vertical="center" wrapText="1"/>
    </xf>
    <xf numFmtId="3" fontId="9" fillId="0" borderId="13" xfId="1" applyNumberFormat="1" applyFont="1" applyFill="1" applyBorder="1" applyAlignment="1">
      <alignment horizontal="right" vertical="center" wrapText="1"/>
    </xf>
    <xf numFmtId="3" fontId="7" fillId="0" borderId="9" xfId="0" applyNumberFormat="1" applyFont="1" applyFill="1" applyBorder="1" applyAlignment="1">
      <alignment horizontal="right" vertical="center"/>
    </xf>
    <xf numFmtId="0" fontId="7" fillId="0" borderId="22" xfId="0" applyFont="1" applyFill="1" applyBorder="1" applyAlignment="1">
      <alignment horizontal="center" vertical="center"/>
    </xf>
    <xf numFmtId="3" fontId="9" fillId="0" borderId="23" xfId="1"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xf>
    <xf numFmtId="3" fontId="7" fillId="0" borderId="35" xfId="0" applyNumberFormat="1" applyFont="1" applyFill="1" applyBorder="1" applyAlignment="1">
      <alignment horizontal="right" vertical="center"/>
    </xf>
    <xf numFmtId="4" fontId="9" fillId="23" borderId="3" xfId="0" applyNumberFormat="1" applyFont="1" applyFill="1" applyBorder="1" applyAlignment="1">
      <alignment horizontal="center" vertical="center" wrapText="1"/>
    </xf>
    <xf numFmtId="3" fontId="7" fillId="0" borderId="40" xfId="0" applyNumberFormat="1" applyFont="1" applyFill="1" applyBorder="1" applyAlignment="1">
      <alignment vertical="center"/>
    </xf>
    <xf numFmtId="3" fontId="7" fillId="0" borderId="60" xfId="0" applyNumberFormat="1" applyFont="1" applyFill="1" applyBorder="1" applyAlignment="1">
      <alignment vertical="center" wrapText="1"/>
    </xf>
    <xf numFmtId="170" fontId="7" fillId="0" borderId="27" xfId="0" applyNumberFormat="1" applyFont="1" applyFill="1" applyBorder="1" applyAlignment="1">
      <alignment horizontal="center" wrapText="1"/>
    </xf>
    <xf numFmtId="170" fontId="7" fillId="0" borderId="31" xfId="0" applyNumberFormat="1" applyFont="1" applyFill="1" applyBorder="1" applyAlignment="1">
      <alignment horizontal="center" vertical="center"/>
    </xf>
    <xf numFmtId="170" fontId="7" fillId="0" borderId="0" xfId="0" applyNumberFormat="1" applyFont="1" applyFill="1" applyBorder="1" applyAlignment="1">
      <alignment horizontal="right" vertical="center"/>
    </xf>
    <xf numFmtId="170" fontId="16" fillId="0" borderId="0" xfId="0" applyNumberFormat="1" applyFont="1" applyFill="1" applyBorder="1" applyAlignment="1">
      <alignment horizontal="right" vertical="center"/>
    </xf>
    <xf numFmtId="4" fontId="9" fillId="21" borderId="70" xfId="0" applyNumberFormat="1" applyFont="1" applyFill="1" applyBorder="1" applyAlignment="1">
      <alignment horizontal="center" vertical="center" wrapText="1"/>
    </xf>
    <xf numFmtId="4" fontId="9" fillId="21" borderId="56" xfId="0" applyNumberFormat="1" applyFont="1" applyFill="1" applyBorder="1" applyAlignment="1">
      <alignment horizontal="center" vertical="center" wrapText="1"/>
    </xf>
    <xf numFmtId="4" fontId="9" fillId="21" borderId="16" xfId="0" applyNumberFormat="1" applyFont="1" applyFill="1" applyBorder="1" applyAlignment="1">
      <alignment horizontal="center" vertical="center" wrapText="1"/>
    </xf>
    <xf numFmtId="3" fontId="7" fillId="0" borderId="49" xfId="0" applyNumberFormat="1" applyFont="1" applyFill="1" applyBorder="1" applyAlignment="1">
      <alignment vertical="center" wrapText="1"/>
    </xf>
    <xf numFmtId="3" fontId="7" fillId="0" borderId="65" xfId="0" applyNumberFormat="1" applyFont="1" applyFill="1" applyBorder="1" applyAlignment="1">
      <alignment vertical="center" wrapText="1"/>
    </xf>
    <xf numFmtId="3" fontId="9" fillId="12" borderId="55" xfId="1" applyNumberFormat="1" applyFont="1" applyFill="1" applyBorder="1" applyAlignment="1">
      <alignment vertical="center" wrapText="1"/>
    </xf>
    <xf numFmtId="3" fontId="9" fillId="12" borderId="56" xfId="1" applyNumberFormat="1" applyFont="1" applyFill="1" applyBorder="1" applyAlignment="1">
      <alignment vertical="center" wrapText="1"/>
    </xf>
    <xf numFmtId="168" fontId="7" fillId="0" borderId="75" xfId="0" applyNumberFormat="1" applyFont="1" applyFill="1" applyBorder="1" applyAlignment="1">
      <alignment horizontal="right" vertical="center"/>
    </xf>
    <xf numFmtId="168" fontId="16" fillId="0" borderId="75" xfId="0" applyNumberFormat="1" applyFont="1" applyFill="1" applyBorder="1" applyAlignment="1">
      <alignment horizontal="right" vertical="center"/>
    </xf>
    <xf numFmtId="0" fontId="7" fillId="0" borderId="70" xfId="0" applyFont="1" applyFill="1" applyBorder="1" applyAlignment="1">
      <alignment horizontal="center" vertical="center" wrapText="1"/>
    </xf>
    <xf numFmtId="1" fontId="7" fillId="0" borderId="71" xfId="0" applyNumberFormat="1" applyFont="1" applyBorder="1" applyAlignment="1">
      <alignment horizontal="center" vertical="center" wrapText="1"/>
    </xf>
    <xf numFmtId="168" fontId="7" fillId="0" borderId="71" xfId="0" applyNumberFormat="1" applyFont="1" applyBorder="1" applyAlignment="1">
      <alignment horizontal="center" vertical="center" wrapText="1"/>
    </xf>
    <xf numFmtId="170" fontId="7" fillId="0" borderId="37"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8" xfId="0" applyNumberFormat="1" applyFont="1" applyFill="1" applyBorder="1" applyAlignment="1">
      <alignment horizontal="center" vertical="center" wrapText="1"/>
    </xf>
    <xf numFmtId="3" fontId="7" fillId="0" borderId="71" xfId="0" applyNumberFormat="1" applyFont="1" applyFill="1" applyBorder="1" applyAlignment="1">
      <alignment horizontal="center" vertical="center" wrapText="1"/>
    </xf>
    <xf numFmtId="3" fontId="7" fillId="0" borderId="66" xfId="0" applyNumberFormat="1" applyFont="1" applyFill="1" applyBorder="1" applyAlignment="1">
      <alignment horizontal="center" vertical="center" wrapText="1"/>
    </xf>
    <xf numFmtId="3" fontId="7" fillId="0" borderId="29"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76" xfId="0" applyNumberFormat="1" applyFont="1" applyFill="1" applyBorder="1" applyAlignment="1">
      <alignment horizontal="center" vertical="center" wrapText="1"/>
    </xf>
    <xf numFmtId="0" fontId="43" fillId="0" borderId="14" xfId="0" applyFont="1" applyFill="1" applyBorder="1" applyAlignment="1">
      <alignment horizontal="center" vertical="center"/>
    </xf>
    <xf numFmtId="3" fontId="9" fillId="0" borderId="16" xfId="0" applyNumberFormat="1" applyFont="1" applyFill="1" applyBorder="1" applyAlignment="1">
      <alignment horizontal="center" vertical="center" wrapText="1"/>
    </xf>
    <xf numFmtId="3" fontId="7" fillId="0" borderId="62"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71"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3" fontId="7" fillId="0" borderId="54"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7" fillId="0" borderId="76" xfId="0" applyNumberFormat="1" applyFont="1" applyFill="1" applyBorder="1" applyAlignment="1">
      <alignment horizontal="center" vertical="center"/>
    </xf>
    <xf numFmtId="49" fontId="29" fillId="0" borderId="2"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shrinkToFit="1"/>
    </xf>
    <xf numFmtId="0" fontId="15" fillId="0" borderId="2" xfId="1" applyFont="1" applyFill="1" applyBorder="1" applyAlignment="1">
      <alignment horizontal="center" vertical="center" wrapText="1"/>
    </xf>
    <xf numFmtId="0" fontId="46" fillId="0" borderId="8" xfId="1" applyFont="1" applyFill="1" applyBorder="1" applyAlignment="1">
      <alignment horizontal="center" vertical="center" wrapText="1"/>
    </xf>
    <xf numFmtId="3" fontId="40" fillId="0" borderId="23" xfId="0" applyNumberFormat="1" applyFont="1" applyBorder="1" applyAlignment="1">
      <alignment horizontal="right" vertical="center"/>
    </xf>
    <xf numFmtId="3" fontId="15" fillId="0" borderId="8" xfId="0" applyNumberFormat="1" applyFont="1" applyFill="1" applyBorder="1" applyAlignment="1">
      <alignment vertical="center" wrapText="1"/>
    </xf>
    <xf numFmtId="3" fontId="15" fillId="0" borderId="64" xfId="0" applyNumberFormat="1" applyFont="1" applyFill="1" applyBorder="1" applyAlignment="1">
      <alignment vertical="center" wrapText="1"/>
    </xf>
    <xf numFmtId="3" fontId="15" fillId="0" borderId="9" xfId="0" applyNumberFormat="1" applyFont="1" applyFill="1" applyBorder="1" applyAlignment="1">
      <alignment vertical="center" wrapText="1"/>
    </xf>
    <xf numFmtId="3" fontId="15" fillId="0" borderId="2" xfId="0" applyNumberFormat="1" applyFont="1" applyFill="1" applyBorder="1" applyAlignment="1">
      <alignment vertical="center" wrapText="1"/>
    </xf>
    <xf numFmtId="49" fontId="15" fillId="0" borderId="4"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170" fontId="15" fillId="0" borderId="0" xfId="0" applyNumberFormat="1" applyFont="1" applyFill="1" applyBorder="1" applyAlignment="1">
      <alignment horizontal="right" vertical="center"/>
    </xf>
    <xf numFmtId="3" fontId="29" fillId="15" borderId="23" xfId="1" applyNumberFormat="1" applyFont="1" applyFill="1" applyBorder="1" applyAlignment="1">
      <alignment vertical="center" wrapText="1"/>
    </xf>
    <xf numFmtId="3" fontId="29" fillId="15" borderId="4" xfId="1" applyNumberFormat="1" applyFont="1" applyFill="1" applyBorder="1" applyAlignment="1">
      <alignment vertical="center" wrapText="1"/>
    </xf>
    <xf numFmtId="3" fontId="40" fillId="0" borderId="0" xfId="0" applyNumberFormat="1" applyFont="1"/>
    <xf numFmtId="3" fontId="47" fillId="0" borderId="0" xfId="0" applyNumberFormat="1" applyFont="1"/>
    <xf numFmtId="166" fontId="7" fillId="0" borderId="4" xfId="0" applyNumberFormat="1" applyFont="1" applyFill="1" applyBorder="1" applyAlignment="1">
      <alignment horizontal="right" vertical="center"/>
    </xf>
    <xf numFmtId="1" fontId="7" fillId="0" borderId="44" xfId="0" applyNumberFormat="1" applyFont="1" applyFill="1" applyBorder="1" applyAlignment="1">
      <alignment horizontal="center" vertical="center"/>
    </xf>
    <xf numFmtId="0" fontId="7" fillId="11" borderId="26" xfId="1" applyFont="1" applyFill="1" applyBorder="1" applyAlignment="1">
      <alignment horizontal="center" vertical="center" wrapText="1"/>
    </xf>
    <xf numFmtId="49" fontId="9" fillId="11" borderId="22" xfId="0" applyNumberFormat="1" applyFont="1" applyFill="1" applyBorder="1" applyAlignment="1">
      <alignment horizontal="center" vertical="center" wrapText="1"/>
    </xf>
    <xf numFmtId="3" fontId="51" fillId="0" borderId="26" xfId="0" applyNumberFormat="1" applyFont="1" applyBorder="1" applyAlignment="1">
      <alignment horizontal="right" vertical="center"/>
    </xf>
    <xf numFmtId="49" fontId="9" fillId="5" borderId="26" xfId="0" applyNumberFormat="1" applyFont="1" applyFill="1" applyBorder="1" applyAlignment="1">
      <alignment horizontal="center" vertical="center"/>
    </xf>
    <xf numFmtId="49" fontId="9" fillId="5" borderId="24" xfId="0" applyNumberFormat="1" applyFont="1" applyFill="1" applyBorder="1" applyAlignment="1">
      <alignment horizontal="center" vertical="center"/>
    </xf>
    <xf numFmtId="0" fontId="8" fillId="5" borderId="23" xfId="1" applyFont="1" applyFill="1" applyBorder="1" applyAlignment="1">
      <alignment horizontal="center" vertical="center" wrapText="1"/>
    </xf>
    <xf numFmtId="3" fontId="9" fillId="5" borderId="23" xfId="1" applyNumberFormat="1" applyFont="1" applyFill="1" applyBorder="1" applyAlignment="1">
      <alignment vertical="center"/>
    </xf>
    <xf numFmtId="3" fontId="7" fillId="5" borderId="44" xfId="0" applyNumberFormat="1" applyFont="1" applyFill="1" applyBorder="1" applyAlignment="1">
      <alignment vertical="center"/>
    </xf>
    <xf numFmtId="3" fontId="7" fillId="5" borderId="27" xfId="0" applyNumberFormat="1" applyFont="1" applyFill="1" applyBorder="1" applyAlignment="1">
      <alignment vertical="center"/>
    </xf>
    <xf numFmtId="3" fontId="7" fillId="5" borderId="21" xfId="0" applyNumberFormat="1" applyFont="1" applyFill="1" applyBorder="1" applyAlignment="1">
      <alignment vertical="center"/>
    </xf>
    <xf numFmtId="3" fontId="7" fillId="5" borderId="58" xfId="0" applyNumberFormat="1" applyFont="1" applyFill="1" applyBorder="1" applyAlignment="1">
      <alignment vertical="center" wrapText="1"/>
    </xf>
    <xf numFmtId="3" fontId="7" fillId="5" borderId="21" xfId="0" applyNumberFormat="1" applyFont="1" applyFill="1" applyBorder="1" applyAlignment="1">
      <alignment vertical="center" wrapText="1"/>
    </xf>
    <xf numFmtId="49" fontId="7" fillId="5" borderId="31" xfId="0" applyNumberFormat="1" applyFont="1" applyFill="1" applyBorder="1" applyAlignment="1">
      <alignment horizontal="center" vertical="center"/>
    </xf>
    <xf numFmtId="49" fontId="7" fillId="5" borderId="26" xfId="0" applyNumberFormat="1" applyFont="1" applyFill="1" applyBorder="1" applyAlignment="1">
      <alignment horizontal="center" vertical="center"/>
    </xf>
    <xf numFmtId="3" fontId="40" fillId="0" borderId="26" xfId="0" applyNumberFormat="1" applyFont="1" applyBorder="1" applyAlignment="1">
      <alignment horizontal="right" vertical="center"/>
    </xf>
    <xf numFmtId="3" fontId="16" fillId="0" borderId="58" xfId="0" applyNumberFormat="1" applyFont="1" applyFill="1" applyBorder="1" applyAlignment="1">
      <alignment vertical="center" wrapText="1"/>
    </xf>
    <xf numFmtId="3" fontId="16" fillId="0" borderId="21" xfId="0" applyNumberFormat="1" applyFont="1" applyFill="1" applyBorder="1" applyAlignment="1">
      <alignment vertical="center" wrapText="1"/>
    </xf>
    <xf numFmtId="0" fontId="7" fillId="5" borderId="26" xfId="1" applyFont="1" applyFill="1" applyBorder="1" applyAlignment="1">
      <alignment horizontal="center" vertical="center"/>
    </xf>
    <xf numFmtId="0" fontId="8" fillId="5" borderId="26" xfId="1" applyFont="1" applyFill="1" applyBorder="1" applyAlignment="1">
      <alignment horizontal="center" vertical="center" wrapText="1"/>
    </xf>
    <xf numFmtId="3" fontId="7" fillId="5" borderId="36" xfId="0" applyNumberFormat="1" applyFont="1" applyFill="1" applyBorder="1" applyAlignment="1">
      <alignment vertical="center"/>
    </xf>
    <xf numFmtId="3" fontId="7" fillId="5" borderId="20" xfId="0" applyNumberFormat="1" applyFont="1" applyFill="1" applyBorder="1" applyAlignment="1">
      <alignment vertical="center"/>
    </xf>
    <xf numFmtId="3" fontId="7" fillId="5" borderId="47" xfId="0" applyNumberFormat="1" applyFont="1" applyFill="1" applyBorder="1" applyAlignment="1">
      <alignment vertical="center" wrapText="1"/>
    </xf>
    <xf numFmtId="3" fontId="7" fillId="5" borderId="20" xfId="0" applyNumberFormat="1" applyFont="1" applyFill="1" applyBorder="1" applyAlignment="1">
      <alignment vertical="center" wrapText="1"/>
    </xf>
    <xf numFmtId="3" fontId="7" fillId="5" borderId="32" xfId="0" applyNumberFormat="1" applyFont="1" applyFill="1" applyBorder="1" applyAlignment="1">
      <alignment vertical="center" wrapText="1"/>
    </xf>
    <xf numFmtId="3" fontId="11" fillId="0" borderId="47" xfId="0" applyNumberFormat="1" applyFont="1" applyFill="1" applyBorder="1" applyAlignment="1">
      <alignment vertical="center" wrapText="1"/>
    </xf>
    <xf numFmtId="49" fontId="11" fillId="0" borderId="26" xfId="0" applyNumberFormat="1" applyFont="1" applyFill="1" applyBorder="1" applyAlignment="1">
      <alignment horizontal="center" vertical="center"/>
    </xf>
    <xf numFmtId="3" fontId="16" fillId="0" borderId="47" xfId="0" applyNumberFormat="1" applyFont="1" applyFill="1" applyBorder="1" applyAlignment="1">
      <alignment vertical="center" wrapText="1"/>
    </xf>
    <xf numFmtId="3" fontId="16" fillId="0" borderId="32" xfId="0" applyNumberFormat="1" applyFont="1" applyFill="1" applyBorder="1" applyAlignment="1">
      <alignment vertical="center" wrapText="1"/>
    </xf>
    <xf numFmtId="0" fontId="27" fillId="0" borderId="26" xfId="0" applyFont="1" applyFill="1" applyBorder="1" applyAlignment="1">
      <alignment horizontal="center" wrapText="1"/>
    </xf>
    <xf numFmtId="3" fontId="16" fillId="0" borderId="26" xfId="0" applyNumberFormat="1" applyFont="1" applyFill="1" applyBorder="1" applyAlignment="1">
      <alignment horizontal="right" vertical="center"/>
    </xf>
    <xf numFmtId="49" fontId="12" fillId="5" borderId="26" xfId="0" applyNumberFormat="1" applyFont="1" applyFill="1" applyBorder="1" applyAlignment="1">
      <alignment horizontal="center" vertical="center"/>
    </xf>
    <xf numFmtId="49" fontId="12" fillId="5" borderId="23" xfId="0" applyNumberFormat="1" applyFont="1" applyFill="1" applyBorder="1" applyAlignment="1">
      <alignment horizontal="center" vertical="center"/>
    </xf>
    <xf numFmtId="0" fontId="11" fillId="5" borderId="26" xfId="1" applyFont="1" applyFill="1" applyBorder="1" applyAlignment="1">
      <alignment horizontal="center" vertical="center"/>
    </xf>
    <xf numFmtId="0" fontId="59" fillId="5" borderId="26" xfId="0" applyFont="1" applyFill="1" applyBorder="1" applyAlignment="1">
      <alignment horizontal="center" vertical="center" wrapText="1"/>
    </xf>
    <xf numFmtId="3" fontId="12" fillId="5" borderId="26" xfId="1" applyNumberFormat="1" applyFont="1" applyFill="1" applyBorder="1" applyAlignment="1">
      <alignment vertical="center"/>
    </xf>
    <xf numFmtId="3" fontId="11" fillId="5" borderId="36" xfId="0" applyNumberFormat="1" applyFont="1" applyFill="1" applyBorder="1" applyAlignment="1">
      <alignment vertical="center"/>
    </xf>
    <xf numFmtId="3" fontId="11" fillId="5" borderId="37" xfId="0" applyNumberFormat="1" applyFont="1" applyFill="1" applyBorder="1" applyAlignment="1">
      <alignment vertical="center"/>
    </xf>
    <xf numFmtId="3" fontId="11" fillId="5" borderId="20" xfId="0" applyNumberFormat="1" applyFont="1" applyFill="1" applyBorder="1" applyAlignment="1">
      <alignment vertical="center"/>
    </xf>
    <xf numFmtId="3" fontId="11" fillId="5" borderId="47" xfId="0" applyNumberFormat="1" applyFont="1" applyFill="1" applyBorder="1" applyAlignment="1">
      <alignment vertical="center" wrapText="1"/>
    </xf>
    <xf numFmtId="3" fontId="11" fillId="5" borderId="20" xfId="0" applyNumberFormat="1" applyFont="1" applyFill="1" applyBorder="1" applyAlignment="1">
      <alignment vertical="center" wrapText="1"/>
    </xf>
    <xf numFmtId="3" fontId="11" fillId="5" borderId="32" xfId="0" applyNumberFormat="1" applyFont="1" applyFill="1" applyBorder="1" applyAlignment="1">
      <alignment horizontal="right" vertical="center"/>
    </xf>
    <xf numFmtId="3" fontId="11" fillId="5" borderId="26" xfId="0" applyNumberFormat="1" applyFont="1" applyFill="1" applyBorder="1" applyAlignment="1">
      <alignment horizontal="right" vertical="center"/>
    </xf>
    <xf numFmtId="49" fontId="11" fillId="5" borderId="31" xfId="0" applyNumberFormat="1" applyFont="1" applyFill="1" applyBorder="1" applyAlignment="1">
      <alignment horizontal="center" vertical="center"/>
    </xf>
    <xf numFmtId="49" fontId="11" fillId="5" borderId="26" xfId="0" applyNumberFormat="1" applyFont="1" applyFill="1" applyBorder="1" applyAlignment="1">
      <alignment horizontal="center" vertical="center"/>
    </xf>
    <xf numFmtId="0" fontId="11" fillId="5" borderId="13" xfId="0" applyFont="1" applyFill="1" applyBorder="1" applyAlignment="1">
      <alignment horizontal="center" vertical="center" wrapText="1"/>
    </xf>
    <xf numFmtId="3" fontId="11" fillId="5" borderId="14" xfId="0" applyNumberFormat="1" applyFont="1" applyFill="1" applyBorder="1" applyAlignment="1">
      <alignment vertical="center" wrapText="1"/>
    </xf>
    <xf numFmtId="3" fontId="11" fillId="5" borderId="60" xfId="0" applyNumberFormat="1" applyFont="1" applyFill="1" applyBorder="1" applyAlignment="1">
      <alignment vertical="center" wrapText="1"/>
    </xf>
    <xf numFmtId="3" fontId="11" fillId="5" borderId="48" xfId="0" applyNumberFormat="1" applyFont="1" applyFill="1" applyBorder="1" applyAlignment="1">
      <alignment vertical="center" wrapText="1"/>
    </xf>
    <xf numFmtId="3" fontId="11" fillId="5" borderId="45" xfId="0" applyNumberFormat="1" applyFont="1" applyFill="1" applyBorder="1" applyAlignment="1">
      <alignment vertical="center" wrapText="1"/>
    </xf>
    <xf numFmtId="49" fontId="9" fillId="5" borderId="26" xfId="0" applyNumberFormat="1" applyFont="1" applyFill="1" applyBorder="1" applyAlignment="1">
      <alignment horizontal="center" vertical="center" wrapText="1" shrinkToFit="1"/>
    </xf>
    <xf numFmtId="3" fontId="7" fillId="5" borderId="26" xfId="0" applyNumberFormat="1" applyFont="1" applyFill="1" applyBorder="1" applyAlignment="1">
      <alignment horizontal="right" vertical="center"/>
    </xf>
    <xf numFmtId="49" fontId="9" fillId="5" borderId="13" xfId="0" applyNumberFormat="1" applyFont="1" applyFill="1" applyBorder="1" applyAlignment="1">
      <alignment horizontal="center" vertical="center" wrapText="1" shrinkToFit="1"/>
    </xf>
    <xf numFmtId="0" fontId="8" fillId="5" borderId="45" xfId="0" applyFont="1" applyFill="1" applyBorder="1" applyAlignment="1">
      <alignment horizontal="center" vertical="center" wrapText="1"/>
    </xf>
    <xf numFmtId="3" fontId="7" fillId="5" borderId="19" xfId="0" applyNumberFormat="1" applyFont="1" applyFill="1" applyBorder="1" applyAlignment="1">
      <alignment vertical="center"/>
    </xf>
    <xf numFmtId="3" fontId="7" fillId="5" borderId="48" xfId="0" applyNumberFormat="1" applyFont="1" applyFill="1" applyBorder="1" applyAlignment="1">
      <alignment vertical="center"/>
    </xf>
    <xf numFmtId="3" fontId="7" fillId="5" borderId="60" xfId="0" applyNumberFormat="1" applyFont="1" applyFill="1" applyBorder="1" applyAlignment="1">
      <alignment vertical="center" wrapText="1"/>
    </xf>
    <xf numFmtId="3" fontId="7" fillId="5" borderId="48" xfId="0" applyNumberFormat="1" applyFont="1" applyFill="1" applyBorder="1" applyAlignment="1">
      <alignment vertical="center" wrapText="1"/>
    </xf>
    <xf numFmtId="3" fontId="7" fillId="5" borderId="45" xfId="0" applyNumberFormat="1" applyFont="1" applyFill="1" applyBorder="1" applyAlignment="1">
      <alignment vertical="center" wrapText="1"/>
    </xf>
    <xf numFmtId="3" fontId="7" fillId="5" borderId="45" xfId="0" applyNumberFormat="1" applyFont="1" applyFill="1" applyBorder="1" applyAlignment="1">
      <alignment horizontal="right" vertical="center"/>
    </xf>
    <xf numFmtId="49" fontId="7" fillId="5" borderId="15" xfId="0" applyNumberFormat="1" applyFont="1" applyFill="1" applyBorder="1" applyAlignment="1">
      <alignment horizontal="center" vertical="center"/>
    </xf>
    <xf numFmtId="49" fontId="7" fillId="5" borderId="13" xfId="0" applyNumberFormat="1" applyFont="1" applyFill="1" applyBorder="1" applyAlignment="1">
      <alignment horizontal="center" vertical="center"/>
    </xf>
    <xf numFmtId="3" fontId="7" fillId="11" borderId="21" xfId="0" applyNumberFormat="1" applyFont="1" applyFill="1" applyBorder="1" applyAlignment="1">
      <alignment vertical="center"/>
    </xf>
    <xf numFmtId="3" fontId="7" fillId="11" borderId="24" xfId="0" applyNumberFormat="1" applyFont="1" applyFill="1" applyBorder="1" applyAlignment="1">
      <alignment horizontal="right" vertical="center"/>
    </xf>
    <xf numFmtId="3" fontId="7" fillId="11" borderId="23" xfId="0" applyNumberFormat="1" applyFont="1" applyFill="1" applyBorder="1" applyAlignment="1">
      <alignment horizontal="right" vertical="center"/>
    </xf>
    <xf numFmtId="49" fontId="17" fillId="0" borderId="23"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3" fontId="7" fillId="0" borderId="24" xfId="0" applyNumberFormat="1" applyFont="1" applyFill="1" applyBorder="1" applyAlignment="1">
      <alignment horizontal="center" vertical="center" wrapText="1"/>
    </xf>
    <xf numFmtId="49" fontId="7" fillId="11" borderId="23" xfId="0" applyNumberFormat="1" applyFont="1" applyFill="1" applyBorder="1" applyAlignment="1">
      <alignment horizontal="center" vertical="center" wrapText="1"/>
    </xf>
    <xf numFmtId="3" fontId="7" fillId="11" borderId="29" xfId="0" applyNumberFormat="1" applyFont="1" applyFill="1" applyBorder="1" applyAlignment="1">
      <alignment horizontal="center" vertical="center" wrapText="1"/>
    </xf>
    <xf numFmtId="0" fontId="11" fillId="5" borderId="26" xfId="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shrinkToFit="1"/>
    </xf>
    <xf numFmtId="3" fontId="11" fillId="0" borderId="26" xfId="0" applyNumberFormat="1" applyFont="1" applyFill="1" applyBorder="1" applyAlignment="1">
      <alignment vertical="center" wrapText="1"/>
    </xf>
    <xf numFmtId="49" fontId="11" fillId="0" borderId="31"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9" fillId="5" borderId="26" xfId="0" applyNumberFormat="1" applyFont="1" applyFill="1" applyBorder="1" applyAlignment="1">
      <alignment horizontal="center" vertical="center" wrapText="1"/>
    </xf>
    <xf numFmtId="0" fontId="7" fillId="5" borderId="32" xfId="1" applyFont="1" applyFill="1" applyBorder="1" applyAlignment="1">
      <alignment horizontal="center" vertical="center" wrapText="1"/>
    </xf>
    <xf numFmtId="0" fontId="8" fillId="5" borderId="31" xfId="0" applyFont="1" applyFill="1" applyBorder="1" applyAlignment="1">
      <alignment horizontal="center" vertical="center" wrapText="1"/>
    </xf>
    <xf numFmtId="49" fontId="7" fillId="5" borderId="31" xfId="0" applyNumberFormat="1" applyFont="1" applyFill="1" applyBorder="1" applyAlignment="1">
      <alignment horizontal="center" vertical="center" wrapText="1"/>
    </xf>
    <xf numFmtId="49" fontId="16" fillId="0" borderId="31" xfId="0" applyNumberFormat="1" applyFont="1" applyFill="1" applyBorder="1" applyAlignment="1">
      <alignment horizontal="center" vertical="center" wrapText="1"/>
    </xf>
    <xf numFmtId="49" fontId="9" fillId="5" borderId="23" xfId="0" applyNumberFormat="1" applyFont="1" applyFill="1" applyBorder="1" applyAlignment="1">
      <alignment horizontal="center" vertical="center" wrapText="1"/>
    </xf>
    <xf numFmtId="49" fontId="17" fillId="5" borderId="26" xfId="0" applyNumberFormat="1" applyFont="1" applyFill="1" applyBorder="1" applyAlignment="1">
      <alignment horizontal="center" vertical="center" wrapText="1" shrinkToFit="1"/>
    </xf>
    <xf numFmtId="0" fontId="16" fillId="5" borderId="26" xfId="1" applyFont="1" applyFill="1" applyBorder="1" applyAlignment="1">
      <alignment horizontal="center" vertical="center" wrapText="1"/>
    </xf>
    <xf numFmtId="49" fontId="16" fillId="5" borderId="26" xfId="0" applyNumberFormat="1" applyFont="1" applyFill="1" applyBorder="1" applyAlignment="1">
      <alignment horizontal="center" vertical="center" wrapText="1"/>
    </xf>
    <xf numFmtId="49" fontId="16" fillId="5" borderId="31" xfId="0" applyNumberFormat="1" applyFont="1" applyFill="1" applyBorder="1" applyAlignment="1">
      <alignment horizontal="center" vertical="center" wrapText="1"/>
    </xf>
    <xf numFmtId="49" fontId="9" fillId="5" borderId="13" xfId="0" applyNumberFormat="1" applyFont="1" applyFill="1" applyBorder="1" applyAlignment="1">
      <alignment horizontal="center" vertical="center" wrapText="1"/>
    </xf>
    <xf numFmtId="3" fontId="9" fillId="5" borderId="13" xfId="0" applyNumberFormat="1" applyFont="1" applyFill="1" applyBorder="1" applyAlignment="1">
      <alignment horizontal="right" vertical="center" wrapText="1"/>
    </xf>
    <xf numFmtId="3" fontId="9" fillId="5" borderId="15" xfId="1" applyNumberFormat="1" applyFont="1" applyFill="1" applyBorder="1" applyAlignment="1">
      <alignment vertical="center" wrapText="1"/>
    </xf>
    <xf numFmtId="49" fontId="7" fillId="5" borderId="15" xfId="0" applyNumberFormat="1" applyFont="1" applyFill="1" applyBorder="1" applyAlignment="1">
      <alignment horizontal="center" vertical="center" wrapText="1"/>
    </xf>
    <xf numFmtId="49" fontId="7" fillId="5" borderId="13" xfId="0" applyNumberFormat="1" applyFont="1" applyFill="1" applyBorder="1" applyAlignment="1">
      <alignment horizontal="center" vertical="center" wrapText="1"/>
    </xf>
    <xf numFmtId="49" fontId="17" fillId="0" borderId="26" xfId="0" applyNumberFormat="1" applyFont="1" applyFill="1" applyBorder="1" applyAlignment="1">
      <alignment horizontal="center" vertical="center" wrapText="1"/>
    </xf>
    <xf numFmtId="0" fontId="58" fillId="0" borderId="26" xfId="0" applyFont="1" applyFill="1" applyBorder="1" applyAlignment="1">
      <alignment horizontal="center" vertical="center" wrapText="1"/>
    </xf>
    <xf numFmtId="3" fontId="17" fillId="0" borderId="26" xfId="0" applyNumberFormat="1" applyFont="1" applyFill="1" applyBorder="1" applyAlignment="1">
      <alignment horizontal="right" vertical="center"/>
    </xf>
    <xf numFmtId="49" fontId="17" fillId="5" borderId="26" xfId="0" applyNumberFormat="1" applyFont="1" applyFill="1" applyBorder="1" applyAlignment="1">
      <alignment horizontal="center" vertical="center" wrapText="1"/>
    </xf>
    <xf numFmtId="0" fontId="58" fillId="5" borderId="26" xfId="0" applyFont="1" applyFill="1" applyBorder="1" applyAlignment="1">
      <alignment horizontal="center" vertical="center" wrapText="1"/>
    </xf>
    <xf numFmtId="0" fontId="59" fillId="0" borderId="26" xfId="0" applyFont="1" applyFill="1" applyBorder="1" applyAlignment="1">
      <alignment horizontal="center" vertical="center" wrapText="1"/>
    </xf>
    <xf numFmtId="3" fontId="51" fillId="0" borderId="26" xfId="0" applyNumberFormat="1" applyFont="1" applyFill="1" applyBorder="1" applyAlignment="1">
      <alignment horizontal="right" vertical="center"/>
    </xf>
    <xf numFmtId="3" fontId="14" fillId="0" borderId="23" xfId="0" applyNumberFormat="1" applyFont="1" applyFill="1" applyBorder="1" applyAlignment="1">
      <alignment horizontal="right" vertical="center"/>
    </xf>
    <xf numFmtId="0" fontId="8" fillId="5" borderId="26" xfId="0" applyFont="1" applyFill="1" applyBorder="1" applyAlignment="1">
      <alignment horizontal="center" vertical="center" wrapText="1"/>
    </xf>
    <xf numFmtId="3" fontId="9" fillId="5" borderId="26" xfId="0" applyNumberFormat="1" applyFont="1" applyFill="1" applyBorder="1" applyAlignment="1">
      <alignment horizontal="right" vertical="center"/>
    </xf>
    <xf numFmtId="49" fontId="12" fillId="0" borderId="23" xfId="0" applyNumberFormat="1" applyFont="1" applyFill="1" applyBorder="1" applyAlignment="1">
      <alignment horizontal="center" vertical="center" wrapText="1"/>
    </xf>
    <xf numFmtId="3" fontId="7" fillId="5" borderId="19" xfId="0" applyNumberFormat="1" applyFont="1" applyFill="1" applyBorder="1" applyAlignment="1">
      <alignment vertical="center" wrapText="1"/>
    </xf>
    <xf numFmtId="49" fontId="7" fillId="5" borderId="2" xfId="0" applyNumberFormat="1" applyFont="1" applyFill="1" applyBorder="1" applyAlignment="1">
      <alignment horizontal="center" vertical="center" wrapText="1"/>
    </xf>
    <xf numFmtId="3" fontId="13" fillId="0" borderId="24" xfId="0" applyNumberFormat="1" applyFont="1" applyFill="1" applyBorder="1" applyAlignment="1">
      <alignment horizontal="right" vertical="center"/>
    </xf>
    <xf numFmtId="49" fontId="11" fillId="0" borderId="25" xfId="0" applyNumberFormat="1" applyFont="1" applyFill="1" applyBorder="1" applyAlignment="1">
      <alignment horizontal="center" vertical="center" wrapText="1"/>
    </xf>
    <xf numFmtId="3" fontId="9" fillId="5" borderId="23" xfId="0" applyNumberFormat="1" applyFont="1" applyFill="1" applyBorder="1" applyAlignment="1">
      <alignment horizontal="right" vertical="center"/>
    </xf>
    <xf numFmtId="49" fontId="7" fillId="5" borderId="25" xfId="0" applyNumberFormat="1" applyFont="1" applyFill="1" applyBorder="1" applyAlignment="1">
      <alignment horizontal="center" vertical="center" wrapText="1"/>
    </xf>
    <xf numFmtId="49" fontId="7" fillId="5" borderId="23" xfId="0" applyNumberFormat="1" applyFont="1" applyFill="1" applyBorder="1" applyAlignment="1">
      <alignment horizontal="center" vertical="center" wrapText="1"/>
    </xf>
    <xf numFmtId="49" fontId="13" fillId="3" borderId="23" xfId="0" applyNumberFormat="1" applyFont="1" applyFill="1" applyBorder="1" applyAlignment="1">
      <alignment horizontal="center" vertical="center" wrapText="1"/>
    </xf>
    <xf numFmtId="168" fontId="30" fillId="0" borderId="75" xfId="0" applyNumberFormat="1" applyFont="1" applyFill="1" applyBorder="1" applyAlignment="1">
      <alignment horizontal="right" vertical="center"/>
    </xf>
    <xf numFmtId="170" fontId="30" fillId="0" borderId="0" xfId="0" applyNumberFormat="1" applyFont="1" applyFill="1" applyBorder="1" applyAlignment="1">
      <alignment horizontal="right" vertical="center"/>
    </xf>
    <xf numFmtId="1" fontId="32" fillId="4" borderId="22" xfId="0" applyNumberFormat="1"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40" xfId="0" applyFont="1" applyFill="1" applyBorder="1" applyAlignment="1">
      <alignment horizontal="center" vertical="center" wrapText="1"/>
    </xf>
    <xf numFmtId="0" fontId="32" fillId="3" borderId="0" xfId="0" applyFont="1" applyFill="1" applyBorder="1" applyAlignment="1">
      <alignment horizontal="center" vertical="center" wrapText="1"/>
    </xf>
    <xf numFmtId="3" fontId="14" fillId="0" borderId="42" xfId="0" applyNumberFormat="1" applyFont="1" applyFill="1" applyBorder="1" applyAlignment="1">
      <alignment vertical="center" wrapText="1"/>
    </xf>
    <xf numFmtId="3" fontId="32" fillId="15" borderId="22" xfId="1" applyNumberFormat="1" applyFont="1" applyFill="1" applyBorder="1" applyAlignment="1">
      <alignment vertical="center" wrapText="1"/>
    </xf>
    <xf numFmtId="3" fontId="32" fillId="8" borderId="22" xfId="1" applyNumberFormat="1" applyFont="1" applyFill="1" applyBorder="1" applyAlignment="1">
      <alignment vertical="center" wrapText="1"/>
    </xf>
    <xf numFmtId="3" fontId="32" fillId="0" borderId="22" xfId="1" applyNumberFormat="1" applyFont="1" applyFill="1" applyBorder="1" applyAlignment="1">
      <alignment vertical="center" wrapText="1"/>
    </xf>
    <xf numFmtId="3" fontId="32" fillId="0" borderId="29" xfId="1" applyNumberFormat="1" applyFont="1" applyFill="1" applyBorder="1" applyAlignment="1">
      <alignment vertical="center" wrapText="1"/>
    </xf>
    <xf numFmtId="3" fontId="14" fillId="0" borderId="36" xfId="0" applyNumberFormat="1" applyFont="1" applyFill="1" applyBorder="1" applyAlignment="1">
      <alignment vertical="center" wrapText="1"/>
    </xf>
    <xf numFmtId="3" fontId="14" fillId="0" borderId="20" xfId="0" applyNumberFormat="1" applyFont="1" applyFill="1" applyBorder="1" applyAlignment="1">
      <alignment vertical="center" wrapText="1"/>
    </xf>
    <xf numFmtId="3" fontId="41" fillId="0" borderId="0" xfId="0" applyNumberFormat="1" applyFont="1"/>
    <xf numFmtId="3" fontId="13" fillId="24" borderId="27" xfId="0" applyNumberFormat="1" applyFont="1" applyFill="1" applyBorder="1" applyAlignment="1">
      <alignment vertical="center" wrapText="1"/>
    </xf>
    <xf numFmtId="3" fontId="13" fillId="24" borderId="26" xfId="0" applyNumberFormat="1" applyFont="1" applyFill="1" applyBorder="1" applyAlignment="1">
      <alignment horizontal="center" vertical="center"/>
    </xf>
    <xf numFmtId="49" fontId="11" fillId="0" borderId="31" xfId="0"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3" fontId="11" fillId="0" borderId="48" xfId="0" applyNumberFormat="1" applyFont="1" applyFill="1" applyBorder="1" applyAlignment="1">
      <alignment vertical="center" wrapText="1"/>
    </xf>
    <xf numFmtId="3" fontId="13" fillId="24" borderId="26" xfId="0" applyNumberFormat="1" applyFont="1" applyFill="1" applyBorder="1" applyAlignment="1">
      <alignment vertical="center" wrapText="1"/>
    </xf>
    <xf numFmtId="49" fontId="9" fillId="5" borderId="2" xfId="0" applyNumberFormat="1" applyFont="1" applyFill="1" applyBorder="1" applyAlignment="1">
      <alignment horizontal="center" vertical="center" wrapText="1"/>
    </xf>
    <xf numFmtId="0" fontId="7" fillId="5" borderId="2" xfId="1" applyFont="1" applyFill="1" applyBorder="1" applyAlignment="1">
      <alignment horizontal="center" vertical="center" wrapText="1"/>
    </xf>
    <xf numFmtId="0" fontId="7" fillId="5" borderId="22" xfId="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168" fontId="13" fillId="0" borderId="75" xfId="0" applyNumberFormat="1" applyFont="1" applyFill="1" applyBorder="1" applyAlignment="1">
      <alignment horizontal="right" vertical="center"/>
    </xf>
    <xf numFmtId="170" fontId="13" fillId="0" borderId="0" xfId="0" applyNumberFormat="1" applyFont="1" applyFill="1" applyBorder="1" applyAlignment="1">
      <alignment horizontal="right" vertical="center"/>
    </xf>
    <xf numFmtId="3" fontId="14" fillId="5" borderId="26" xfId="0" applyNumberFormat="1" applyFont="1" applyFill="1" applyBorder="1" applyAlignment="1">
      <alignment vertical="center" wrapText="1"/>
    </xf>
    <xf numFmtId="3" fontId="14" fillId="5" borderId="42" xfId="1" applyNumberFormat="1" applyFont="1" applyFill="1" applyBorder="1" applyAlignment="1">
      <alignment vertical="center" wrapText="1"/>
    </xf>
    <xf numFmtId="3" fontId="13" fillId="5" borderId="26" xfId="0" applyNumberFormat="1" applyFont="1" applyFill="1" applyBorder="1" applyAlignment="1">
      <alignment vertical="center" wrapText="1"/>
    </xf>
    <xf numFmtId="3" fontId="13" fillId="5" borderId="37" xfId="0" applyNumberFormat="1" applyFont="1" applyFill="1" applyBorder="1" applyAlignment="1">
      <alignment vertical="center" wrapText="1"/>
    </xf>
    <xf numFmtId="0" fontId="13" fillId="11" borderId="24"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11" borderId="0" xfId="0" applyFont="1" applyFill="1" applyBorder="1" applyAlignment="1">
      <alignment horizontal="center" vertical="center" wrapText="1"/>
    </xf>
    <xf numFmtId="3" fontId="13" fillId="11" borderId="30" xfId="0" applyNumberFormat="1" applyFont="1" applyFill="1" applyBorder="1" applyAlignment="1">
      <alignment vertical="center" wrapText="1"/>
    </xf>
    <xf numFmtId="3" fontId="14" fillId="11" borderId="16" xfId="0" applyNumberFormat="1" applyFont="1" applyFill="1" applyBorder="1" applyAlignment="1">
      <alignment vertical="center" wrapText="1"/>
    </xf>
    <xf numFmtId="3" fontId="13" fillId="11" borderId="1" xfId="0" applyNumberFormat="1" applyFont="1" applyFill="1" applyBorder="1" applyAlignment="1">
      <alignment vertical="center" wrapText="1"/>
    </xf>
    <xf numFmtId="3" fontId="14" fillId="11" borderId="0" xfId="0" applyNumberFormat="1" applyFont="1" applyFill="1" applyBorder="1" applyAlignment="1">
      <alignment vertical="center" wrapText="1"/>
    </xf>
    <xf numFmtId="3" fontId="14" fillId="0" borderId="28" xfId="0" applyNumberFormat="1" applyFont="1" applyFill="1" applyBorder="1" applyAlignment="1">
      <alignment vertical="center" wrapText="1"/>
    </xf>
    <xf numFmtId="3" fontId="14" fillId="11" borderId="25" xfId="1" applyNumberFormat="1" applyFont="1" applyFill="1" applyBorder="1" applyAlignment="1">
      <alignment vertical="center" wrapText="1"/>
    </xf>
    <xf numFmtId="0" fontId="13" fillId="5" borderId="26" xfId="0" applyFont="1" applyFill="1" applyBorder="1" applyAlignment="1">
      <alignment horizontal="center" vertical="center" wrapText="1"/>
    </xf>
    <xf numFmtId="49" fontId="9" fillId="5" borderId="33" xfId="0" applyNumberFormat="1" applyFont="1" applyFill="1" applyBorder="1" applyAlignment="1">
      <alignment horizontal="center" vertical="center" wrapText="1"/>
    </xf>
    <xf numFmtId="0" fontId="8" fillId="5" borderId="31" xfId="1" applyFont="1" applyFill="1" applyBorder="1" applyAlignment="1">
      <alignment horizontal="center" vertical="center" wrapText="1"/>
    </xf>
    <xf numFmtId="3" fontId="7" fillId="5" borderId="40" xfId="0" applyNumberFormat="1" applyFont="1" applyFill="1" applyBorder="1" applyAlignment="1">
      <alignment vertical="center" wrapText="1"/>
    </xf>
    <xf numFmtId="3" fontId="7" fillId="5" borderId="32" xfId="0" applyNumberFormat="1" applyFont="1" applyFill="1" applyBorder="1" applyAlignment="1">
      <alignment horizontal="right" vertical="center" wrapText="1"/>
    </xf>
    <xf numFmtId="3" fontId="7" fillId="5" borderId="33" xfId="0" applyNumberFormat="1" applyFont="1" applyFill="1" applyBorder="1" applyAlignment="1">
      <alignment vertical="center" wrapText="1"/>
    </xf>
    <xf numFmtId="0" fontId="7" fillId="5" borderId="23" xfId="1" applyFont="1" applyFill="1" applyBorder="1" applyAlignment="1">
      <alignment horizontal="center" vertical="center" wrapText="1"/>
    </xf>
    <xf numFmtId="2" fontId="29" fillId="0" borderId="33" xfId="0" applyNumberFormat="1" applyFont="1" applyFill="1" applyBorder="1" applyAlignment="1">
      <alignment horizontal="center" vertical="center" wrapText="1"/>
    </xf>
    <xf numFmtId="2" fontId="29" fillId="0" borderId="23" xfId="0" applyNumberFormat="1" applyFont="1" applyFill="1" applyBorder="1" applyAlignment="1">
      <alignment horizontal="center" vertical="center" wrapText="1" shrinkToFit="1"/>
    </xf>
    <xf numFmtId="2" fontId="15" fillId="0" borderId="26" xfId="0" applyNumberFormat="1" applyFont="1" applyFill="1" applyBorder="1" applyAlignment="1">
      <alignment horizontal="center" vertical="center" wrapText="1"/>
    </xf>
    <xf numFmtId="2" fontId="15" fillId="0" borderId="26" xfId="1" applyNumberFormat="1" applyFont="1" applyFill="1" applyBorder="1" applyAlignment="1">
      <alignment horizontal="center" vertical="center" wrapText="1"/>
    </xf>
    <xf numFmtId="2" fontId="15" fillId="0" borderId="32" xfId="1" applyNumberFormat="1" applyFont="1" applyFill="1" applyBorder="1" applyAlignment="1">
      <alignment horizontal="center" vertical="center" wrapText="1"/>
    </xf>
    <xf numFmtId="2" fontId="46" fillId="0" borderId="31" xfId="1" applyNumberFormat="1" applyFont="1" applyFill="1" applyBorder="1" applyAlignment="1">
      <alignment horizontal="center" vertical="center" wrapText="1"/>
    </xf>
    <xf numFmtId="3" fontId="40" fillId="0" borderId="26" xfId="0" applyNumberFormat="1" applyFont="1" applyFill="1" applyBorder="1" applyAlignment="1">
      <alignment horizontal="right" vertical="center"/>
    </xf>
    <xf numFmtId="2" fontId="15" fillId="0" borderId="35" xfId="0" applyNumberFormat="1" applyFont="1" applyFill="1" applyBorder="1" applyAlignment="1">
      <alignment horizontal="center" vertical="center" wrapText="1"/>
    </xf>
    <xf numFmtId="2" fontId="15" fillId="0" borderId="31" xfId="0" applyNumberFormat="1" applyFont="1" applyFill="1" applyBorder="1" applyAlignment="1">
      <alignment horizontal="center" vertical="center" wrapText="1"/>
    </xf>
    <xf numFmtId="3" fontId="7" fillId="5" borderId="36" xfId="0" applyNumberFormat="1" applyFont="1" applyFill="1" applyBorder="1" applyAlignment="1">
      <alignment vertical="center" wrapText="1"/>
    </xf>
    <xf numFmtId="0" fontId="7" fillId="5" borderId="13" xfId="1" applyFont="1" applyFill="1" applyBorder="1" applyAlignment="1">
      <alignment horizontal="center" vertical="center" wrapText="1"/>
    </xf>
    <xf numFmtId="0" fontId="7" fillId="5" borderId="45" xfId="1" applyFont="1" applyFill="1" applyBorder="1" applyAlignment="1">
      <alignment horizontal="center" vertical="center" wrapText="1"/>
    </xf>
    <xf numFmtId="0" fontId="8" fillId="5" borderId="15" xfId="1" applyFont="1" applyFill="1" applyBorder="1" applyAlignment="1">
      <alignment horizontal="center" vertical="center" wrapText="1"/>
    </xf>
    <xf numFmtId="3" fontId="7" fillId="5" borderId="45" xfId="0" applyNumberFormat="1" applyFont="1" applyFill="1" applyBorder="1" applyAlignment="1">
      <alignment horizontal="right" vertical="center" wrapText="1"/>
    </xf>
    <xf numFmtId="0" fontId="7" fillId="5" borderId="26" xfId="0" applyNumberFormat="1" applyFont="1" applyFill="1" applyBorder="1" applyAlignment="1">
      <alignment horizontal="center" vertical="center" wrapText="1"/>
    </xf>
    <xf numFmtId="49" fontId="9" fillId="5" borderId="23" xfId="0" applyNumberFormat="1" applyFont="1" applyFill="1" applyBorder="1" applyAlignment="1">
      <alignment horizontal="center" vertical="center" wrapText="1" shrinkToFit="1"/>
    </xf>
    <xf numFmtId="3" fontId="7" fillId="5" borderId="24" xfId="0" applyNumberFormat="1" applyFont="1" applyFill="1" applyBorder="1" applyAlignment="1">
      <alignment horizontal="right" vertical="center" wrapText="1"/>
    </xf>
    <xf numFmtId="1" fontId="7" fillId="0" borderId="0" xfId="0" applyNumberFormat="1" applyFont="1" applyFill="1" applyAlignment="1">
      <alignment horizontal="center" vertical="center" wrapText="1"/>
    </xf>
    <xf numFmtId="3" fontId="15" fillId="24" borderId="36" xfId="0" applyNumberFormat="1" applyFont="1" applyFill="1" applyBorder="1" applyAlignment="1">
      <alignment vertical="center" wrapText="1"/>
    </xf>
    <xf numFmtId="3" fontId="15" fillId="24" borderId="37" xfId="0" applyNumberFormat="1" applyFont="1" applyFill="1" applyBorder="1" applyAlignment="1">
      <alignment vertical="center" wrapText="1"/>
    </xf>
    <xf numFmtId="3" fontId="15" fillId="0" borderId="40" xfId="0" applyNumberFormat="1" applyFont="1" applyFill="1" applyBorder="1" applyAlignment="1">
      <alignment vertical="center" wrapText="1"/>
    </xf>
    <xf numFmtId="169" fontId="12" fillId="0" borderId="26" xfId="0" applyNumberFormat="1" applyFont="1" applyFill="1" applyBorder="1" applyAlignment="1">
      <alignment horizontal="center" vertical="center" wrapText="1"/>
    </xf>
    <xf numFmtId="169" fontId="12" fillId="0" borderId="26" xfId="0" applyNumberFormat="1" applyFont="1" applyFill="1" applyBorder="1" applyAlignment="1">
      <alignment horizontal="center" vertical="center" wrapText="1" shrinkToFit="1"/>
    </xf>
    <xf numFmtId="0" fontId="11" fillId="0" borderId="23" xfId="1" applyFont="1" applyFill="1" applyBorder="1" applyAlignment="1">
      <alignment horizontal="center" vertical="center" wrapText="1"/>
    </xf>
    <xf numFmtId="3" fontId="15" fillId="24" borderId="42" xfId="0" applyNumberFormat="1" applyFont="1" applyFill="1" applyBorder="1" applyAlignment="1">
      <alignment vertical="center" wrapText="1"/>
    </xf>
    <xf numFmtId="3" fontId="15" fillId="24" borderId="36" xfId="1" applyNumberFormat="1" applyFont="1" applyFill="1" applyBorder="1" applyAlignment="1">
      <alignment vertical="center" wrapText="1"/>
    </xf>
    <xf numFmtId="3" fontId="15" fillId="8" borderId="23" xfId="0" applyNumberFormat="1" applyFont="1" applyFill="1" applyBorder="1" applyAlignment="1">
      <alignment vertical="center" wrapText="1"/>
    </xf>
    <xf numFmtId="0" fontId="7" fillId="5" borderId="33" xfId="0" applyFont="1" applyFill="1" applyBorder="1" applyAlignment="1">
      <alignment horizontal="center" vertical="center" wrapText="1"/>
    </xf>
    <xf numFmtId="49" fontId="7" fillId="5" borderId="37" xfId="0" applyNumberFormat="1" applyFont="1" applyFill="1" applyBorder="1" applyAlignment="1">
      <alignment horizontal="center" vertical="center" wrapText="1"/>
    </xf>
    <xf numFmtId="49" fontId="9" fillId="11" borderId="23" xfId="0" applyNumberFormat="1" applyFont="1" applyFill="1" applyBorder="1" applyAlignment="1">
      <alignment horizontal="center" vertical="center" wrapText="1"/>
    </xf>
    <xf numFmtId="49" fontId="9" fillId="11" borderId="26"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9" fillId="11" borderId="2" xfId="0" applyNumberFormat="1" applyFont="1" applyFill="1" applyBorder="1" applyAlignment="1">
      <alignment horizontal="center" vertical="center" wrapText="1"/>
    </xf>
    <xf numFmtId="49" fontId="9" fillId="11" borderId="2" xfId="0" applyNumberFormat="1" applyFont="1" applyFill="1" applyBorder="1" applyAlignment="1">
      <alignment horizontal="center" vertical="center" wrapText="1" shrinkToFit="1"/>
    </xf>
    <xf numFmtId="0" fontId="7" fillId="11" borderId="23" xfId="1" applyFont="1" applyFill="1" applyBorder="1" applyAlignment="1">
      <alignment horizontal="center" vertical="center" wrapText="1"/>
    </xf>
    <xf numFmtId="49" fontId="7" fillId="11" borderId="4" xfId="0" applyNumberFormat="1" applyFont="1" applyFill="1" applyBorder="1" applyAlignment="1">
      <alignment horizontal="center" vertical="center" wrapText="1"/>
    </xf>
    <xf numFmtId="0" fontId="7" fillId="11" borderId="2" xfId="1" applyFont="1" applyFill="1" applyBorder="1" applyAlignment="1">
      <alignment horizontal="center" vertical="center" wrapText="1"/>
    </xf>
    <xf numFmtId="49" fontId="7" fillId="11" borderId="25" xfId="0" applyNumberFormat="1" applyFont="1" applyFill="1" applyBorder="1" applyAlignment="1">
      <alignment horizontal="center" vertical="center" wrapText="1"/>
    </xf>
    <xf numFmtId="49" fontId="9" fillId="11" borderId="26" xfId="0" applyNumberFormat="1" applyFont="1" applyFill="1" applyBorder="1" applyAlignment="1">
      <alignment horizontal="center" vertical="center" wrapText="1" shrinkToFit="1"/>
    </xf>
    <xf numFmtId="49" fontId="7" fillId="11" borderId="31" xfId="0" applyNumberFormat="1" applyFont="1" applyFill="1" applyBorder="1" applyAlignment="1">
      <alignment horizontal="center" vertical="center" wrapText="1"/>
    </xf>
    <xf numFmtId="168" fontId="15" fillId="0" borderId="21" xfId="0" applyNumberFormat="1" applyFont="1" applyFill="1" applyBorder="1" applyAlignment="1">
      <alignment horizontal="right" vertical="center"/>
    </xf>
    <xf numFmtId="3" fontId="7" fillId="0" borderId="70" xfId="0" applyNumberFormat="1" applyFont="1" applyFill="1" applyBorder="1" applyAlignment="1">
      <alignment horizontal="center" vertical="center" wrapText="1"/>
    </xf>
    <xf numFmtId="3" fontId="9" fillId="0" borderId="15"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11" fillId="5" borderId="32" xfId="0" applyNumberFormat="1" applyFont="1" applyFill="1" applyBorder="1" applyAlignment="1">
      <alignment horizontal="right" vertical="center" wrapText="1"/>
    </xf>
    <xf numFmtId="49" fontId="12" fillId="5" borderId="26" xfId="0" applyNumberFormat="1" applyFont="1" applyFill="1" applyBorder="1" applyAlignment="1">
      <alignment horizontal="center" vertical="center" wrapText="1"/>
    </xf>
    <xf numFmtId="49" fontId="11" fillId="5" borderId="26" xfId="0" applyNumberFormat="1" applyFont="1" applyFill="1" applyBorder="1" applyAlignment="1">
      <alignment horizontal="center" vertical="center" wrapText="1"/>
    </xf>
    <xf numFmtId="49" fontId="16" fillId="5" borderId="37" xfId="0" applyNumberFormat="1" applyFont="1" applyFill="1" applyBorder="1" applyAlignment="1">
      <alignment horizontal="center" vertical="center" wrapText="1"/>
    </xf>
    <xf numFmtId="0" fontId="13" fillId="5" borderId="31" xfId="0" applyFont="1" applyFill="1" applyBorder="1" applyAlignment="1">
      <alignment horizontal="center" vertical="center" wrapText="1"/>
    </xf>
    <xf numFmtId="3" fontId="13" fillId="5" borderId="31" xfId="0" applyNumberFormat="1" applyFont="1" applyFill="1" applyBorder="1" applyAlignment="1">
      <alignment vertical="center"/>
    </xf>
    <xf numFmtId="0" fontId="15" fillId="24" borderId="23" xfId="0" applyFont="1" applyFill="1" applyBorder="1" applyAlignment="1">
      <alignment horizontal="center" vertical="center" wrapText="1"/>
    </xf>
    <xf numFmtId="169" fontId="9" fillId="5" borderId="3" xfId="0" applyNumberFormat="1" applyFont="1" applyFill="1" applyBorder="1" applyAlignment="1">
      <alignment horizontal="center" vertical="center" wrapText="1"/>
    </xf>
    <xf numFmtId="169" fontId="9" fillId="5" borderId="22" xfId="0" applyNumberFormat="1" applyFont="1" applyFill="1" applyBorder="1" applyAlignment="1">
      <alignment horizontal="center" vertical="center" wrapText="1" shrinkToFit="1"/>
    </xf>
    <xf numFmtId="49" fontId="9" fillId="5" borderId="33" xfId="0" applyNumberFormat="1" applyFont="1" applyFill="1" applyBorder="1" applyAlignment="1">
      <alignment horizontal="center" vertical="center" wrapText="1" shrinkToFit="1"/>
    </xf>
    <xf numFmtId="3" fontId="7" fillId="0" borderId="30" xfId="0" applyNumberFormat="1" applyFont="1" applyFill="1" applyBorder="1" applyAlignment="1">
      <alignment horizontal="center" vertical="center" wrapText="1"/>
    </xf>
    <xf numFmtId="3" fontId="7" fillId="5" borderId="42" xfId="0" applyNumberFormat="1" applyFont="1" applyFill="1" applyBorder="1" applyAlignment="1">
      <alignment vertical="center" wrapText="1"/>
    </xf>
    <xf numFmtId="3" fontId="15" fillId="0" borderId="26" xfId="1" applyNumberFormat="1" applyFont="1" applyFill="1" applyBorder="1" applyAlignment="1">
      <alignment vertical="center" wrapText="1"/>
    </xf>
    <xf numFmtId="49" fontId="7" fillId="5" borderId="19" xfId="0" applyNumberFormat="1" applyFont="1" applyFill="1" applyBorder="1" applyAlignment="1">
      <alignment horizontal="center" vertical="center" wrapText="1"/>
    </xf>
    <xf numFmtId="49" fontId="14" fillId="5" borderId="23"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27" fillId="5" borderId="26" xfId="0" applyFont="1" applyFill="1" applyBorder="1" applyAlignment="1">
      <alignment horizontal="center" vertical="center" wrapText="1"/>
    </xf>
    <xf numFmtId="3" fontId="14" fillId="5" borderId="23" xfId="0" applyNumberFormat="1" applyFont="1" applyFill="1" applyBorder="1" applyAlignment="1">
      <alignment horizontal="right" vertical="center"/>
    </xf>
    <xf numFmtId="3" fontId="14" fillId="5" borderId="34" xfId="1" applyNumberFormat="1" applyFont="1" applyFill="1" applyBorder="1" applyAlignment="1">
      <alignment vertical="center" wrapText="1"/>
    </xf>
    <xf numFmtId="3" fontId="13" fillId="5" borderId="20" xfId="0" applyNumberFormat="1" applyFont="1" applyFill="1" applyBorder="1" applyAlignment="1">
      <alignment vertical="center" wrapText="1"/>
    </xf>
    <xf numFmtId="3" fontId="13" fillId="5" borderId="23" xfId="0" applyNumberFormat="1" applyFont="1" applyFill="1" applyBorder="1" applyAlignment="1">
      <alignment vertical="center" wrapText="1"/>
    </xf>
    <xf numFmtId="3" fontId="13" fillId="5" borderId="27" xfId="0" applyNumberFormat="1" applyFont="1" applyFill="1" applyBorder="1" applyAlignment="1">
      <alignment vertical="center" wrapText="1"/>
    </xf>
    <xf numFmtId="3" fontId="13" fillId="5" borderId="47" xfId="0" applyNumberFormat="1" applyFont="1" applyFill="1" applyBorder="1" applyAlignment="1">
      <alignment vertical="center" wrapText="1"/>
    </xf>
    <xf numFmtId="3" fontId="13" fillId="5" borderId="32" xfId="0" applyNumberFormat="1" applyFont="1" applyFill="1" applyBorder="1" applyAlignment="1">
      <alignment vertical="center" wrapText="1"/>
    </xf>
    <xf numFmtId="3" fontId="13" fillId="5" borderId="32" xfId="0" applyNumberFormat="1" applyFont="1" applyFill="1" applyBorder="1" applyAlignment="1">
      <alignment horizontal="right" vertical="center"/>
    </xf>
    <xf numFmtId="3" fontId="13" fillId="5" borderId="26" xfId="0" applyNumberFormat="1" applyFont="1" applyFill="1" applyBorder="1" applyAlignment="1">
      <alignment horizontal="right" vertical="center"/>
    </xf>
    <xf numFmtId="3" fontId="13" fillId="5" borderId="25" xfId="0" applyNumberFormat="1" applyFont="1" applyFill="1" applyBorder="1" applyAlignment="1">
      <alignment vertical="center" wrapText="1"/>
    </xf>
    <xf numFmtId="49" fontId="13" fillId="5" borderId="25" xfId="0" applyNumberFormat="1" applyFont="1" applyFill="1" applyBorder="1" applyAlignment="1">
      <alignment horizontal="center" vertical="center" wrapText="1"/>
    </xf>
    <xf numFmtId="49" fontId="13" fillId="5" borderId="23" xfId="0" applyNumberFormat="1" applyFont="1" applyFill="1" applyBorder="1" applyAlignment="1">
      <alignment horizontal="center" vertical="center" wrapText="1"/>
    </xf>
    <xf numFmtId="3" fontId="7" fillId="0" borderId="13" xfId="0" applyNumberFormat="1" applyFont="1" applyFill="1" applyBorder="1" applyAlignment="1">
      <alignment horizontal="right" vertical="center" wrapText="1"/>
    </xf>
    <xf numFmtId="3" fontId="17" fillId="0" borderId="23" xfId="0" applyNumberFormat="1" applyFont="1" applyFill="1" applyBorder="1" applyAlignment="1">
      <alignment vertical="center" wrapText="1"/>
    </xf>
    <xf numFmtId="3" fontId="9" fillId="5" borderId="2" xfId="1" applyNumberFormat="1" applyFont="1" applyFill="1" applyBorder="1" applyAlignment="1">
      <alignment vertical="center" wrapText="1"/>
    </xf>
    <xf numFmtId="3" fontId="14" fillId="5" borderId="33" xfId="1" applyNumberFormat="1" applyFont="1" applyFill="1" applyBorder="1" applyAlignment="1">
      <alignment vertical="center" wrapText="1"/>
    </xf>
    <xf numFmtId="3" fontId="9" fillId="5" borderId="14" xfId="1" applyNumberFormat="1" applyFont="1" applyFill="1" applyBorder="1" applyAlignment="1">
      <alignment vertical="center" wrapText="1"/>
    </xf>
    <xf numFmtId="3" fontId="15" fillId="24" borderId="20" xfId="0" applyNumberFormat="1" applyFont="1" applyFill="1" applyBorder="1" applyAlignment="1">
      <alignment vertical="center" wrapText="1"/>
    </xf>
    <xf numFmtId="0" fontId="7" fillId="5" borderId="31" xfId="0" applyNumberFormat="1" applyFont="1" applyFill="1" applyBorder="1" applyAlignment="1">
      <alignment horizontal="center" vertical="center" wrapText="1"/>
    </xf>
    <xf numFmtId="49" fontId="7" fillId="0" borderId="30" xfId="1" applyNumberFormat="1" applyFont="1" applyFill="1" applyBorder="1" applyAlignment="1">
      <alignment horizontal="center" vertical="center" wrapText="1"/>
    </xf>
    <xf numFmtId="49" fontId="7" fillId="11" borderId="2" xfId="0" applyNumberFormat="1" applyFont="1" applyFill="1" applyBorder="1" applyAlignment="1">
      <alignment horizontal="center" vertical="center" wrapText="1"/>
    </xf>
    <xf numFmtId="0" fontId="7" fillId="0" borderId="19" xfId="1" applyFont="1" applyFill="1" applyBorder="1" applyAlignment="1">
      <alignment horizontal="center" vertical="center" wrapText="1"/>
    </xf>
    <xf numFmtId="0" fontId="10" fillId="12" borderId="18" xfId="1"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46" fillId="0" borderId="33" xfId="1" applyFont="1" applyFill="1" applyBorder="1" applyAlignment="1">
      <alignment horizontal="center" vertical="center" wrapText="1"/>
    </xf>
    <xf numFmtId="3" fontId="14" fillId="0" borderId="27" xfId="1" applyNumberFormat="1" applyFont="1" applyFill="1" applyBorder="1" applyAlignment="1">
      <alignment horizontal="center" vertical="center" wrapText="1"/>
    </xf>
    <xf numFmtId="3" fontId="29" fillId="0" borderId="27" xfId="1" applyNumberFormat="1" applyFont="1" applyFill="1" applyBorder="1" applyAlignment="1">
      <alignment horizontal="center" vertical="center" wrapText="1"/>
    </xf>
    <xf numFmtId="3" fontId="9" fillId="11" borderId="0" xfId="1" applyNumberFormat="1" applyFont="1" applyFill="1" applyBorder="1" applyAlignment="1">
      <alignment horizontal="center" vertical="center" wrapText="1"/>
    </xf>
    <xf numFmtId="3" fontId="29" fillId="0" borderId="40" xfId="1" applyNumberFormat="1" applyFont="1" applyFill="1" applyBorder="1" applyAlignment="1">
      <alignment horizontal="center" vertical="center" wrapText="1"/>
    </xf>
    <xf numFmtId="3" fontId="14" fillId="0" borderId="40" xfId="1" applyNumberFormat="1" applyFont="1" applyFill="1" applyBorder="1" applyAlignment="1">
      <alignment horizontal="center" vertical="center" wrapText="1"/>
    </xf>
    <xf numFmtId="3" fontId="14" fillId="5" borderId="40" xfId="1" applyNumberFormat="1"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6" fillId="0" borderId="27" xfId="1" applyFont="1" applyFill="1" applyBorder="1" applyAlignment="1">
      <alignment horizontal="center" vertical="center" wrapText="1"/>
    </xf>
    <xf numFmtId="0" fontId="8" fillId="0" borderId="16" xfId="0" applyFont="1" applyFill="1" applyBorder="1" applyAlignment="1">
      <alignment horizontal="center" vertical="center" wrapText="1"/>
    </xf>
    <xf numFmtId="3" fontId="9" fillId="11" borderId="1" xfId="1" applyNumberFormat="1" applyFont="1" applyFill="1" applyBorder="1" applyAlignment="1">
      <alignment horizontal="center" vertical="center" wrapText="1"/>
    </xf>
    <xf numFmtId="49" fontId="9" fillId="12" borderId="14" xfId="0" applyNumberFormat="1" applyFont="1" applyFill="1" applyBorder="1" applyAlignment="1">
      <alignment horizontal="center" vertical="center" wrapText="1"/>
    </xf>
    <xf numFmtId="49" fontId="9" fillId="12" borderId="30" xfId="0" applyNumberFormat="1" applyFont="1" applyFill="1" applyBorder="1" applyAlignment="1">
      <alignment horizontal="center" vertical="center" wrapText="1"/>
    </xf>
    <xf numFmtId="0" fontId="25" fillId="2" borderId="5" xfId="0" applyFont="1" applyFill="1" applyBorder="1" applyAlignment="1">
      <alignment horizontal="center" vertical="center"/>
    </xf>
    <xf numFmtId="0" fontId="9" fillId="12" borderId="14"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9" fillId="12" borderId="14" xfId="1" applyFont="1" applyFill="1" applyBorder="1" applyAlignment="1">
      <alignment horizontal="center" vertical="center" wrapText="1"/>
    </xf>
    <xf numFmtId="0" fontId="7" fillId="12" borderId="14" xfId="0" applyFont="1" applyFill="1" applyBorder="1" applyAlignment="1">
      <alignment horizontal="center" vertical="center" wrapText="1"/>
    </xf>
    <xf numFmtId="0" fontId="9" fillId="10" borderId="14" xfId="1" applyFont="1" applyFill="1" applyBorder="1" applyAlignment="1">
      <alignment horizontal="center" vertical="center" wrapText="1"/>
    </xf>
    <xf numFmtId="4" fontId="9" fillId="22" borderId="5" xfId="0" applyNumberFormat="1" applyFont="1" applyFill="1" applyBorder="1" applyAlignment="1">
      <alignment horizontal="center" vertical="center" wrapText="1"/>
    </xf>
    <xf numFmtId="49" fontId="9" fillId="3" borderId="22" xfId="0" applyNumberFormat="1" applyFont="1" applyFill="1" applyBorder="1" applyAlignment="1">
      <alignment horizontal="center" vertical="center" wrapText="1"/>
    </xf>
    <xf numFmtId="4" fontId="9" fillId="12" borderId="14" xfId="0" applyNumberFormat="1" applyFont="1" applyFill="1" applyBorder="1" applyAlignment="1">
      <alignment horizontal="center" vertical="center" wrapText="1"/>
    </xf>
    <xf numFmtId="0" fontId="18" fillId="0" borderId="0" xfId="0" applyFont="1" applyAlignment="1">
      <alignment horizontal="center" vertical="center" wrapText="1"/>
    </xf>
    <xf numFmtId="4" fontId="9" fillId="14" borderId="14" xfId="0" applyNumberFormat="1" applyFont="1" applyFill="1" applyBorder="1" applyAlignment="1">
      <alignment horizontal="center" vertical="center" wrapText="1"/>
    </xf>
    <xf numFmtId="0" fontId="22" fillId="12" borderId="22" xfId="0" applyFont="1" applyFill="1" applyBorder="1" applyAlignment="1">
      <alignment horizontal="center" vertical="center" wrapText="1"/>
    </xf>
    <xf numFmtId="4" fontId="9" fillId="26" borderId="1" xfId="0" applyNumberFormat="1" applyFont="1" applyFill="1" applyBorder="1" applyAlignment="1">
      <alignment horizontal="center" vertical="center" wrapText="1"/>
    </xf>
    <xf numFmtId="4" fontId="9" fillId="26" borderId="16" xfId="0" applyNumberFormat="1" applyFont="1" applyFill="1" applyBorder="1" applyAlignment="1">
      <alignment horizontal="center" vertical="center" wrapText="1"/>
    </xf>
    <xf numFmtId="4" fontId="9" fillId="23" borderId="16" xfId="0" applyNumberFormat="1" applyFont="1" applyFill="1" applyBorder="1" applyAlignment="1">
      <alignment horizontal="center" vertical="center" wrapText="1"/>
    </xf>
    <xf numFmtId="0" fontId="7" fillId="12" borderId="1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4" xfId="0" applyFont="1" applyFill="1" applyBorder="1" applyAlignment="1">
      <alignment horizontal="center" vertical="center" wrapText="1"/>
    </xf>
    <xf numFmtId="166" fontId="9" fillId="3" borderId="3" xfId="1" applyNumberFormat="1" applyFont="1" applyFill="1" applyBorder="1" applyAlignment="1">
      <alignment horizontal="center" vertical="center" wrapText="1"/>
    </xf>
    <xf numFmtId="166" fontId="9" fillId="3" borderId="14" xfId="1" applyNumberFormat="1" applyFont="1" applyFill="1" applyBorder="1" applyAlignment="1">
      <alignment horizontal="center" vertical="center" wrapText="1"/>
    </xf>
    <xf numFmtId="166" fontId="9" fillId="24" borderId="3" xfId="1" applyNumberFormat="1" applyFont="1" applyFill="1" applyBorder="1" applyAlignment="1">
      <alignment horizontal="center" vertical="center" wrapText="1"/>
    </xf>
    <xf numFmtId="166" fontId="9" fillId="24" borderId="14" xfId="1" applyNumberFormat="1" applyFont="1" applyFill="1" applyBorder="1" applyAlignment="1">
      <alignment horizontal="center" vertical="center" wrapText="1"/>
    </xf>
    <xf numFmtId="166" fontId="9" fillId="11" borderId="3" xfId="1" applyNumberFormat="1" applyFont="1" applyFill="1" applyBorder="1" applyAlignment="1">
      <alignment horizontal="center" vertical="center" wrapText="1"/>
    </xf>
    <xf numFmtId="166" fontId="9" fillId="11" borderId="14" xfId="1" applyNumberFormat="1" applyFont="1" applyFill="1" applyBorder="1" applyAlignment="1">
      <alignment horizontal="center" vertical="center" wrapText="1"/>
    </xf>
    <xf numFmtId="0" fontId="9" fillId="21" borderId="3" xfId="1" applyFont="1" applyFill="1" applyBorder="1" applyAlignment="1">
      <alignment horizontal="center" vertical="center" wrapText="1"/>
    </xf>
    <xf numFmtId="0" fontId="9" fillId="21" borderId="14" xfId="1" applyFont="1" applyFill="1" applyBorder="1" applyAlignment="1">
      <alignment horizontal="center" vertical="center" wrapText="1"/>
    </xf>
    <xf numFmtId="166" fontId="9" fillId="19" borderId="3" xfId="1" applyNumberFormat="1" applyFont="1" applyFill="1" applyBorder="1" applyAlignment="1">
      <alignment horizontal="center" vertical="center" wrapText="1"/>
    </xf>
    <xf numFmtId="166" fontId="9" fillId="19" borderId="14" xfId="1" applyNumberFormat="1"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9" fillId="12" borderId="3" xfId="1" applyFont="1" applyFill="1" applyBorder="1" applyAlignment="1">
      <alignment horizontal="center" vertical="center" wrapText="1"/>
    </xf>
    <xf numFmtId="3" fontId="9" fillId="11" borderId="3" xfId="1" applyNumberFormat="1" applyFont="1" applyFill="1" applyBorder="1" applyAlignment="1">
      <alignment horizontal="center" vertical="center" wrapText="1"/>
    </xf>
    <xf numFmtId="3" fontId="9" fillId="11" borderId="14" xfId="1" applyNumberFormat="1" applyFont="1" applyFill="1" applyBorder="1" applyAlignment="1">
      <alignment horizontal="center" vertical="center" wrapText="1"/>
    </xf>
    <xf numFmtId="166" fontId="9" fillId="8" borderId="3" xfId="1" applyNumberFormat="1" applyFont="1" applyFill="1" applyBorder="1" applyAlignment="1">
      <alignment horizontal="center" vertical="center" wrapText="1"/>
    </xf>
    <xf numFmtId="166" fontId="9" fillId="8" borderId="14" xfId="1" applyNumberFormat="1" applyFont="1" applyFill="1" applyBorder="1" applyAlignment="1">
      <alignment horizontal="center" vertical="center" wrapText="1"/>
    </xf>
    <xf numFmtId="0" fontId="18" fillId="0" borderId="0" xfId="0" applyFont="1" applyAlignment="1">
      <alignment horizontal="center" vertical="center" wrapText="1"/>
    </xf>
    <xf numFmtId="4" fontId="9" fillId="14" borderId="3" xfId="0" applyNumberFormat="1" applyFont="1" applyFill="1" applyBorder="1" applyAlignment="1">
      <alignment horizontal="center" vertical="center" wrapText="1"/>
    </xf>
    <xf numFmtId="4" fontId="9" fillId="14" borderId="14" xfId="0" applyNumberFormat="1"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2" fillId="12" borderId="22" xfId="0" applyFont="1" applyFill="1" applyBorder="1" applyAlignment="1">
      <alignment horizontal="center" vertical="center" wrapText="1"/>
    </xf>
    <xf numFmtId="0" fontId="0" fillId="8" borderId="22" xfId="0" applyFill="1" applyBorder="1" applyAlignment="1">
      <alignment horizontal="center" vertical="center" wrapText="1"/>
    </xf>
    <xf numFmtId="4" fontId="9" fillId="13" borderId="3" xfId="0" applyNumberFormat="1" applyFont="1" applyFill="1" applyBorder="1" applyAlignment="1">
      <alignment horizontal="center" vertical="center" wrapText="1"/>
    </xf>
    <xf numFmtId="4" fontId="9" fillId="13" borderId="14" xfId="0" applyNumberFormat="1" applyFont="1" applyFill="1" applyBorder="1" applyAlignment="1">
      <alignment horizontal="center" vertical="center" wrapText="1"/>
    </xf>
    <xf numFmtId="4" fontId="9" fillId="16" borderId="3" xfId="0" applyNumberFormat="1" applyFont="1" applyFill="1" applyBorder="1" applyAlignment="1">
      <alignment horizontal="center" vertical="center" wrapText="1"/>
    </xf>
    <xf numFmtId="4" fontId="9" fillId="16" borderId="14" xfId="0" applyNumberFormat="1" applyFont="1" applyFill="1" applyBorder="1" applyAlignment="1">
      <alignment horizontal="center" vertical="center" wrapText="1"/>
    </xf>
    <xf numFmtId="4" fontId="9" fillId="12" borderId="14" xfId="0" applyNumberFormat="1" applyFont="1" applyFill="1" applyBorder="1" applyAlignment="1">
      <alignment horizontal="center" vertical="center" wrapText="1"/>
    </xf>
    <xf numFmtId="166" fontId="9" fillId="5" borderId="3" xfId="1" applyNumberFormat="1" applyFont="1" applyFill="1" applyBorder="1" applyAlignment="1">
      <alignment horizontal="center" vertical="center" wrapText="1"/>
    </xf>
    <xf numFmtId="166" fontId="9" fillId="5" borderId="14" xfId="1" applyNumberFormat="1" applyFont="1" applyFill="1" applyBorder="1" applyAlignment="1">
      <alignment horizontal="center" vertical="center" wrapText="1"/>
    </xf>
    <xf numFmtId="0" fontId="7" fillId="12" borderId="14" xfId="0" applyFont="1" applyFill="1" applyBorder="1" applyAlignment="1">
      <alignment horizontal="center" vertical="center" wrapText="1"/>
    </xf>
    <xf numFmtId="3" fontId="9" fillId="11" borderId="22" xfId="1" applyNumberFormat="1" applyFont="1" applyFill="1" applyBorder="1" applyAlignment="1">
      <alignment horizontal="center" vertical="center" wrapText="1"/>
    </xf>
    <xf numFmtId="0" fontId="9" fillId="12" borderId="14" xfId="1" applyFont="1" applyFill="1" applyBorder="1" applyAlignment="1">
      <alignment horizontal="center" vertical="center" wrapText="1"/>
    </xf>
    <xf numFmtId="3" fontId="9" fillId="24" borderId="14" xfId="1" applyNumberFormat="1" applyFont="1" applyFill="1" applyBorder="1" applyAlignment="1">
      <alignment horizontal="center" vertical="center" wrapText="1"/>
    </xf>
    <xf numFmtId="3" fontId="9" fillId="19" borderId="14" xfId="1" applyNumberFormat="1" applyFont="1" applyFill="1" applyBorder="1" applyAlignment="1">
      <alignment horizontal="center" vertical="center" wrapText="1"/>
    </xf>
    <xf numFmtId="0" fontId="7" fillId="12" borderId="23" xfId="0" applyFont="1" applyFill="1" applyBorder="1" applyAlignment="1">
      <alignment horizontal="center" vertical="center" wrapText="1"/>
    </xf>
    <xf numFmtId="3" fontId="9" fillId="8" borderId="3" xfId="1" applyNumberFormat="1" applyFont="1" applyFill="1" applyBorder="1" applyAlignment="1">
      <alignment horizontal="center" vertical="center" wrapText="1"/>
    </xf>
    <xf numFmtId="3" fontId="9" fillId="8" borderId="14" xfId="1" applyNumberFormat="1" applyFont="1" applyFill="1" applyBorder="1" applyAlignment="1">
      <alignment horizontal="center" vertical="center" wrapText="1"/>
    </xf>
    <xf numFmtId="0" fontId="16" fillId="3" borderId="7" xfId="0" applyFont="1" applyFill="1" applyBorder="1" applyAlignment="1">
      <alignment horizontal="center" vertical="center"/>
    </xf>
    <xf numFmtId="4" fontId="9" fillId="22" borderId="14" xfId="0" applyNumberFormat="1" applyFont="1" applyFill="1" applyBorder="1" applyAlignment="1">
      <alignment horizontal="center" vertical="center" wrapText="1"/>
    </xf>
    <xf numFmtId="3" fontId="15" fillId="22" borderId="28" xfId="0" applyNumberFormat="1" applyFont="1" applyFill="1" applyBorder="1" applyAlignment="1">
      <alignment vertical="center" wrapText="1"/>
    </xf>
    <xf numFmtId="3" fontId="15" fillId="22" borderId="25" xfId="0" applyNumberFormat="1" applyFont="1" applyFill="1" applyBorder="1" applyAlignment="1">
      <alignment vertical="center" wrapText="1"/>
    </xf>
    <xf numFmtId="3" fontId="13" fillId="22" borderId="25" xfId="0" applyNumberFormat="1" applyFont="1" applyFill="1" applyBorder="1" applyAlignment="1">
      <alignment vertical="center" wrapText="1"/>
    </xf>
    <xf numFmtId="3" fontId="7" fillId="10" borderId="28" xfId="0" applyNumberFormat="1" applyFont="1" applyFill="1" applyBorder="1" applyAlignment="1">
      <alignment vertical="center" wrapText="1"/>
    </xf>
    <xf numFmtId="3" fontId="16" fillId="10" borderId="28" xfId="0" applyNumberFormat="1" applyFont="1" applyFill="1" applyBorder="1" applyAlignment="1">
      <alignment vertical="center" wrapText="1"/>
    </xf>
    <xf numFmtId="3" fontId="13" fillId="23" borderId="28" xfId="0" applyNumberFormat="1" applyFont="1" applyFill="1" applyBorder="1" applyAlignment="1">
      <alignment vertical="center" wrapText="1"/>
    </xf>
    <xf numFmtId="3" fontId="15" fillId="22" borderId="31" xfId="0" applyNumberFormat="1" applyFont="1" applyFill="1" applyBorder="1" applyAlignment="1">
      <alignment vertical="center" wrapText="1"/>
    </xf>
    <xf numFmtId="3" fontId="13" fillId="22" borderId="34" xfId="0" applyNumberFormat="1" applyFont="1" applyFill="1" applyBorder="1" applyAlignment="1">
      <alignment vertical="center" wrapText="1"/>
    </xf>
    <xf numFmtId="3" fontId="13" fillId="22" borderId="14" xfId="0" applyNumberFormat="1" applyFont="1" applyFill="1" applyBorder="1" applyAlignment="1">
      <alignment vertical="center" wrapText="1"/>
    </xf>
    <xf numFmtId="3" fontId="13" fillId="22" borderId="27" xfId="0" applyNumberFormat="1" applyFont="1" applyFill="1" applyBorder="1" applyAlignment="1">
      <alignment vertical="center" wrapText="1"/>
    </xf>
    <xf numFmtId="3" fontId="15" fillId="22" borderId="27" xfId="0" applyNumberFormat="1" applyFont="1" applyFill="1" applyBorder="1" applyAlignment="1">
      <alignment vertical="center" wrapText="1"/>
    </xf>
    <xf numFmtId="3" fontId="7" fillId="10" borderId="27" xfId="0" applyNumberFormat="1" applyFont="1" applyFill="1" applyBorder="1" applyAlignment="1">
      <alignment vertical="center" wrapText="1"/>
    </xf>
    <xf numFmtId="3" fontId="15" fillId="22" borderId="37" xfId="0" applyNumberFormat="1" applyFont="1" applyFill="1" applyBorder="1" applyAlignment="1">
      <alignment vertical="center" wrapText="1"/>
    </xf>
    <xf numFmtId="3" fontId="15" fillId="22" borderId="0" xfId="0" applyNumberFormat="1" applyFont="1" applyFill="1" applyBorder="1" applyAlignment="1">
      <alignment vertical="center" wrapText="1"/>
    </xf>
    <xf numFmtId="3" fontId="15" fillId="22" borderId="19" xfId="0" applyNumberFormat="1" applyFont="1" applyFill="1" applyBorder="1" applyAlignment="1">
      <alignment vertical="center" wrapText="1"/>
    </xf>
    <xf numFmtId="3" fontId="15" fillId="23" borderId="45" xfId="0" applyNumberFormat="1" applyFont="1" applyFill="1" applyBorder="1" applyAlignment="1">
      <alignment vertical="center" wrapText="1"/>
    </xf>
    <xf numFmtId="3" fontId="13" fillId="22" borderId="0" xfId="0" applyNumberFormat="1" applyFont="1" applyFill="1" applyBorder="1" applyAlignment="1">
      <alignment vertical="center" wrapText="1"/>
    </xf>
    <xf numFmtId="3" fontId="15" fillId="23" borderId="27" xfId="0" applyNumberFormat="1" applyFont="1" applyFill="1" applyBorder="1" applyAlignment="1">
      <alignment vertical="center" wrapText="1"/>
    </xf>
    <xf numFmtId="3" fontId="13" fillId="22" borderId="19" xfId="0" applyNumberFormat="1" applyFont="1" applyFill="1" applyBorder="1" applyAlignment="1">
      <alignment vertical="center" wrapText="1"/>
    </xf>
    <xf numFmtId="0" fontId="7" fillId="9" borderId="0" xfId="0" applyFont="1" applyFill="1" applyBorder="1" applyAlignment="1">
      <alignment horizontal="center" vertical="center"/>
    </xf>
    <xf numFmtId="168" fontId="7" fillId="0" borderId="0" xfId="0" applyNumberFormat="1" applyFont="1" applyBorder="1" applyAlignment="1">
      <alignment horizontal="center" vertical="center" wrapText="1"/>
    </xf>
    <xf numFmtId="168" fontId="7" fillId="31" borderId="0" xfId="0" applyNumberFormat="1" applyFont="1" applyFill="1" applyBorder="1" applyAlignment="1">
      <alignment horizontal="right" vertical="center"/>
    </xf>
    <xf numFmtId="168" fontId="7" fillId="8" borderId="5" xfId="0" applyNumberFormat="1" applyFont="1" applyFill="1" applyBorder="1" applyAlignment="1">
      <alignment horizontal="right" vertical="center"/>
    </xf>
    <xf numFmtId="169" fontId="9" fillId="12" borderId="14" xfId="0" applyNumberFormat="1" applyFont="1" applyFill="1" applyBorder="1" applyAlignment="1">
      <alignment horizontal="center" vertical="center" wrapText="1"/>
    </xf>
    <xf numFmtId="0" fontId="9" fillId="12" borderId="16" xfId="1" applyFont="1" applyFill="1" applyBorder="1" applyAlignment="1">
      <alignment horizontal="center" vertical="center" wrapText="1"/>
    </xf>
    <xf numFmtId="0" fontId="10" fillId="12" borderId="14" xfId="1" applyFont="1" applyFill="1" applyBorder="1" applyAlignment="1">
      <alignment horizontal="center" vertical="center" wrapText="1"/>
    </xf>
    <xf numFmtId="0" fontId="9" fillId="10" borderId="1" xfId="1" applyFont="1" applyFill="1" applyBorder="1" applyAlignment="1">
      <alignment horizontal="center" vertical="center" wrapText="1"/>
    </xf>
    <xf numFmtId="4" fontId="9" fillId="22" borderId="1" xfId="0" applyNumberFormat="1" applyFont="1" applyFill="1" applyBorder="1" applyAlignment="1">
      <alignment horizontal="center" vertical="center" wrapText="1"/>
    </xf>
    <xf numFmtId="4" fontId="9" fillId="9"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49" fontId="9" fillId="12" borderId="16" xfId="0" applyNumberFormat="1" applyFont="1" applyFill="1" applyBorder="1" applyAlignment="1">
      <alignment horizontal="center" vertical="center" wrapText="1"/>
    </xf>
    <xf numFmtId="0" fontId="9" fillId="25" borderId="16" xfId="1" applyFont="1" applyFill="1" applyBorder="1" applyAlignment="1">
      <alignment horizontal="center" vertical="center" wrapText="1"/>
    </xf>
    <xf numFmtId="0" fontId="9" fillId="25" borderId="1" xfId="1" applyFont="1" applyFill="1" applyBorder="1" applyAlignment="1">
      <alignment horizontal="center" vertical="center" wrapText="1"/>
    </xf>
    <xf numFmtId="1" fontId="7" fillId="5" borderId="39" xfId="0" applyNumberFormat="1" applyFont="1" applyFill="1" applyBorder="1" applyAlignment="1">
      <alignment horizontal="center" vertical="center" wrapText="1"/>
    </xf>
    <xf numFmtId="1" fontId="7" fillId="5" borderId="5" xfId="0" applyNumberFormat="1" applyFont="1" applyFill="1" applyBorder="1" applyAlignment="1">
      <alignment horizontal="center" vertical="center" wrapText="1"/>
    </xf>
    <xf numFmtId="0" fontId="7" fillId="12" borderId="29" xfId="0" applyFont="1" applyFill="1" applyBorder="1" applyAlignment="1">
      <alignment horizontal="center" vertical="center" wrapText="1"/>
    </xf>
    <xf numFmtId="0" fontId="9" fillId="12" borderId="29" xfId="0" applyFont="1" applyFill="1" applyBorder="1" applyAlignment="1">
      <alignment horizontal="center" vertical="center" wrapText="1"/>
    </xf>
    <xf numFmtId="3" fontId="9" fillId="8" borderId="1" xfId="1" applyNumberFormat="1" applyFont="1" applyFill="1" applyBorder="1" applyAlignment="1">
      <alignment horizontal="center" vertical="center" wrapText="1"/>
    </xf>
    <xf numFmtId="4" fontId="9" fillId="16" borderId="1" xfId="0" applyNumberFormat="1" applyFont="1" applyFill="1" applyBorder="1" applyAlignment="1">
      <alignment horizontal="center" vertical="center" wrapText="1"/>
    </xf>
    <xf numFmtId="166" fontId="9" fillId="5" borderId="16" xfId="1" applyNumberFormat="1" applyFont="1" applyFill="1" applyBorder="1" applyAlignment="1">
      <alignment horizontal="center" vertical="center" wrapText="1"/>
    </xf>
    <xf numFmtId="4" fontId="9" fillId="13" borderId="1" xfId="0" applyNumberFormat="1" applyFont="1" applyFill="1" applyBorder="1" applyAlignment="1">
      <alignment horizontal="center" vertical="center" wrapText="1"/>
    </xf>
    <xf numFmtId="166" fontId="9" fillId="3" borderId="1" xfId="1" applyNumberFormat="1" applyFont="1" applyFill="1" applyBorder="1" applyAlignment="1">
      <alignment horizontal="center" vertical="center" wrapText="1"/>
    </xf>
    <xf numFmtId="166" fontId="9" fillId="8" borderId="16" xfId="1" applyNumberFormat="1" applyFont="1" applyFill="1" applyBorder="1" applyAlignment="1">
      <alignment horizontal="center" vertical="center" wrapText="1"/>
    </xf>
    <xf numFmtId="166" fontId="9" fillId="11" borderId="29" xfId="1" applyNumberFormat="1" applyFont="1" applyFill="1" applyBorder="1" applyAlignment="1">
      <alignment horizontal="center" vertical="center" wrapText="1"/>
    </xf>
    <xf numFmtId="166" fontId="9" fillId="3" borderId="16" xfId="1" applyNumberFormat="1" applyFont="1" applyFill="1" applyBorder="1" applyAlignment="1">
      <alignment horizontal="center" vertical="center" wrapText="1"/>
    </xf>
    <xf numFmtId="166" fontId="9" fillId="24" borderId="16" xfId="1" applyNumberFormat="1" applyFont="1" applyFill="1" applyBorder="1" applyAlignment="1">
      <alignment horizontal="center" vertical="center" wrapText="1"/>
    </xf>
    <xf numFmtId="166" fontId="9" fillId="11" borderId="16" xfId="1" applyNumberFormat="1" applyFont="1" applyFill="1" applyBorder="1" applyAlignment="1">
      <alignment horizontal="center" vertical="center" wrapText="1"/>
    </xf>
    <xf numFmtId="166" fontId="9" fillId="19" borderId="16" xfId="1" applyNumberFormat="1" applyFont="1" applyFill="1" applyBorder="1" applyAlignment="1">
      <alignment horizontal="center" vertical="center" wrapText="1"/>
    </xf>
    <xf numFmtId="0" fontId="9" fillId="21" borderId="29" xfId="1" applyFont="1" applyFill="1" applyBorder="1" applyAlignment="1">
      <alignment horizontal="center" vertical="center" wrapText="1"/>
    </xf>
    <xf numFmtId="0" fontId="9" fillId="21" borderId="16" xfId="1" applyFont="1" applyFill="1" applyBorder="1" applyAlignment="1">
      <alignment horizontal="center" vertical="center" wrapText="1"/>
    </xf>
    <xf numFmtId="0" fontId="0" fillId="8" borderId="0" xfId="0" applyFill="1" applyBorder="1" applyAlignment="1">
      <alignment horizontal="center" vertical="center" wrapText="1"/>
    </xf>
    <xf numFmtId="4" fontId="9" fillId="13" borderId="16" xfId="0" applyNumberFormat="1" applyFont="1" applyFill="1" applyBorder="1" applyAlignment="1">
      <alignment horizontal="center" vertical="center" wrapText="1"/>
    </xf>
    <xf numFmtId="0" fontId="22" fillId="12" borderId="0"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3" fontId="9" fillId="19" borderId="3" xfId="1" applyNumberFormat="1" applyFont="1" applyFill="1" applyBorder="1" applyAlignment="1">
      <alignment horizontal="center" vertical="center" wrapText="1"/>
    </xf>
    <xf numFmtId="3" fontId="9" fillId="24" borderId="3" xfId="1" applyNumberFormat="1" applyFont="1" applyFill="1" applyBorder="1" applyAlignment="1">
      <alignment horizontal="center" vertical="center" wrapText="1"/>
    </xf>
    <xf numFmtId="0" fontId="7" fillId="5" borderId="57" xfId="0" applyFont="1" applyFill="1" applyBorder="1" applyAlignment="1">
      <alignment horizontal="center" vertical="center" wrapText="1"/>
    </xf>
    <xf numFmtId="3" fontId="7" fillId="0" borderId="61" xfId="0" applyNumberFormat="1" applyFont="1" applyFill="1" applyBorder="1" applyAlignment="1">
      <alignment vertical="center" wrapText="1"/>
    </xf>
    <xf numFmtId="3" fontId="7" fillId="0" borderId="63" xfId="0" applyNumberFormat="1" applyFont="1" applyFill="1" applyBorder="1" applyAlignment="1">
      <alignment vertical="center" wrapText="1"/>
    </xf>
    <xf numFmtId="3" fontId="7" fillId="0" borderId="41" xfId="0" applyNumberFormat="1" applyFont="1" applyFill="1" applyBorder="1" applyAlignment="1">
      <alignment vertical="center" wrapText="1"/>
    </xf>
    <xf numFmtId="3" fontId="9" fillId="0" borderId="18" xfId="1" applyNumberFormat="1" applyFont="1" applyFill="1" applyBorder="1" applyAlignment="1">
      <alignment horizontal="right" vertical="center" wrapText="1"/>
    </xf>
    <xf numFmtId="3" fontId="9" fillId="11" borderId="2" xfId="1" applyNumberFormat="1" applyFont="1" applyFill="1" applyBorder="1" applyAlignment="1">
      <alignment horizontal="right" vertical="center" wrapText="1"/>
    </xf>
    <xf numFmtId="3" fontId="14" fillId="0" borderId="23" xfId="1" applyNumberFormat="1" applyFont="1" applyFill="1" applyBorder="1" applyAlignment="1">
      <alignment horizontal="right" vertical="center" wrapText="1"/>
    </xf>
    <xf numFmtId="3" fontId="7" fillId="11" borderId="23" xfId="0" applyNumberFormat="1" applyFont="1" applyFill="1" applyBorder="1" applyAlignment="1">
      <alignment horizontal="right" vertical="center" wrapText="1"/>
    </xf>
    <xf numFmtId="3" fontId="7" fillId="0" borderId="60" xfId="0" applyNumberFormat="1" applyFont="1" applyFill="1" applyBorder="1" applyAlignment="1">
      <alignment horizontal="center" vertical="center" wrapText="1"/>
    </xf>
    <xf numFmtId="49" fontId="7" fillId="0" borderId="13" xfId="1" applyNumberFormat="1" applyFont="1" applyFill="1" applyBorder="1" applyAlignment="1">
      <alignment horizontal="center" vertical="center" wrapText="1"/>
    </xf>
    <xf numFmtId="3" fontId="14" fillId="0" borderId="13" xfId="1" applyNumberFormat="1" applyFont="1" applyFill="1" applyBorder="1" applyAlignment="1">
      <alignment horizontal="right" vertical="center" wrapText="1"/>
    </xf>
    <xf numFmtId="3" fontId="13" fillId="0" borderId="27" xfId="0" applyNumberFormat="1" applyFont="1" applyFill="1" applyBorder="1" applyAlignment="1">
      <alignment horizontal="right" vertical="center" wrapText="1"/>
    </xf>
    <xf numFmtId="3" fontId="7" fillId="0" borderId="47" xfId="0" applyNumberFormat="1" applyFont="1" applyFill="1" applyBorder="1" applyAlignment="1">
      <alignment vertical="center"/>
    </xf>
    <xf numFmtId="3" fontId="7" fillId="0" borderId="60" xfId="0" applyNumberFormat="1" applyFont="1" applyFill="1" applyBorder="1" applyAlignment="1">
      <alignment vertical="center"/>
    </xf>
    <xf numFmtId="3" fontId="7" fillId="0" borderId="63" xfId="0" applyNumberFormat="1" applyFont="1" applyFill="1" applyBorder="1" applyAlignment="1">
      <alignment vertical="center"/>
    </xf>
    <xf numFmtId="3" fontId="7" fillId="0" borderId="58" xfId="0" applyNumberFormat="1" applyFont="1" applyFill="1" applyBorder="1" applyAlignment="1">
      <alignment vertical="center"/>
    </xf>
    <xf numFmtId="3" fontId="7" fillId="0" borderId="47" xfId="0" applyNumberFormat="1" applyFont="1" applyFill="1" applyBorder="1" applyAlignment="1">
      <alignment horizontal="right" vertical="center"/>
    </xf>
    <xf numFmtId="3" fontId="7" fillId="0" borderId="15" xfId="0" applyNumberFormat="1" applyFont="1" applyFill="1" applyBorder="1" applyAlignment="1">
      <alignment horizontal="center" vertical="center" wrapText="1"/>
    </xf>
    <xf numFmtId="3" fontId="9" fillId="11" borderId="23" xfId="1" applyNumberFormat="1" applyFont="1" applyFill="1" applyBorder="1" applyAlignment="1">
      <alignment horizontal="right" vertical="center" wrapText="1"/>
    </xf>
    <xf numFmtId="3" fontId="9" fillId="11" borderId="26" xfId="1" applyNumberFormat="1" applyFont="1" applyFill="1" applyBorder="1" applyAlignment="1">
      <alignment horizontal="right" vertical="center" wrapText="1"/>
    </xf>
    <xf numFmtId="4" fontId="7" fillId="0" borderId="1"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shrinkToFit="1"/>
    </xf>
    <xf numFmtId="0" fontId="8" fillId="0" borderId="7" xfId="0" applyFont="1" applyFill="1" applyBorder="1" applyAlignment="1">
      <alignment horizontal="center" vertical="center" wrapText="1"/>
    </xf>
    <xf numFmtId="3" fontId="7" fillId="0" borderId="68" xfId="0" applyNumberFormat="1" applyFont="1" applyFill="1" applyBorder="1" applyAlignment="1">
      <alignment vertical="center" wrapText="1"/>
    </xf>
    <xf numFmtId="0" fontId="8" fillId="0" borderId="1" xfId="0" applyFont="1" applyFill="1" applyBorder="1" applyAlignment="1">
      <alignment horizontal="center" vertical="center" wrapText="1"/>
    </xf>
    <xf numFmtId="3" fontId="9" fillId="5" borderId="23" xfId="1" applyNumberFormat="1" applyFont="1" applyFill="1" applyBorder="1" applyAlignment="1">
      <alignment horizontal="right" vertical="center" wrapText="1"/>
    </xf>
    <xf numFmtId="3" fontId="7" fillId="5" borderId="24" xfId="0" applyNumberFormat="1" applyFont="1" applyFill="1" applyBorder="1" applyAlignment="1">
      <alignment horizontal="center" vertical="center" wrapText="1"/>
    </xf>
    <xf numFmtId="3" fontId="9" fillId="5" borderId="13" xfId="1" applyNumberFormat="1" applyFont="1" applyFill="1" applyBorder="1" applyAlignment="1">
      <alignment horizontal="right" vertical="center" wrapText="1"/>
    </xf>
    <xf numFmtId="3" fontId="7" fillId="5" borderId="23" xfId="0" applyNumberFormat="1" applyFont="1" applyFill="1" applyBorder="1" applyAlignment="1">
      <alignment horizontal="right" vertical="center" wrapText="1"/>
    </xf>
    <xf numFmtId="0" fontId="7" fillId="5" borderId="16" xfId="0" applyFont="1" applyFill="1" applyBorder="1" applyAlignment="1">
      <alignment horizontal="center" vertical="center" wrapText="1"/>
    </xf>
    <xf numFmtId="3" fontId="9" fillId="5" borderId="14" xfId="1" applyNumberFormat="1" applyFont="1" applyFill="1" applyBorder="1" applyAlignment="1">
      <alignment horizontal="right" vertical="center" wrapText="1"/>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wrapText="1"/>
    </xf>
    <xf numFmtId="49" fontId="14" fillId="5" borderId="26" xfId="0" applyNumberFormat="1" applyFont="1" applyFill="1" applyBorder="1" applyAlignment="1">
      <alignment horizontal="center" vertical="center" wrapText="1"/>
    </xf>
    <xf numFmtId="3" fontId="13" fillId="5" borderId="26" xfId="0" applyNumberFormat="1" applyFont="1" applyFill="1" applyBorder="1" applyAlignment="1">
      <alignment horizontal="right" vertical="center" wrapText="1"/>
    </xf>
    <xf numFmtId="49" fontId="13" fillId="5" borderId="26" xfId="0" applyNumberFormat="1" applyFont="1" applyFill="1" applyBorder="1" applyAlignment="1">
      <alignment horizontal="center" vertical="center" wrapText="1"/>
    </xf>
    <xf numFmtId="49" fontId="13" fillId="5" borderId="37" xfId="0" applyNumberFormat="1" applyFont="1" applyFill="1" applyBorder="1" applyAlignment="1">
      <alignment horizontal="center" vertical="center" wrapText="1"/>
    </xf>
    <xf numFmtId="3" fontId="12" fillId="0" borderId="2" xfId="1" applyNumberFormat="1" applyFont="1" applyFill="1" applyBorder="1" applyAlignment="1">
      <alignment horizontal="right" vertical="center" wrapText="1"/>
    </xf>
    <xf numFmtId="3" fontId="13" fillId="0" borderId="23" xfId="0" applyNumberFormat="1" applyFont="1" applyFill="1" applyBorder="1" applyAlignment="1">
      <alignment horizontal="right" vertical="center"/>
    </xf>
    <xf numFmtId="3" fontId="9" fillId="5" borderId="18" xfId="1" applyNumberFormat="1" applyFont="1" applyFill="1" applyBorder="1" applyAlignment="1">
      <alignment horizontal="right" vertical="center" wrapText="1"/>
    </xf>
    <xf numFmtId="49" fontId="7" fillId="0" borderId="14"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3" fontId="13" fillId="5" borderId="37" xfId="0" applyNumberFormat="1" applyFont="1" applyFill="1" applyBorder="1" applyAlignment="1">
      <alignment vertical="center"/>
    </xf>
    <xf numFmtId="2" fontId="7" fillId="11" borderId="3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3" fontId="7" fillId="0" borderId="7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wrapText="1"/>
    </xf>
    <xf numFmtId="0" fontId="13" fillId="5" borderId="45" xfId="0" applyFont="1" applyFill="1" applyBorder="1" applyAlignment="1">
      <alignment horizontal="center" vertical="center" wrapText="1"/>
    </xf>
    <xf numFmtId="3" fontId="29" fillId="0" borderId="23" xfId="1" applyNumberFormat="1" applyFont="1" applyFill="1" applyBorder="1" applyAlignment="1">
      <alignment horizontal="right" vertical="center" wrapText="1"/>
    </xf>
    <xf numFmtId="3" fontId="7" fillId="0" borderId="33" xfId="0" applyNumberFormat="1" applyFont="1" applyFill="1" applyBorder="1" applyAlignment="1">
      <alignment horizontal="right" vertical="center" wrapText="1"/>
    </xf>
    <xf numFmtId="3" fontId="13" fillId="0" borderId="13" xfId="0" applyNumberFormat="1" applyFont="1" applyFill="1" applyBorder="1" applyAlignment="1">
      <alignment horizontal="right" vertical="center" wrapText="1"/>
    </xf>
    <xf numFmtId="3" fontId="7" fillId="0" borderId="33"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3" fontId="7" fillId="0" borderId="18" xfId="0" applyNumberFormat="1" applyFont="1" applyFill="1" applyBorder="1" applyAlignment="1">
      <alignment horizontal="right" vertical="center" wrapText="1"/>
    </xf>
    <xf numFmtId="3" fontId="7" fillId="0" borderId="2" xfId="0" applyNumberFormat="1" applyFont="1" applyFill="1" applyBorder="1" applyAlignment="1">
      <alignment horizontal="right" vertical="center" wrapText="1"/>
    </xf>
    <xf numFmtId="3" fontId="7" fillId="0" borderId="25" xfId="0" applyNumberFormat="1" applyFont="1" applyFill="1" applyBorder="1" applyAlignment="1">
      <alignment horizontal="right" vertical="center"/>
    </xf>
    <xf numFmtId="3" fontId="7" fillId="8" borderId="23" xfId="0" applyNumberFormat="1" applyFont="1" applyFill="1" applyBorder="1" applyAlignment="1">
      <alignment horizontal="right" vertical="center" wrapText="1"/>
    </xf>
    <xf numFmtId="3" fontId="13" fillId="5" borderId="32" xfId="0" applyNumberFormat="1" applyFont="1" applyFill="1" applyBorder="1" applyAlignment="1">
      <alignment horizontal="right" vertical="center" wrapText="1"/>
    </xf>
    <xf numFmtId="3" fontId="9" fillId="0" borderId="26" xfId="0" applyNumberFormat="1" applyFont="1" applyFill="1" applyBorder="1" applyAlignment="1">
      <alignment horizontal="right" vertical="center" wrapText="1"/>
    </xf>
    <xf numFmtId="0" fontId="9" fillId="0" borderId="14" xfId="1" applyFont="1" applyFill="1" applyBorder="1" applyAlignment="1">
      <alignment horizontal="center" vertical="center" wrapText="1"/>
    </xf>
    <xf numFmtId="0" fontId="10" fillId="0" borderId="14" xfId="1" applyFont="1" applyFill="1" applyBorder="1" applyAlignment="1">
      <alignment horizontal="center" vertical="center" wrapText="1"/>
    </xf>
    <xf numFmtId="4" fontId="9" fillId="0" borderId="7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0" borderId="14" xfId="0" applyNumberFormat="1" applyFont="1" applyFill="1" applyBorder="1" applyAlignment="1">
      <alignment horizontal="right" vertical="center" wrapText="1"/>
    </xf>
    <xf numFmtId="49" fontId="9" fillId="0" borderId="16"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shrinkToFit="1"/>
    </xf>
    <xf numFmtId="0" fontId="8" fillId="0" borderId="27" xfId="1" applyFont="1" applyFill="1" applyBorder="1" applyAlignment="1">
      <alignment horizontal="center" vertical="center" wrapText="1"/>
    </xf>
    <xf numFmtId="0" fontId="8" fillId="0" borderId="37" xfId="1" applyFont="1" applyFill="1" applyBorder="1" applyAlignment="1">
      <alignment horizontal="center" vertical="center" wrapText="1"/>
    </xf>
    <xf numFmtId="3" fontId="7" fillId="0" borderId="63" xfId="0" applyNumberFormat="1" applyFont="1" applyFill="1" applyBorder="1" applyAlignment="1">
      <alignment horizontal="right" vertical="center"/>
    </xf>
    <xf numFmtId="3" fontId="7" fillId="0" borderId="8" xfId="0" applyNumberFormat="1" applyFont="1" applyFill="1" applyBorder="1" applyAlignment="1">
      <alignment horizontal="right" vertical="center"/>
    </xf>
    <xf numFmtId="3" fontId="7" fillId="0" borderId="64" xfId="0" applyNumberFormat="1" applyFont="1" applyFill="1" applyBorder="1" applyAlignment="1">
      <alignment horizontal="right" vertical="center"/>
    </xf>
    <xf numFmtId="3" fontId="7" fillId="0" borderId="58" xfId="0" applyNumberFormat="1" applyFont="1" applyFill="1" applyBorder="1" applyAlignment="1">
      <alignment horizontal="right" vertical="center"/>
    </xf>
    <xf numFmtId="3" fontId="7" fillId="0" borderId="21" xfId="0" applyNumberFormat="1" applyFont="1" applyFill="1" applyBorder="1" applyAlignment="1">
      <alignment horizontal="right" vertical="center"/>
    </xf>
    <xf numFmtId="3" fontId="13" fillId="0" borderId="24" xfId="0" applyNumberFormat="1" applyFont="1" applyFill="1" applyBorder="1" applyAlignment="1">
      <alignment horizontal="center" vertical="center" wrapText="1"/>
    </xf>
    <xf numFmtId="3" fontId="7" fillId="0" borderId="31" xfId="0" applyNumberFormat="1" applyFont="1" applyFill="1" applyBorder="1" applyAlignment="1">
      <alignment horizontal="right" vertical="center"/>
    </xf>
    <xf numFmtId="3" fontId="7" fillId="0" borderId="15"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3" fontId="13" fillId="0" borderId="27" xfId="0" applyNumberFormat="1" applyFont="1" applyFill="1" applyBorder="1" applyAlignment="1">
      <alignment horizontal="right" vertical="center"/>
    </xf>
    <xf numFmtId="3" fontId="7" fillId="0" borderId="30" xfId="0" applyNumberFormat="1" applyFont="1" applyFill="1" applyBorder="1" applyAlignment="1">
      <alignment horizontal="center" vertical="center"/>
    </xf>
    <xf numFmtId="0" fontId="7" fillId="0" borderId="2" xfId="0" applyFont="1" applyFill="1" applyBorder="1" applyAlignment="1">
      <alignment horizontal="center" vertical="center"/>
    </xf>
    <xf numFmtId="3" fontId="15" fillId="0" borderId="32" xfId="0" applyNumberFormat="1" applyFont="1" applyFill="1" applyBorder="1" applyAlignment="1">
      <alignment horizontal="center" vertical="center" wrapText="1"/>
    </xf>
    <xf numFmtId="3" fontId="29" fillId="0" borderId="13" xfId="1" applyNumberFormat="1" applyFont="1" applyFill="1" applyBorder="1" applyAlignment="1">
      <alignment vertical="center"/>
    </xf>
    <xf numFmtId="3" fontId="15" fillId="0" borderId="45" xfId="0" applyNumberFormat="1" applyFont="1" applyFill="1" applyBorder="1" applyAlignment="1">
      <alignment vertical="center" wrapText="1"/>
    </xf>
    <xf numFmtId="3" fontId="15" fillId="0" borderId="15" xfId="0" applyNumberFormat="1" applyFont="1" applyFill="1" applyBorder="1" applyAlignment="1">
      <alignment horizontal="right" vertical="center"/>
    </xf>
    <xf numFmtId="3" fontId="15" fillId="0" borderId="19" xfId="0" applyNumberFormat="1" applyFont="1" applyFill="1" applyBorder="1" applyAlignment="1">
      <alignment vertical="center"/>
    </xf>
    <xf numFmtId="3" fontId="15" fillId="0" borderId="48" xfId="0" applyNumberFormat="1" applyFont="1" applyFill="1" applyBorder="1" applyAlignment="1">
      <alignment vertical="center"/>
    </xf>
    <xf numFmtId="49" fontId="15" fillId="0" borderId="62" xfId="0" applyNumberFormat="1" applyFont="1" applyFill="1" applyBorder="1" applyAlignment="1">
      <alignment horizontal="center" vertical="center"/>
    </xf>
    <xf numFmtId="0" fontId="47" fillId="0" borderId="23"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0" xfId="0" applyFont="1" applyFill="1" applyBorder="1" applyAlignment="1">
      <alignment horizontal="center"/>
    </xf>
    <xf numFmtId="3" fontId="15" fillId="0" borderId="26" xfId="0" applyNumberFormat="1" applyFont="1" applyFill="1" applyBorder="1" applyAlignment="1">
      <alignment horizontal="right" vertical="center" wrapText="1"/>
    </xf>
    <xf numFmtId="3" fontId="29" fillId="0" borderId="26" xfId="1" applyNumberFormat="1" applyFont="1" applyFill="1" applyBorder="1" applyAlignment="1">
      <alignment horizontal="right" vertical="center" wrapText="1"/>
    </xf>
    <xf numFmtId="3" fontId="29" fillId="0" borderId="20" xfId="0" applyNumberFormat="1" applyFont="1" applyFill="1" applyBorder="1" applyAlignment="1">
      <alignment vertical="center" wrapText="1"/>
    </xf>
    <xf numFmtId="3" fontId="7" fillId="0" borderId="2" xfId="0" applyNumberFormat="1" applyFont="1" applyFill="1" applyBorder="1" applyAlignment="1">
      <alignment horizontal="center" vertical="center" wrapText="1"/>
    </xf>
    <xf numFmtId="3" fontId="13" fillId="0" borderId="22" xfId="0" applyNumberFormat="1" applyFont="1" applyFill="1" applyBorder="1" applyAlignment="1">
      <alignment horizontal="right" vertical="center" wrapText="1"/>
    </xf>
    <xf numFmtId="3" fontId="15" fillId="0" borderId="37" xfId="0" applyNumberFormat="1" applyFont="1" applyFill="1" applyBorder="1" applyAlignment="1">
      <alignment horizontal="right" vertical="center" wrapText="1"/>
    </xf>
    <xf numFmtId="0" fontId="15" fillId="0" borderId="18" xfId="1" applyFont="1" applyFill="1" applyBorder="1" applyAlignment="1">
      <alignment horizontal="center" vertical="center" wrapText="1"/>
    </xf>
    <xf numFmtId="3" fontId="7" fillId="5" borderId="2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15" fillId="0" borderId="73" xfId="0" applyNumberFormat="1" applyFont="1" applyFill="1" applyBorder="1" applyAlignment="1">
      <alignment horizontal="right" vertical="center" wrapText="1"/>
    </xf>
    <xf numFmtId="3" fontId="14" fillId="0" borderId="47" xfId="0" applyNumberFormat="1" applyFont="1" applyFill="1" applyBorder="1" applyAlignment="1">
      <alignment horizontal="right" vertical="center" wrapText="1"/>
    </xf>
    <xf numFmtId="3" fontId="13" fillId="0" borderId="36" xfId="0" applyNumberFormat="1" applyFont="1" applyFill="1" applyBorder="1" applyAlignment="1">
      <alignment horizontal="right" vertical="center" wrapText="1"/>
    </xf>
    <xf numFmtId="3" fontId="29" fillId="0" borderId="47" xfId="0" applyNumberFormat="1" applyFont="1" applyFill="1" applyBorder="1" applyAlignment="1">
      <alignment horizontal="right" vertical="center" wrapText="1"/>
    </xf>
    <xf numFmtId="3" fontId="15" fillId="0" borderId="36" xfId="0" applyNumberFormat="1" applyFont="1" applyFill="1" applyBorder="1" applyAlignment="1">
      <alignment horizontal="right" vertical="center" wrapText="1"/>
    </xf>
    <xf numFmtId="3" fontId="15" fillId="0" borderId="20" xfId="0" applyNumberFormat="1" applyFont="1" applyFill="1" applyBorder="1" applyAlignment="1">
      <alignment horizontal="right" vertical="center" wrapText="1"/>
    </xf>
    <xf numFmtId="3" fontId="9" fillId="0" borderId="58" xfId="0" applyNumberFormat="1" applyFont="1" applyFill="1" applyBorder="1" applyAlignment="1">
      <alignment horizontal="right" vertical="center" wrapText="1"/>
    </xf>
    <xf numFmtId="3" fontId="9" fillId="0" borderId="47" xfId="0" applyNumberFormat="1" applyFont="1" applyFill="1" applyBorder="1" applyAlignment="1">
      <alignment horizontal="right" vertical="center" wrapText="1"/>
    </xf>
    <xf numFmtId="3" fontId="14" fillId="0" borderId="58" xfId="0" applyNumberFormat="1" applyFont="1" applyFill="1" applyBorder="1" applyAlignment="1">
      <alignment horizontal="right" vertical="center" wrapText="1"/>
    </xf>
    <xf numFmtId="3" fontId="13" fillId="0" borderId="44" xfId="0" applyNumberFormat="1" applyFont="1" applyFill="1" applyBorder="1" applyAlignment="1">
      <alignment horizontal="right" vertical="center" wrapText="1"/>
    </xf>
    <xf numFmtId="3" fontId="13" fillId="0" borderId="21" xfId="0" applyNumberFormat="1" applyFont="1" applyFill="1" applyBorder="1" applyAlignment="1">
      <alignment horizontal="right" vertical="center" wrapText="1"/>
    </xf>
    <xf numFmtId="3" fontId="14" fillId="0" borderId="60" xfId="0" applyNumberFormat="1" applyFont="1" applyFill="1" applyBorder="1" applyAlignment="1">
      <alignment horizontal="right" vertical="center" wrapText="1"/>
    </xf>
    <xf numFmtId="3" fontId="13" fillId="0" borderId="54" xfId="0" applyNumberFormat="1" applyFont="1" applyFill="1" applyBorder="1" applyAlignment="1">
      <alignment horizontal="right" vertical="center" wrapText="1"/>
    </xf>
    <xf numFmtId="3" fontId="13" fillId="0" borderId="48" xfId="0" applyNumberFormat="1" applyFont="1" applyFill="1" applyBorder="1" applyAlignment="1">
      <alignment horizontal="right" vertical="center" wrapText="1"/>
    </xf>
    <xf numFmtId="3" fontId="9" fillId="0" borderId="70" xfId="0" applyNumberFormat="1" applyFont="1" applyFill="1" applyBorder="1" applyAlignment="1">
      <alignment horizontal="right" vertical="center" wrapText="1"/>
    </xf>
    <xf numFmtId="3" fontId="7" fillId="0" borderId="71" xfId="0" applyNumberFormat="1" applyFont="1" applyFill="1" applyBorder="1" applyAlignment="1">
      <alignment horizontal="right" vertical="center" wrapText="1"/>
    </xf>
    <xf numFmtId="3" fontId="29" fillId="0" borderId="58" xfId="0" applyNumberFormat="1" applyFont="1" applyFill="1" applyBorder="1" applyAlignment="1">
      <alignment horizontal="right" vertical="center" wrapText="1"/>
    </xf>
    <xf numFmtId="3" fontId="15" fillId="0" borderId="44" xfId="0" applyNumberFormat="1" applyFont="1" applyFill="1" applyBorder="1" applyAlignment="1">
      <alignment horizontal="right" vertical="center" wrapText="1"/>
    </xf>
    <xf numFmtId="3" fontId="15" fillId="0" borderId="21" xfId="0" applyNumberFormat="1" applyFont="1" applyFill="1" applyBorder="1" applyAlignment="1">
      <alignment horizontal="right" vertical="center" wrapText="1"/>
    </xf>
    <xf numFmtId="3" fontId="9" fillId="0" borderId="60" xfId="0" applyNumberFormat="1" applyFont="1" applyFill="1" applyBorder="1" applyAlignment="1">
      <alignment horizontal="right" vertical="center" wrapText="1"/>
    </xf>
    <xf numFmtId="3" fontId="7" fillId="0" borderId="48" xfId="0" applyNumberFormat="1" applyFont="1" applyFill="1" applyBorder="1" applyAlignment="1">
      <alignment horizontal="right" vertical="center" wrapText="1"/>
    </xf>
    <xf numFmtId="3" fontId="14" fillId="5" borderId="47" xfId="0" applyNumberFormat="1" applyFont="1" applyFill="1" applyBorder="1" applyAlignment="1">
      <alignment horizontal="right" vertical="center" wrapText="1"/>
    </xf>
    <xf numFmtId="3" fontId="13" fillId="5" borderId="20" xfId="0" applyNumberFormat="1" applyFont="1" applyFill="1" applyBorder="1" applyAlignment="1">
      <alignment horizontal="right" vertical="center" wrapText="1"/>
    </xf>
    <xf numFmtId="0" fontId="47" fillId="0" borderId="2"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51" fillId="0" borderId="0" xfId="0" applyFont="1" applyFill="1" applyBorder="1"/>
    <xf numFmtId="3" fontId="9" fillId="12" borderId="3" xfId="1" applyNumberFormat="1" applyFont="1" applyFill="1" applyBorder="1" applyAlignment="1">
      <alignment vertical="center" wrapText="1"/>
    </xf>
    <xf numFmtId="3" fontId="7" fillId="0" borderId="9" xfId="0" applyNumberFormat="1" applyFont="1" applyFill="1" applyBorder="1" applyAlignment="1">
      <alignment horizontal="right" vertical="center" wrapText="1"/>
    </xf>
    <xf numFmtId="49" fontId="7" fillId="0" borderId="4" xfId="0" applyNumberFormat="1" applyFont="1" applyFill="1" applyBorder="1" applyAlignment="1">
      <alignment horizontal="center" vertical="center"/>
    </xf>
    <xf numFmtId="3" fontId="9" fillId="0" borderId="63" xfId="0" applyNumberFormat="1" applyFont="1" applyFill="1" applyBorder="1" applyAlignment="1">
      <alignment horizontal="right" vertical="center" wrapText="1"/>
    </xf>
    <xf numFmtId="3" fontId="7" fillId="0" borderId="66" xfId="0" applyNumberFormat="1" applyFont="1" applyFill="1" applyBorder="1" applyAlignment="1">
      <alignment horizontal="right" vertical="center" wrapText="1"/>
    </xf>
    <xf numFmtId="3" fontId="7" fillId="0" borderId="48" xfId="3" applyNumberFormat="1" applyFont="1" applyFill="1" applyBorder="1" applyAlignment="1">
      <alignment vertical="center"/>
    </xf>
    <xf numFmtId="3" fontId="7" fillId="0" borderId="31" xfId="0" applyNumberFormat="1" applyFont="1" applyFill="1" applyBorder="1" applyAlignment="1">
      <alignment horizontal="right" vertical="center" wrapText="1"/>
    </xf>
    <xf numFmtId="49" fontId="7" fillId="0" borderId="27" xfId="0" applyNumberFormat="1" applyFont="1" applyFill="1" applyBorder="1" applyAlignment="1">
      <alignment horizontal="center" vertical="center"/>
    </xf>
    <xf numFmtId="2" fontId="8" fillId="0" borderId="2"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shrinkToFit="1"/>
    </xf>
    <xf numFmtId="49" fontId="9" fillId="0" borderId="26" xfId="0" applyNumberFormat="1" applyFont="1" applyFill="1" applyBorder="1" applyAlignment="1">
      <alignment horizontal="center" vertical="center" shrinkToFit="1"/>
    </xf>
    <xf numFmtId="3" fontId="7" fillId="23" borderId="45" xfId="0" applyNumberFormat="1" applyFont="1" applyFill="1" applyBorder="1" applyAlignment="1">
      <alignment horizontal="right" vertical="center" wrapText="1"/>
    </xf>
    <xf numFmtId="3" fontId="7" fillId="23" borderId="16" xfId="0" applyNumberFormat="1" applyFont="1" applyFill="1" applyBorder="1" applyAlignment="1">
      <alignment horizontal="right" vertical="center" wrapText="1"/>
    </xf>
    <xf numFmtId="3" fontId="7" fillId="23" borderId="6" xfId="0" applyNumberFormat="1" applyFont="1" applyFill="1" applyBorder="1" applyAlignment="1">
      <alignment horizontal="right" vertical="center" wrapText="1"/>
    </xf>
    <xf numFmtId="3" fontId="7" fillId="23" borderId="9" xfId="0" applyNumberFormat="1" applyFont="1" applyFill="1" applyBorder="1" applyAlignment="1">
      <alignment horizontal="right" vertical="center" wrapText="1"/>
    </xf>
    <xf numFmtId="3" fontId="7" fillId="23" borderId="24" xfId="0" applyNumberFormat="1" applyFont="1" applyFill="1" applyBorder="1" applyAlignment="1">
      <alignment horizontal="right" vertical="center"/>
    </xf>
    <xf numFmtId="3" fontId="7" fillId="23" borderId="32" xfId="0" applyNumberFormat="1" applyFont="1" applyFill="1" applyBorder="1" applyAlignment="1">
      <alignment horizontal="right" vertical="center"/>
    </xf>
    <xf numFmtId="0" fontId="7" fillId="0" borderId="15"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49" fontId="7" fillId="0" borderId="23" xfId="1" applyNumberFormat="1" applyFont="1" applyFill="1" applyBorder="1" applyAlignment="1">
      <alignment horizontal="center" vertical="center" wrapText="1"/>
    </xf>
    <xf numFmtId="3" fontId="9" fillId="0" borderId="22" xfId="1" applyNumberFormat="1" applyFont="1" applyFill="1" applyBorder="1" applyAlignment="1">
      <alignment vertical="center" wrapText="1"/>
    </xf>
    <xf numFmtId="3" fontId="7" fillId="0" borderId="22" xfId="0" applyNumberFormat="1" applyFont="1" applyFill="1" applyBorder="1" applyAlignment="1">
      <alignment vertical="center" wrapText="1"/>
    </xf>
    <xf numFmtId="0" fontId="7" fillId="0" borderId="22" xfId="0" applyFont="1" applyFill="1" applyBorder="1" applyAlignment="1">
      <alignment horizontal="center" vertical="center" wrapText="1"/>
    </xf>
    <xf numFmtId="3" fontId="7" fillId="0" borderId="0" xfId="0" applyNumberFormat="1" applyFont="1" applyFill="1" applyBorder="1" applyAlignment="1">
      <alignment vertical="center" wrapText="1"/>
    </xf>
    <xf numFmtId="3" fontId="7" fillId="0" borderId="26" xfId="0" applyNumberFormat="1" applyFont="1" applyFill="1" applyBorder="1" applyAlignment="1">
      <alignment vertical="center" wrapText="1"/>
    </xf>
    <xf numFmtId="3" fontId="9" fillId="0" borderId="2" xfId="1" applyNumberFormat="1" applyFont="1" applyFill="1" applyBorder="1" applyAlignment="1">
      <alignment vertical="center" wrapText="1"/>
    </xf>
    <xf numFmtId="0" fontId="7" fillId="0" borderId="32" xfId="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2" xfId="1" applyFont="1" applyFill="1" applyBorder="1" applyAlignment="1">
      <alignment horizontal="center" vertical="center" wrapText="1"/>
    </xf>
    <xf numFmtId="49" fontId="9" fillId="0" borderId="22" xfId="0" applyNumberFormat="1" applyFont="1" applyFill="1" applyBorder="1" applyAlignment="1">
      <alignment horizontal="center" vertical="center" wrapText="1" shrinkToFit="1"/>
    </xf>
    <xf numFmtId="3" fontId="7" fillId="0" borderId="8" xfId="0" applyNumberFormat="1" applyFont="1" applyFill="1" applyBorder="1" applyAlignment="1">
      <alignment vertical="center" wrapText="1"/>
    </xf>
    <xf numFmtId="0" fontId="8" fillId="0" borderId="31" xfId="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6" xfId="0" applyFont="1" applyFill="1" applyBorder="1" applyAlignment="1">
      <alignment horizontal="center" vertical="center" wrapText="1"/>
    </xf>
    <xf numFmtId="3" fontId="7" fillId="0" borderId="16" xfId="0" applyNumberFormat="1" applyFont="1" applyFill="1" applyBorder="1" applyAlignment="1">
      <alignment horizontal="right" vertical="center" wrapText="1"/>
    </xf>
    <xf numFmtId="49" fontId="7" fillId="0" borderId="25" xfId="0" applyNumberFormat="1" applyFont="1" applyFill="1" applyBorder="1" applyAlignment="1">
      <alignment horizontal="center" vertical="center" wrapText="1"/>
    </xf>
    <xf numFmtId="3" fontId="7" fillId="0" borderId="32" xfId="0" applyNumberFormat="1" applyFont="1" applyFill="1" applyBorder="1" applyAlignment="1">
      <alignment horizontal="center" vertical="center" wrapText="1"/>
    </xf>
    <xf numFmtId="3" fontId="7" fillId="0" borderId="66" xfId="0" applyNumberFormat="1" applyFont="1" applyFill="1" applyBorder="1" applyAlignment="1">
      <alignment vertical="center" wrapText="1"/>
    </xf>
    <xf numFmtId="0" fontId="7" fillId="0" borderId="16" xfId="1" applyFont="1" applyFill="1" applyBorder="1" applyAlignment="1">
      <alignment horizontal="center" vertical="center" wrapText="1"/>
    </xf>
    <xf numFmtId="3" fontId="9" fillId="0" borderId="20" xfId="0" applyNumberFormat="1" applyFont="1" applyFill="1" applyBorder="1" applyAlignment="1">
      <alignment vertical="center" wrapText="1"/>
    </xf>
    <xf numFmtId="3" fontId="7" fillId="0" borderId="11" xfId="0" applyNumberFormat="1" applyFont="1" applyFill="1" applyBorder="1" applyAlignment="1">
      <alignment horizontal="center" vertical="center" wrapText="1"/>
    </xf>
    <xf numFmtId="3" fontId="13" fillId="23" borderId="45" xfId="0" applyNumberFormat="1" applyFont="1" applyFill="1" applyBorder="1" applyAlignment="1">
      <alignment horizontal="right" vertical="center" wrapText="1"/>
    </xf>
    <xf numFmtId="3" fontId="7" fillId="0" borderId="40" xfId="0" applyNumberFormat="1" applyFont="1" applyFill="1" applyBorder="1" applyAlignment="1">
      <alignment horizontal="right" vertical="center" wrapText="1"/>
    </xf>
    <xf numFmtId="3" fontId="13" fillId="23" borderId="24" xfId="0" applyNumberFormat="1" applyFont="1" applyFill="1" applyBorder="1" applyAlignment="1">
      <alignment horizontal="right" vertical="center" wrapText="1"/>
    </xf>
    <xf numFmtId="3" fontId="7" fillId="0" borderId="65" xfId="0" applyNumberFormat="1" applyFont="1" applyFill="1" applyBorder="1" applyAlignment="1">
      <alignment horizontal="right" vertical="center" wrapText="1"/>
    </xf>
    <xf numFmtId="3" fontId="7" fillId="0" borderId="49" xfId="0" applyNumberFormat="1" applyFont="1" applyFill="1" applyBorder="1" applyAlignment="1">
      <alignment horizontal="right" vertical="center" wrapText="1"/>
    </xf>
    <xf numFmtId="3" fontId="7" fillId="0" borderId="60"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7" fillId="0" borderId="32" xfId="1" applyNumberFormat="1" applyFont="1" applyFill="1" applyBorder="1" applyAlignment="1">
      <alignment horizontal="right" vertical="center" wrapText="1"/>
    </xf>
    <xf numFmtId="3" fontId="7" fillId="0" borderId="31" xfId="1" applyNumberFormat="1" applyFont="1" applyFill="1" applyBorder="1" applyAlignment="1">
      <alignment horizontal="right" vertical="center" wrapText="1"/>
    </xf>
    <xf numFmtId="3" fontId="7" fillId="0" borderId="26" xfId="1" applyNumberFormat="1" applyFont="1" applyFill="1" applyBorder="1" applyAlignment="1">
      <alignment horizontal="right" vertical="center" wrapText="1"/>
    </xf>
    <xf numFmtId="3" fontId="13" fillId="0" borderId="58" xfId="0" applyNumberFormat="1" applyFont="1" applyFill="1" applyBorder="1" applyAlignment="1">
      <alignment horizontal="right" vertical="center" wrapText="1"/>
    </xf>
    <xf numFmtId="3" fontId="7" fillId="0" borderId="37" xfId="1"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3" fontId="7" fillId="0" borderId="46" xfId="0" applyNumberFormat="1" applyFont="1" applyFill="1" applyBorder="1" applyAlignment="1">
      <alignment horizontal="right" vertical="center" wrapText="1"/>
    </xf>
    <xf numFmtId="3" fontId="7" fillId="0" borderId="8" xfId="0" applyNumberFormat="1" applyFont="1" applyFill="1" applyBorder="1" applyAlignment="1">
      <alignment horizontal="right" vertical="center" wrapText="1"/>
    </xf>
    <xf numFmtId="3" fontId="7" fillId="0" borderId="13" xfId="1" applyNumberFormat="1" applyFont="1" applyFill="1" applyBorder="1" applyAlignment="1">
      <alignment horizontal="center" vertical="center" wrapText="1"/>
    </xf>
    <xf numFmtId="3" fontId="7" fillId="0" borderId="14" xfId="1" applyNumberFormat="1" applyFont="1" applyFill="1" applyBorder="1" applyAlignment="1">
      <alignment horizontal="center" vertical="center" wrapText="1"/>
    </xf>
    <xf numFmtId="169" fontId="7" fillId="0" borderId="14" xfId="0" applyNumberFormat="1" applyFont="1" applyFill="1" applyBorder="1" applyAlignment="1">
      <alignment horizontal="center" vertical="center" wrapText="1"/>
    </xf>
    <xf numFmtId="171" fontId="8" fillId="0" borderId="0" xfId="0" applyNumberFormat="1" applyFont="1" applyAlignment="1">
      <alignment horizontal="right" vertical="center" wrapText="1"/>
    </xf>
    <xf numFmtId="0" fontId="61" fillId="5" borderId="0" xfId="0" applyFont="1" applyFill="1"/>
    <xf numFmtId="3" fontId="7" fillId="0" borderId="14" xfId="0" applyNumberFormat="1" applyFont="1" applyFill="1" applyBorder="1" applyAlignment="1">
      <alignment horizontal="right" vertical="center"/>
    </xf>
    <xf numFmtId="3" fontId="7" fillId="0" borderId="14" xfId="0" applyNumberFormat="1" applyFont="1" applyFill="1" applyBorder="1" applyAlignment="1">
      <alignment vertical="center"/>
    </xf>
    <xf numFmtId="49" fontId="9" fillId="0" borderId="14"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shrinkToFit="1"/>
    </xf>
    <xf numFmtId="0" fontId="7" fillId="0" borderId="14" xfId="0" applyFont="1" applyFill="1" applyBorder="1" applyAlignment="1">
      <alignment horizontal="center" vertical="center"/>
    </xf>
    <xf numFmtId="0" fontId="47" fillId="0" borderId="13" xfId="0" applyFont="1" applyFill="1" applyBorder="1" applyAlignment="1">
      <alignment horizontal="center" vertical="center" wrapText="1"/>
    </xf>
    <xf numFmtId="3" fontId="7" fillId="0" borderId="70" xfId="0" applyNumberFormat="1" applyFont="1" applyFill="1" applyBorder="1" applyAlignment="1">
      <alignment vertical="center"/>
    </xf>
    <xf numFmtId="3" fontId="7" fillId="23" borderId="16" xfId="0" applyNumberFormat="1" applyFont="1" applyFill="1" applyBorder="1" applyAlignment="1">
      <alignment horizontal="right" vertical="center"/>
    </xf>
    <xf numFmtId="49" fontId="9" fillId="0" borderId="16" xfId="0" applyNumberFormat="1" applyFont="1" applyFill="1" applyBorder="1" applyAlignment="1">
      <alignment horizontal="center" vertical="center" wrapText="1" shrinkToFit="1"/>
    </xf>
    <xf numFmtId="3" fontId="9" fillId="0" borderId="48" xfId="0" applyNumberFormat="1" applyFont="1" applyFill="1" applyBorder="1" applyAlignment="1">
      <alignment vertical="center" wrapText="1"/>
    </xf>
    <xf numFmtId="3" fontId="7" fillId="0" borderId="33" xfId="0" applyNumberFormat="1" applyFont="1" applyFill="1" applyBorder="1" applyAlignment="1">
      <alignment horizontal="center" vertical="center" wrapText="1"/>
    </xf>
    <xf numFmtId="3" fontId="13" fillId="0" borderId="47" xfId="0" applyNumberFormat="1" applyFont="1" applyFill="1" applyBorder="1" applyAlignment="1">
      <alignment horizontal="right" vertical="center" wrapText="1"/>
    </xf>
    <xf numFmtId="169" fontId="9" fillId="0" borderId="18" xfId="0" applyNumberFormat="1" applyFont="1" applyFill="1" applyBorder="1" applyAlignment="1">
      <alignment horizontal="center" vertical="center" wrapText="1" shrinkToFit="1"/>
    </xf>
    <xf numFmtId="3" fontId="7" fillId="0" borderId="55" xfId="0" applyNumberFormat="1" applyFont="1" applyFill="1" applyBorder="1" applyAlignment="1">
      <alignment horizontal="right" vertical="center" wrapText="1"/>
    </xf>
    <xf numFmtId="3" fontId="7" fillId="0" borderId="56" xfId="0" applyNumberFormat="1" applyFont="1" applyFill="1" applyBorder="1" applyAlignment="1">
      <alignment horizontal="right" vertical="center" wrapText="1"/>
    </xf>
    <xf numFmtId="0" fontId="13" fillId="0" borderId="25"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166" fontId="7" fillId="0" borderId="0" xfId="0" applyNumberFormat="1" applyFont="1" applyFill="1" applyAlignment="1">
      <alignment vertical="center"/>
    </xf>
    <xf numFmtId="165" fontId="8" fillId="0" borderId="0" xfId="0" applyNumberFormat="1" applyFont="1" applyFill="1" applyAlignment="1">
      <alignment horizontal="center" vertical="center" wrapText="1"/>
    </xf>
    <xf numFmtId="3" fontId="7" fillId="0" borderId="63" xfId="0" applyNumberFormat="1" applyFont="1" applyFill="1" applyBorder="1" applyAlignment="1">
      <alignment horizontal="right" vertical="center" wrapText="1"/>
    </xf>
    <xf numFmtId="49" fontId="7" fillId="0" borderId="8"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3" fontId="9" fillId="0" borderId="31" xfId="1" applyNumberFormat="1" applyFont="1" applyFill="1" applyBorder="1" applyAlignment="1">
      <alignment vertical="center" wrapText="1"/>
    </xf>
    <xf numFmtId="3" fontId="7" fillId="0" borderId="27" xfId="0" applyNumberFormat="1"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1" applyFont="1" applyFill="1" applyBorder="1" applyAlignment="1">
      <alignment horizontal="center" vertical="center" wrapText="1"/>
    </xf>
    <xf numFmtId="49" fontId="9" fillId="0" borderId="2" xfId="0" applyNumberFormat="1" applyFont="1" applyFill="1" applyBorder="1" applyAlignment="1">
      <alignment horizontal="center" vertical="center" wrapText="1" shrinkToFit="1"/>
    </xf>
    <xf numFmtId="0" fontId="7" fillId="0" borderId="13" xfId="0" applyFont="1" applyFill="1" applyBorder="1" applyAlignment="1">
      <alignment horizontal="center" vertical="center" wrapText="1"/>
    </xf>
    <xf numFmtId="3" fontId="9" fillId="0" borderId="25" xfId="1" applyNumberFormat="1" applyFont="1" applyFill="1" applyBorder="1" applyAlignment="1">
      <alignment vertical="center" wrapText="1"/>
    </xf>
    <xf numFmtId="3" fontId="7" fillId="0" borderId="64" xfId="0" applyNumberFormat="1" applyFont="1" applyFill="1" applyBorder="1" applyAlignment="1">
      <alignment vertical="center" wrapText="1"/>
    </xf>
    <xf numFmtId="3" fontId="9" fillId="12" borderId="6" xfId="1" applyNumberFormat="1" applyFont="1" applyFill="1" applyBorder="1" applyAlignment="1">
      <alignment vertical="center" wrapText="1"/>
    </xf>
    <xf numFmtId="3" fontId="9" fillId="12" borderId="12" xfId="1" applyNumberFormat="1" applyFont="1" applyFill="1" applyBorder="1" applyAlignment="1">
      <alignment vertical="center" wrapText="1"/>
    </xf>
    <xf numFmtId="3" fontId="7" fillId="0" borderId="27"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3" fontId="7" fillId="0" borderId="45" xfId="0" applyNumberFormat="1" applyFont="1" applyFill="1" applyBorder="1" applyAlignment="1">
      <alignment horizontal="center" vertical="center" wrapText="1"/>
    </xf>
    <xf numFmtId="3" fontId="7" fillId="0" borderId="64" xfId="0" applyNumberFormat="1" applyFont="1" applyFill="1" applyBorder="1" applyAlignment="1">
      <alignment horizontal="right" vertical="center" wrapText="1"/>
    </xf>
    <xf numFmtId="3" fontId="7" fillId="0" borderId="37" xfId="0" applyNumberFormat="1" applyFont="1" applyFill="1" applyBorder="1" applyAlignment="1">
      <alignment vertical="center" wrapText="1"/>
    </xf>
    <xf numFmtId="0" fontId="7" fillId="0" borderId="14" xfId="0" applyFont="1" applyFill="1" applyBorder="1" applyAlignment="1">
      <alignment horizontal="center" vertical="center" wrapText="1"/>
    </xf>
    <xf numFmtId="0" fontId="7" fillId="0" borderId="24" xfId="0"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3" fontId="7" fillId="23" borderId="24" xfId="0" applyNumberFormat="1" applyFont="1" applyFill="1" applyBorder="1" applyAlignment="1">
      <alignment horizontal="right" vertical="center" wrapText="1"/>
    </xf>
    <xf numFmtId="3" fontId="7" fillId="23" borderId="32" xfId="0" applyNumberFormat="1" applyFont="1" applyFill="1" applyBorder="1" applyAlignment="1">
      <alignment horizontal="right" vertical="center" wrapText="1"/>
    </xf>
    <xf numFmtId="3" fontId="7" fillId="0" borderId="22" xfId="0" applyNumberFormat="1" applyFont="1" applyFill="1" applyBorder="1" applyAlignment="1">
      <alignment horizontal="right" vertical="center"/>
    </xf>
    <xf numFmtId="3" fontId="7" fillId="0" borderId="65" xfId="0" applyNumberFormat="1" applyFont="1" applyFill="1" applyBorder="1" applyAlignment="1">
      <alignment horizontal="right" vertical="center"/>
    </xf>
    <xf numFmtId="3" fontId="7" fillId="0" borderId="66" xfId="0" applyNumberFormat="1" applyFont="1" applyFill="1" applyBorder="1" applyAlignment="1">
      <alignment horizontal="right" vertical="center"/>
    </xf>
    <xf numFmtId="49" fontId="7" fillId="12" borderId="12" xfId="0" applyNumberFormat="1" applyFont="1" applyFill="1" applyBorder="1" applyAlignment="1">
      <alignment horizontal="center" vertical="center" wrapText="1"/>
    </xf>
    <xf numFmtId="3" fontId="7" fillId="12" borderId="18" xfId="1" applyNumberFormat="1" applyFont="1" applyFill="1" applyBorder="1" applyAlignment="1">
      <alignment horizontal="center" vertical="center" wrapText="1"/>
    </xf>
    <xf numFmtId="3" fontId="7" fillId="12" borderId="12" xfId="1" applyNumberFormat="1" applyFont="1" applyFill="1" applyBorder="1" applyAlignment="1">
      <alignment horizontal="center" vertical="center" wrapText="1"/>
    </xf>
    <xf numFmtId="3" fontId="7" fillId="12" borderId="30" xfId="1" applyNumberFormat="1" applyFont="1" applyFill="1" applyBorder="1" applyAlignment="1">
      <alignment horizontal="center" vertical="center" wrapText="1"/>
    </xf>
    <xf numFmtId="49" fontId="7" fillId="12" borderId="12" xfId="1" applyNumberFormat="1" applyFont="1" applyFill="1" applyBorder="1" applyAlignment="1">
      <alignment horizontal="center" vertical="center" wrapText="1"/>
    </xf>
    <xf numFmtId="4" fontId="7" fillId="12" borderId="12" xfId="1" applyNumberFormat="1" applyFont="1" applyFill="1" applyBorder="1" applyAlignment="1">
      <alignment horizontal="center" vertical="center" wrapText="1"/>
    </xf>
    <xf numFmtId="0" fontId="51" fillId="0" borderId="23" xfId="0" applyFont="1" applyFill="1" applyBorder="1" applyAlignment="1">
      <alignment horizontal="center" vertical="center" wrapText="1"/>
    </xf>
    <xf numFmtId="3" fontId="13" fillId="0" borderId="31" xfId="0" applyNumberFormat="1" applyFont="1" applyFill="1" applyBorder="1" applyAlignment="1">
      <alignment horizontal="right" vertical="center" wrapText="1"/>
    </xf>
    <xf numFmtId="3" fontId="15" fillId="0" borderId="47" xfId="0" applyNumberFormat="1" applyFont="1" applyFill="1" applyBorder="1" applyAlignment="1">
      <alignment horizontal="right" vertical="center" wrapText="1"/>
    </xf>
    <xf numFmtId="3" fontId="15" fillId="23" borderId="24" xfId="0" applyNumberFormat="1" applyFont="1" applyFill="1" applyBorder="1" applyAlignment="1">
      <alignment horizontal="right" vertical="center" wrapText="1"/>
    </xf>
    <xf numFmtId="3" fontId="15" fillId="0" borderId="31" xfId="0" applyNumberFormat="1" applyFont="1" applyFill="1" applyBorder="1" applyAlignment="1">
      <alignment horizontal="right" vertical="center" wrapText="1"/>
    </xf>
    <xf numFmtId="3" fontId="7" fillId="5" borderId="26" xfId="0" applyNumberFormat="1" applyFont="1" applyFill="1" applyBorder="1" applyAlignment="1">
      <alignment horizontal="center" vertical="center" wrapText="1"/>
    </xf>
    <xf numFmtId="3" fontId="13" fillId="5" borderId="37" xfId="0" applyNumberFormat="1" applyFont="1" applyFill="1" applyBorder="1" applyAlignment="1">
      <alignment horizontal="right" vertical="center" wrapText="1"/>
    </xf>
    <xf numFmtId="3" fontId="7" fillId="5" borderId="18" xfId="0" applyNumberFormat="1" applyFont="1" applyFill="1" applyBorder="1" applyAlignment="1">
      <alignment horizontal="center" vertical="center" wrapText="1"/>
    </xf>
    <xf numFmtId="3" fontId="7" fillId="0" borderId="22" xfId="1" applyNumberFormat="1" applyFont="1" applyFill="1" applyBorder="1" applyAlignment="1">
      <alignment horizontal="center" vertical="center" wrapText="1"/>
    </xf>
    <xf numFmtId="3" fontId="9" fillId="23" borderId="13" xfId="0" applyNumberFormat="1" applyFont="1" applyFill="1" applyBorder="1" applyAlignment="1">
      <alignment horizontal="right" vertical="center" wrapText="1"/>
    </xf>
    <xf numFmtId="3" fontId="14" fillId="23" borderId="13" xfId="0" applyNumberFormat="1" applyFont="1" applyFill="1" applyBorder="1" applyAlignment="1">
      <alignment horizontal="right" vertical="center" wrapText="1"/>
    </xf>
    <xf numFmtId="3" fontId="9" fillId="23" borderId="18" xfId="0" applyNumberFormat="1" applyFont="1" applyFill="1" applyBorder="1" applyAlignment="1">
      <alignment horizontal="right" vertical="center" wrapText="1"/>
    </xf>
    <xf numFmtId="3" fontId="9" fillId="23" borderId="2" xfId="0" applyNumberFormat="1" applyFont="1" applyFill="1" applyBorder="1" applyAlignment="1">
      <alignment horizontal="right" vertical="center" wrapText="1"/>
    </xf>
    <xf numFmtId="3" fontId="14" fillId="23" borderId="26" xfId="0" applyNumberFormat="1" applyFont="1" applyFill="1" applyBorder="1" applyAlignment="1">
      <alignment horizontal="right" vertical="center" wrapText="1"/>
    </xf>
    <xf numFmtId="3" fontId="29" fillId="23" borderId="26" xfId="0" applyNumberFormat="1" applyFont="1" applyFill="1" applyBorder="1" applyAlignment="1">
      <alignment horizontal="right" vertical="center" wrapText="1"/>
    </xf>
    <xf numFmtId="3" fontId="14" fillId="23" borderId="23" xfId="0" applyNumberFormat="1" applyFont="1" applyFill="1" applyBorder="1" applyAlignment="1">
      <alignment horizontal="right" vertical="center" wrapText="1"/>
    </xf>
    <xf numFmtId="3" fontId="9" fillId="23" borderId="23" xfId="0" applyNumberFormat="1" applyFont="1" applyFill="1" applyBorder="1" applyAlignment="1">
      <alignment horizontal="right" vertical="center"/>
    </xf>
    <xf numFmtId="3" fontId="9" fillId="23" borderId="26" xfId="0" applyNumberFormat="1" applyFont="1" applyFill="1" applyBorder="1" applyAlignment="1">
      <alignment horizontal="right" vertical="center"/>
    </xf>
    <xf numFmtId="3" fontId="9" fillId="23" borderId="13" xfId="0" applyNumberFormat="1" applyFont="1" applyFill="1" applyBorder="1" applyAlignment="1">
      <alignment horizontal="right" vertical="center"/>
    </xf>
    <xf numFmtId="3" fontId="10" fillId="0" borderId="0" xfId="0" applyNumberFormat="1" applyFont="1" applyAlignment="1">
      <alignment horizontal="center" vertical="center" wrapText="1"/>
    </xf>
    <xf numFmtId="3" fontId="13" fillId="0" borderId="20" xfId="0" applyNumberFormat="1" applyFont="1" applyFill="1" applyBorder="1" applyAlignment="1">
      <alignment horizontal="right" vertical="center"/>
    </xf>
    <xf numFmtId="3" fontId="7" fillId="0" borderId="48" xfId="0" applyNumberFormat="1" applyFont="1" applyFill="1" applyBorder="1" applyAlignment="1">
      <alignment horizontal="right" vertical="center"/>
    </xf>
    <xf numFmtId="3" fontId="7" fillId="5" borderId="6" xfId="0" applyNumberFormat="1" applyFont="1" applyFill="1" applyBorder="1" applyAlignment="1">
      <alignment vertical="center" wrapText="1"/>
    </xf>
    <xf numFmtId="3" fontId="7" fillId="0" borderId="28" xfId="0" applyNumberFormat="1" applyFont="1" applyFill="1" applyBorder="1" applyAlignment="1">
      <alignment horizontal="right" vertical="center"/>
    </xf>
    <xf numFmtId="3" fontId="9" fillId="23" borderId="16" xfId="0" applyNumberFormat="1" applyFont="1" applyFill="1" applyBorder="1" applyAlignment="1">
      <alignment horizontal="center" vertical="center" wrapText="1"/>
    </xf>
    <xf numFmtId="3" fontId="9" fillId="8" borderId="16" xfId="0" applyNumberFormat="1" applyFont="1" applyFill="1" applyBorder="1" applyAlignment="1">
      <alignment horizontal="center" vertical="center" wrapText="1"/>
    </xf>
    <xf numFmtId="3" fontId="9" fillId="23" borderId="18" xfId="0" applyNumberFormat="1" applyFont="1" applyFill="1" applyBorder="1" applyAlignment="1">
      <alignment horizontal="center" vertical="center" wrapText="1"/>
    </xf>
    <xf numFmtId="0" fontId="7" fillId="0" borderId="25" xfId="0" applyFont="1" applyFill="1" applyBorder="1" applyAlignment="1">
      <alignment horizontal="center" vertical="center"/>
    </xf>
    <xf numFmtId="49" fontId="9" fillId="0" borderId="2" xfId="0" applyNumberFormat="1" applyFont="1" applyFill="1" applyBorder="1" applyAlignment="1">
      <alignment horizontal="center" vertical="center" shrinkToFit="1"/>
    </xf>
    <xf numFmtId="0" fontId="8" fillId="0" borderId="8" xfId="1" applyFont="1" applyFill="1" applyBorder="1" applyAlignment="1">
      <alignment horizontal="center" vertical="center" wrapText="1"/>
    </xf>
    <xf numFmtId="3" fontId="7" fillId="0" borderId="11" xfId="0" applyNumberFormat="1" applyFont="1" applyFill="1" applyBorder="1" applyAlignment="1">
      <alignment horizontal="right" vertical="center" wrapText="1"/>
    </xf>
    <xf numFmtId="3" fontId="13" fillId="0" borderId="60" xfId="0" applyNumberFormat="1" applyFont="1" applyFill="1" applyBorder="1" applyAlignment="1">
      <alignment horizontal="right" vertical="center" wrapText="1"/>
    </xf>
    <xf numFmtId="3" fontId="13" fillId="0" borderId="15" xfId="0" applyNumberFormat="1" applyFont="1" applyFill="1" applyBorder="1" applyAlignment="1">
      <alignment horizontal="right" vertical="center" wrapText="1"/>
    </xf>
    <xf numFmtId="0" fontId="47" fillId="0" borderId="31" xfId="0" applyFont="1" applyFill="1" applyBorder="1" applyAlignment="1">
      <alignment horizontal="center" vertical="center" wrapText="1"/>
    </xf>
    <xf numFmtId="3" fontId="7" fillId="0" borderId="16" xfId="1" applyNumberFormat="1" applyFont="1" applyFill="1" applyBorder="1" applyAlignment="1">
      <alignment horizontal="center" vertical="center" wrapText="1"/>
    </xf>
    <xf numFmtId="3" fontId="13" fillId="5" borderId="13" xfId="0" applyNumberFormat="1" applyFont="1" applyFill="1" applyBorder="1" applyAlignment="1">
      <alignment horizontal="right" vertical="center" wrapText="1"/>
    </xf>
    <xf numFmtId="3" fontId="13" fillId="5" borderId="45" xfId="0" applyNumberFormat="1" applyFont="1" applyFill="1" applyBorder="1" applyAlignment="1">
      <alignment horizontal="right" vertical="center" wrapText="1"/>
    </xf>
    <xf numFmtId="3" fontId="14" fillId="5" borderId="15" xfId="1" applyNumberFormat="1" applyFont="1" applyFill="1" applyBorder="1" applyAlignment="1">
      <alignment vertical="center" wrapText="1"/>
    </xf>
    <xf numFmtId="3" fontId="14" fillId="5" borderId="13" xfId="1" applyNumberFormat="1" applyFont="1" applyFill="1" applyBorder="1" applyAlignment="1">
      <alignment horizontal="right" vertical="center" wrapText="1"/>
    </xf>
    <xf numFmtId="3" fontId="13" fillId="23" borderId="9" xfId="0" applyNumberFormat="1" applyFont="1" applyFill="1" applyBorder="1" applyAlignment="1">
      <alignment horizontal="right" vertical="center" wrapText="1"/>
    </xf>
    <xf numFmtId="3" fontId="7" fillId="0" borderId="18" xfId="1" applyNumberFormat="1" applyFont="1" applyFill="1" applyBorder="1" applyAlignment="1">
      <alignment horizontal="right" vertical="center" wrapText="1"/>
    </xf>
    <xf numFmtId="3" fontId="7" fillId="0" borderId="5" xfId="0" applyNumberFormat="1" applyFont="1" applyFill="1" applyBorder="1" applyAlignment="1">
      <alignment horizontal="right" vertical="center" wrapText="1"/>
    </xf>
    <xf numFmtId="166" fontId="9" fillId="0" borderId="0" xfId="0" applyNumberFormat="1" applyFont="1" applyAlignment="1">
      <alignment horizontal="center" vertical="center"/>
    </xf>
    <xf numFmtId="0" fontId="10" fillId="0" borderId="0" xfId="0" applyFont="1" applyAlignment="1">
      <alignment horizontal="center" vertical="center" wrapText="1"/>
    </xf>
    <xf numFmtId="3" fontId="7" fillId="23" borderId="2" xfId="0" applyNumberFormat="1" applyFont="1" applyFill="1" applyBorder="1" applyAlignment="1">
      <alignment horizontal="right" vertical="center" wrapText="1"/>
    </xf>
    <xf numFmtId="49" fontId="9" fillId="0" borderId="18" xfId="0" applyNumberFormat="1" applyFont="1" applyFill="1" applyBorder="1" applyAlignment="1">
      <alignment horizontal="center" vertical="center"/>
    </xf>
    <xf numFmtId="3" fontId="7" fillId="23" borderId="18" xfId="0" applyNumberFormat="1" applyFont="1" applyFill="1" applyBorder="1" applyAlignment="1">
      <alignment horizontal="right" vertical="center" wrapText="1"/>
    </xf>
    <xf numFmtId="49" fontId="14" fillId="5" borderId="25" xfId="0" applyNumberFormat="1" applyFont="1" applyFill="1" applyBorder="1" applyAlignment="1">
      <alignment horizontal="center" vertical="center" wrapText="1"/>
    </xf>
    <xf numFmtId="3" fontId="14" fillId="5" borderId="26" xfId="0" applyNumberFormat="1" applyFont="1" applyFill="1" applyBorder="1" applyAlignment="1">
      <alignment horizontal="right" vertical="center" wrapText="1"/>
    </xf>
    <xf numFmtId="3" fontId="13" fillId="5" borderId="26" xfId="0" applyNumberFormat="1" applyFont="1" applyFill="1" applyBorder="1" applyAlignment="1">
      <alignment horizontal="center" vertical="center" wrapText="1"/>
    </xf>
    <xf numFmtId="3" fontId="14" fillId="5" borderId="13" xfId="0" applyNumberFormat="1" applyFont="1" applyFill="1" applyBorder="1" applyAlignment="1">
      <alignment horizontal="right" vertical="center" wrapText="1"/>
    </xf>
    <xf numFmtId="0" fontId="13" fillId="5" borderId="13" xfId="0" applyFont="1" applyFill="1" applyBorder="1" applyAlignment="1">
      <alignment horizontal="center" vertical="center" wrapText="1"/>
    </xf>
    <xf numFmtId="49" fontId="7" fillId="0" borderId="37" xfId="0" applyNumberFormat="1" applyFont="1" applyFill="1" applyBorder="1" applyAlignment="1">
      <alignment horizontal="center" vertical="center"/>
    </xf>
    <xf numFmtId="0" fontId="7" fillId="0" borderId="36" xfId="1" applyFont="1" applyFill="1" applyBorder="1" applyAlignment="1">
      <alignment horizontal="center" vertical="center" wrapText="1"/>
    </xf>
    <xf numFmtId="0" fontId="43" fillId="0" borderId="13" xfId="0" applyFont="1" applyFill="1" applyBorder="1" applyAlignment="1">
      <alignment horizontal="center" vertical="center" wrapText="1"/>
    </xf>
    <xf numFmtId="1" fontId="7" fillId="12" borderId="3" xfId="1" applyNumberFormat="1" applyFont="1" applyFill="1" applyBorder="1" applyAlignment="1">
      <alignment horizontal="center" vertical="center" wrapText="1"/>
    </xf>
    <xf numFmtId="0" fontId="7" fillId="12" borderId="3" xfId="1" applyFont="1" applyFill="1" applyBorder="1" applyAlignment="1">
      <alignment horizontal="center" vertical="center" wrapText="1"/>
    </xf>
    <xf numFmtId="0" fontId="10" fillId="12" borderId="11" xfId="1" applyFont="1" applyFill="1" applyBorder="1" applyAlignment="1">
      <alignment horizontal="left" vertical="center" wrapText="1"/>
    </xf>
    <xf numFmtId="3" fontId="13" fillId="23" borderId="32" xfId="0" applyNumberFormat="1" applyFont="1" applyFill="1" applyBorder="1" applyAlignment="1">
      <alignment horizontal="right" vertical="center" wrapText="1"/>
    </xf>
    <xf numFmtId="49" fontId="7" fillId="12" borderId="10" xfId="0" applyNumberFormat="1" applyFont="1" applyFill="1" applyBorder="1" applyAlignment="1">
      <alignment horizontal="center" vertical="center" wrapText="1"/>
    </xf>
    <xf numFmtId="0" fontId="7" fillId="12" borderId="10" xfId="0" applyFont="1" applyFill="1" applyBorder="1" applyAlignment="1">
      <alignment horizontal="center" vertical="center" wrapText="1"/>
    </xf>
    <xf numFmtId="49" fontId="7" fillId="12" borderId="3" xfId="0" applyNumberFormat="1" applyFont="1" applyFill="1" applyBorder="1" applyAlignment="1">
      <alignment horizontal="center" vertical="center" wrapText="1"/>
    </xf>
    <xf numFmtId="3" fontId="9" fillId="8" borderId="14" xfId="0" applyNumberFormat="1" applyFont="1" applyFill="1" applyBorder="1" applyAlignment="1">
      <alignment horizontal="center" vertical="center" wrapText="1"/>
    </xf>
    <xf numFmtId="3" fontId="9" fillId="8" borderId="14" xfId="0" applyNumberFormat="1" applyFont="1" applyFill="1" applyBorder="1" applyAlignment="1">
      <alignment horizontal="right" vertical="center" wrapText="1"/>
    </xf>
    <xf numFmtId="3" fontId="14" fillId="8" borderId="13" xfId="0" applyNumberFormat="1" applyFont="1" applyFill="1" applyBorder="1" applyAlignment="1">
      <alignment horizontal="right" vertical="center" wrapText="1"/>
    </xf>
    <xf numFmtId="3" fontId="9" fillId="8" borderId="13" xfId="0" applyNumberFormat="1" applyFont="1" applyFill="1" applyBorder="1" applyAlignment="1">
      <alignment horizontal="right" vertical="center" wrapText="1"/>
    </xf>
    <xf numFmtId="3" fontId="9" fillId="8" borderId="18" xfId="0" applyNumberFormat="1" applyFont="1" applyFill="1" applyBorder="1" applyAlignment="1">
      <alignment horizontal="right" vertical="center" wrapText="1"/>
    </xf>
    <xf numFmtId="3" fontId="29" fillId="8" borderId="23" xfId="0" applyNumberFormat="1" applyFont="1" applyFill="1" applyBorder="1" applyAlignment="1">
      <alignment horizontal="right" vertical="center" wrapText="1"/>
    </xf>
    <xf numFmtId="3" fontId="9" fillId="8" borderId="26" xfId="0" applyNumberFormat="1" applyFont="1" applyFill="1" applyBorder="1" applyAlignment="1">
      <alignment horizontal="right" vertical="center" wrapText="1"/>
    </xf>
    <xf numFmtId="3" fontId="14" fillId="8" borderId="23" xfId="0" applyNumberFormat="1" applyFont="1" applyFill="1" applyBorder="1" applyAlignment="1">
      <alignment horizontal="right" vertical="center" wrapText="1"/>
    </xf>
    <xf numFmtId="3" fontId="14" fillId="8" borderId="26" xfId="0" applyNumberFormat="1" applyFont="1" applyFill="1" applyBorder="1" applyAlignment="1">
      <alignment horizontal="right" vertical="center" wrapText="1"/>
    </xf>
    <xf numFmtId="3" fontId="9" fillId="8" borderId="23" xfId="0" applyNumberFormat="1" applyFont="1" applyFill="1" applyBorder="1" applyAlignment="1">
      <alignment horizontal="right" vertical="center"/>
    </xf>
    <xf numFmtId="3" fontId="9" fillId="8" borderId="26" xfId="0" applyNumberFormat="1" applyFont="1" applyFill="1" applyBorder="1" applyAlignment="1">
      <alignment horizontal="right" vertical="center"/>
    </xf>
    <xf numFmtId="3" fontId="9" fillId="8" borderId="14" xfId="0" applyNumberFormat="1" applyFont="1" applyFill="1" applyBorder="1" applyAlignment="1">
      <alignment horizontal="right" vertical="center"/>
    </xf>
    <xf numFmtId="0" fontId="51" fillId="0" borderId="24" xfId="0"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3" fontId="7" fillId="0" borderId="34" xfId="0" applyNumberFormat="1" applyFont="1" applyFill="1" applyBorder="1" applyAlignment="1">
      <alignment horizontal="right" vertical="center"/>
    </xf>
    <xf numFmtId="3" fontId="7" fillId="0" borderId="40" xfId="0" applyNumberFormat="1" applyFont="1" applyFill="1" applyBorder="1" applyAlignment="1">
      <alignment horizontal="right" vertical="center"/>
    </xf>
    <xf numFmtId="3" fontId="7" fillId="0" borderId="43" xfId="0" applyNumberFormat="1" applyFont="1" applyFill="1" applyBorder="1" applyAlignment="1">
      <alignment horizontal="right" vertical="center"/>
    </xf>
    <xf numFmtId="0" fontId="7" fillId="0" borderId="34" xfId="0" applyFont="1" applyFill="1" applyBorder="1" applyAlignment="1">
      <alignment horizontal="center" vertical="center"/>
    </xf>
    <xf numFmtId="0" fontId="47" fillId="0" borderId="32" xfId="0" applyFont="1" applyFill="1" applyBorder="1" applyAlignment="1">
      <alignment horizontal="center" vertical="center" wrapText="1"/>
    </xf>
    <xf numFmtId="49" fontId="9" fillId="0" borderId="45" xfId="0" applyNumberFormat="1" applyFont="1" applyFill="1" applyBorder="1" applyAlignment="1">
      <alignment horizontal="center" vertical="center"/>
    </xf>
    <xf numFmtId="3" fontId="9" fillId="23" borderId="33" xfId="0" applyNumberFormat="1" applyFont="1" applyFill="1" applyBorder="1" applyAlignment="1">
      <alignment horizontal="right" vertical="center" wrapText="1"/>
    </xf>
    <xf numFmtId="3" fontId="7" fillId="23" borderId="40" xfId="0" applyNumberFormat="1" applyFont="1" applyFill="1" applyBorder="1" applyAlignment="1">
      <alignment horizontal="right" vertical="center" wrapText="1"/>
    </xf>
    <xf numFmtId="3" fontId="9" fillId="8" borderId="20" xfId="0" applyNumberFormat="1" applyFont="1" applyFill="1" applyBorder="1" applyAlignment="1">
      <alignment horizontal="right" vertical="center" wrapText="1"/>
    </xf>
    <xf numFmtId="3" fontId="9" fillId="8" borderId="34" xfId="0" applyNumberFormat="1" applyFont="1" applyFill="1" applyBorder="1" applyAlignment="1">
      <alignment horizontal="right" vertical="center" wrapText="1"/>
    </xf>
    <xf numFmtId="3" fontId="7" fillId="0" borderId="12" xfId="0" applyNumberFormat="1" applyFont="1" applyFill="1" applyBorder="1" applyAlignment="1">
      <alignment horizontal="right" vertical="center" wrapText="1"/>
    </xf>
    <xf numFmtId="3" fontId="7" fillId="0" borderId="9" xfId="0" applyNumberFormat="1" applyFont="1" applyFill="1" applyBorder="1" applyAlignment="1">
      <alignment horizontal="center" vertical="center" wrapText="1"/>
    </xf>
    <xf numFmtId="0" fontId="43" fillId="0" borderId="32" xfId="0" applyFont="1" applyFill="1" applyBorder="1" applyAlignment="1">
      <alignment horizontal="center" vertical="center"/>
    </xf>
    <xf numFmtId="3" fontId="43" fillId="0" borderId="13" xfId="0" applyNumberFormat="1" applyFont="1" applyFill="1" applyBorder="1" applyAlignment="1">
      <alignment horizontal="center" vertical="center"/>
    </xf>
    <xf numFmtId="3" fontId="43" fillId="0" borderId="19" xfId="0" applyNumberFormat="1" applyFont="1" applyFill="1" applyBorder="1" applyAlignment="1">
      <alignment horizontal="center" vertical="center"/>
    </xf>
    <xf numFmtId="3" fontId="43" fillId="0" borderId="15" xfId="0" applyNumberFormat="1" applyFont="1" applyFill="1" applyBorder="1" applyAlignment="1">
      <alignment horizontal="center" vertical="center"/>
    </xf>
    <xf numFmtId="3" fontId="13" fillId="0" borderId="47" xfId="0" applyNumberFormat="1" applyFont="1" applyFill="1" applyBorder="1" applyAlignment="1">
      <alignment horizontal="right" vertical="center"/>
    </xf>
    <xf numFmtId="3" fontId="7" fillId="0" borderId="60" xfId="0" applyNumberFormat="1" applyFont="1" applyFill="1" applyBorder="1" applyAlignment="1">
      <alignment horizontal="right" vertical="center"/>
    </xf>
    <xf numFmtId="3" fontId="13" fillId="0" borderId="58" xfId="0" applyNumberFormat="1" applyFont="1" applyFill="1" applyBorder="1" applyAlignment="1">
      <alignment horizontal="right" vertical="center"/>
    </xf>
    <xf numFmtId="3" fontId="43" fillId="0" borderId="60" xfId="0" applyNumberFormat="1" applyFont="1" applyFill="1" applyBorder="1" applyAlignment="1">
      <alignment horizontal="center" vertical="center"/>
    </xf>
    <xf numFmtId="0" fontId="43" fillId="0" borderId="45" xfId="0" applyFont="1" applyFill="1" applyBorder="1" applyAlignment="1">
      <alignment horizontal="center" vertical="center" wrapText="1"/>
    </xf>
    <xf numFmtId="3" fontId="43" fillId="0" borderId="48" xfId="0" applyNumberFormat="1" applyFont="1" applyFill="1" applyBorder="1" applyAlignment="1">
      <alignment horizontal="center" vertical="center"/>
    </xf>
    <xf numFmtId="3" fontId="43" fillId="0" borderId="45" xfId="0" applyNumberFormat="1" applyFont="1" applyFill="1" applyBorder="1" applyAlignment="1">
      <alignment horizontal="center" vertical="center"/>
    </xf>
    <xf numFmtId="3" fontId="43" fillId="0" borderId="45" xfId="0" applyNumberFormat="1" applyFont="1" applyFill="1" applyBorder="1" applyAlignment="1">
      <alignment horizontal="center" vertical="center" wrapText="1"/>
    </xf>
    <xf numFmtId="0" fontId="43" fillId="0" borderId="13" xfId="0" applyFont="1" applyFill="1" applyBorder="1" applyAlignment="1">
      <alignment horizontal="center" vertical="center"/>
    </xf>
    <xf numFmtId="0" fontId="43" fillId="0" borderId="15" xfId="0" applyFont="1" applyFill="1" applyBorder="1" applyAlignment="1">
      <alignment horizontal="center" vertical="center"/>
    </xf>
    <xf numFmtId="0" fontId="61" fillId="5" borderId="0" xfId="0" applyFont="1" applyFill="1" applyAlignment="1">
      <alignment wrapText="1"/>
    </xf>
    <xf numFmtId="0" fontId="7" fillId="0" borderId="0" xfId="0" applyFont="1" applyFill="1" applyAlignment="1">
      <alignment horizontal="center" vertical="center" wrapText="1"/>
    </xf>
    <xf numFmtId="3" fontId="45" fillId="0" borderId="0" xfId="0" applyNumberFormat="1" applyFont="1" applyFill="1" applyAlignment="1">
      <alignment horizontal="right" vertical="center" wrapText="1"/>
    </xf>
    <xf numFmtId="0" fontId="47" fillId="0" borderId="0" xfId="0" applyFont="1" applyAlignment="1">
      <alignment wrapText="1"/>
    </xf>
    <xf numFmtId="4" fontId="7" fillId="0" borderId="1" xfId="0" applyNumberFormat="1" applyFont="1" applyFill="1" applyBorder="1" applyAlignment="1">
      <alignment horizontal="right" vertical="center" wrapText="1"/>
    </xf>
    <xf numFmtId="3" fontId="9" fillId="0" borderId="32"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3" fontId="9" fillId="0" borderId="11" xfId="0" applyNumberFormat="1" applyFont="1" applyFill="1" applyBorder="1" applyAlignment="1">
      <alignment horizontal="right" vertical="center" wrapText="1"/>
    </xf>
    <xf numFmtId="0" fontId="8" fillId="0" borderId="5" xfId="0" applyFont="1" applyFill="1" applyBorder="1" applyAlignment="1">
      <alignment horizontal="center" vertical="center" wrapText="1"/>
    </xf>
    <xf numFmtId="3" fontId="9" fillId="0" borderId="6" xfId="0" applyNumberFormat="1" applyFont="1" applyFill="1" applyBorder="1" applyAlignment="1">
      <alignment horizontal="right" vertical="center" wrapText="1"/>
    </xf>
    <xf numFmtId="49" fontId="14" fillId="5" borderId="13" xfId="0" applyNumberFormat="1" applyFont="1" applyFill="1" applyBorder="1" applyAlignment="1">
      <alignment horizontal="center" vertical="center" wrapText="1"/>
    </xf>
    <xf numFmtId="49" fontId="14" fillId="5" borderId="13" xfId="0" applyNumberFormat="1" applyFont="1" applyFill="1" applyBorder="1" applyAlignment="1">
      <alignment horizontal="center" vertical="center" wrapText="1" shrinkToFit="1"/>
    </xf>
    <xf numFmtId="0" fontId="13" fillId="5" borderId="13" xfId="1" applyFont="1" applyFill="1" applyBorder="1" applyAlignment="1">
      <alignment horizontal="center" vertical="center" wrapText="1"/>
    </xf>
    <xf numFmtId="49" fontId="13" fillId="5" borderId="13" xfId="0" applyNumberFormat="1" applyFont="1" applyFill="1" applyBorder="1" applyAlignment="1">
      <alignment horizontal="center" vertical="center" wrapText="1"/>
    </xf>
    <xf numFmtId="49" fontId="13" fillId="5" borderId="15" xfId="0" applyNumberFormat="1" applyFont="1" applyFill="1" applyBorder="1" applyAlignment="1">
      <alignment horizontal="center" vertical="center" wrapText="1"/>
    </xf>
    <xf numFmtId="0" fontId="7" fillId="5" borderId="30" xfId="0"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3" fontId="7" fillId="0" borderId="54" xfId="0" applyNumberFormat="1" applyFont="1" applyFill="1" applyBorder="1" applyAlignment="1">
      <alignment horizontal="right" vertical="center" wrapText="1"/>
    </xf>
    <xf numFmtId="3" fontId="13" fillId="5" borderId="60" xfId="0" applyNumberFormat="1" applyFont="1" applyFill="1" applyBorder="1" applyAlignment="1">
      <alignment horizontal="right" vertical="center" wrapText="1"/>
    </xf>
    <xf numFmtId="3" fontId="43" fillId="0" borderId="54" xfId="0" applyNumberFormat="1" applyFont="1" applyFill="1" applyBorder="1" applyAlignment="1">
      <alignment horizontal="center" vertical="center"/>
    </xf>
    <xf numFmtId="3" fontId="13" fillId="0" borderId="64" xfId="0" applyNumberFormat="1" applyFont="1" applyFill="1" applyBorder="1" applyAlignment="1">
      <alignment horizontal="right" vertical="center" wrapText="1"/>
    </xf>
    <xf numFmtId="3" fontId="9" fillId="0" borderId="61" xfId="0" applyNumberFormat="1" applyFont="1" applyFill="1" applyBorder="1" applyAlignment="1">
      <alignment horizontal="right" vertical="center" wrapText="1"/>
    </xf>
    <xf numFmtId="3" fontId="9" fillId="0" borderId="48" xfId="0" applyNumberFormat="1" applyFont="1" applyFill="1" applyBorder="1" applyAlignment="1">
      <alignment horizontal="right" vertical="center" wrapText="1"/>
    </xf>
    <xf numFmtId="3" fontId="9" fillId="0" borderId="64" xfId="0" applyNumberFormat="1" applyFont="1" applyFill="1" applyBorder="1" applyAlignment="1">
      <alignment horizontal="right" vertical="center" wrapText="1"/>
    </xf>
    <xf numFmtId="3" fontId="7" fillId="0" borderId="61" xfId="0" applyNumberFormat="1" applyFont="1" applyFill="1" applyBorder="1" applyAlignment="1">
      <alignment horizontal="right" vertical="center" wrapText="1"/>
    </xf>
    <xf numFmtId="3" fontId="7" fillId="0" borderId="71" xfId="0" applyNumberFormat="1" applyFont="1" applyFill="1" applyBorder="1" applyAlignment="1">
      <alignment horizontal="right" vertical="center"/>
    </xf>
    <xf numFmtId="3" fontId="13" fillId="5" borderId="48" xfId="0" applyNumberFormat="1" applyFont="1" applyFill="1" applyBorder="1" applyAlignment="1">
      <alignment horizontal="right" vertical="center" wrapText="1"/>
    </xf>
    <xf numFmtId="3" fontId="7" fillId="5" borderId="37" xfId="0" applyNumberFormat="1" applyFont="1" applyFill="1" applyBorder="1" applyAlignment="1">
      <alignment horizontal="right" vertical="center"/>
    </xf>
    <xf numFmtId="49" fontId="7" fillId="11" borderId="36" xfId="0"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xf>
    <xf numFmtId="3" fontId="7" fillId="5"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wrapText="1"/>
    </xf>
    <xf numFmtId="3" fontId="13" fillId="5" borderId="47"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9" fillId="0" borderId="66" xfId="0" applyNumberFormat="1" applyFont="1" applyFill="1" applyBorder="1" applyAlignment="1">
      <alignment horizontal="right" vertical="center" wrapText="1"/>
    </xf>
    <xf numFmtId="3" fontId="7" fillId="0" borderId="70" xfId="0" applyNumberFormat="1" applyFont="1" applyFill="1" applyBorder="1" applyAlignment="1">
      <alignment horizontal="right" vertical="center" wrapText="1"/>
    </xf>
    <xf numFmtId="3" fontId="7" fillId="0" borderId="79" xfId="0" applyNumberFormat="1" applyFont="1" applyFill="1" applyBorder="1" applyAlignment="1">
      <alignment horizontal="right" vertical="center" wrapText="1"/>
    </xf>
    <xf numFmtId="3" fontId="9" fillId="0" borderId="68" xfId="0" applyNumberFormat="1" applyFont="1" applyFill="1" applyBorder="1" applyAlignment="1">
      <alignment horizontal="right" vertical="center" wrapText="1"/>
    </xf>
    <xf numFmtId="3" fontId="9" fillId="0" borderId="55" xfId="0" applyNumberFormat="1" applyFont="1" applyFill="1" applyBorder="1" applyAlignment="1">
      <alignment horizontal="right" vertical="center" wrapText="1"/>
    </xf>
    <xf numFmtId="3" fontId="7" fillId="0" borderId="70" xfId="0" applyNumberFormat="1" applyFont="1" applyFill="1" applyBorder="1" applyAlignment="1">
      <alignment horizontal="right" vertical="center"/>
    </xf>
    <xf numFmtId="3" fontId="7" fillId="0" borderId="47" xfId="0" applyNumberFormat="1" applyFont="1" applyFill="1" applyBorder="1" applyAlignment="1">
      <alignment horizontal="center" vertical="center" wrapText="1"/>
    </xf>
    <xf numFmtId="3" fontId="7" fillId="0" borderId="68" xfId="0" applyNumberFormat="1" applyFont="1" applyFill="1" applyBorder="1" applyAlignment="1">
      <alignment horizontal="right" vertical="center" wrapText="1"/>
    </xf>
    <xf numFmtId="3" fontId="13" fillId="0" borderId="21" xfId="0" applyNumberFormat="1" applyFont="1" applyFill="1" applyBorder="1" applyAlignment="1">
      <alignment horizontal="right" vertical="center"/>
    </xf>
    <xf numFmtId="3" fontId="13" fillId="5" borderId="36" xfId="0" applyNumberFormat="1" applyFont="1" applyFill="1" applyBorder="1" applyAlignment="1">
      <alignment vertical="center"/>
    </xf>
    <xf numFmtId="3" fontId="15" fillId="0" borderId="49" xfId="0" applyNumberFormat="1" applyFont="1" applyFill="1" applyBorder="1" applyAlignment="1">
      <alignment horizontal="right" vertical="center" wrapText="1"/>
    </xf>
    <xf numFmtId="3" fontId="15" fillId="0" borderId="40" xfId="0" applyNumberFormat="1" applyFont="1" applyFill="1" applyBorder="1" applyAlignment="1">
      <alignment horizontal="right" vertical="center" wrapText="1"/>
    </xf>
    <xf numFmtId="3" fontId="7" fillId="0" borderId="46" xfId="0" applyNumberFormat="1" applyFont="1" applyFill="1" applyBorder="1" applyAlignment="1">
      <alignment vertical="center"/>
    </xf>
    <xf numFmtId="3" fontId="13" fillId="5" borderId="37" xfId="0" applyNumberFormat="1" applyFont="1" applyFill="1" applyBorder="1" applyAlignment="1">
      <alignment horizontal="right" vertical="center"/>
    </xf>
    <xf numFmtId="3" fontId="13" fillId="5" borderId="47" xfId="0" applyNumberFormat="1" applyFont="1" applyFill="1" applyBorder="1" applyAlignment="1">
      <alignment horizontal="right" vertical="center"/>
    </xf>
    <xf numFmtId="0" fontId="9" fillId="0" borderId="13" xfId="0" applyFont="1" applyFill="1" applyBorder="1" applyAlignment="1">
      <alignment horizontal="center" vertical="center" wrapText="1"/>
    </xf>
    <xf numFmtId="3" fontId="9" fillId="12" borderId="18" xfId="0" applyNumberFormat="1" applyFont="1" applyFill="1" applyBorder="1" applyAlignment="1">
      <alignment horizontal="center" vertical="center" wrapText="1" shrinkToFit="1"/>
    </xf>
    <xf numFmtId="3" fontId="9" fillId="12" borderId="3" xfId="0" applyNumberFormat="1" applyFont="1" applyFill="1" applyBorder="1" applyAlignment="1">
      <alignment horizontal="center" vertical="center" wrapText="1" shrinkToFit="1"/>
    </xf>
    <xf numFmtId="0" fontId="7" fillId="12" borderId="3" xfId="0" applyFont="1" applyFill="1" applyBorder="1" applyAlignment="1">
      <alignment horizontal="center" vertical="center" wrapText="1"/>
    </xf>
    <xf numFmtId="0" fontId="9" fillId="12" borderId="11" xfId="0" applyFont="1" applyFill="1" applyBorder="1" applyAlignment="1">
      <alignment horizontal="center" vertical="center" wrapText="1"/>
    </xf>
    <xf numFmtId="166" fontId="8" fillId="0" borderId="0" xfId="0" applyNumberFormat="1" applyFont="1" applyAlignment="1">
      <alignment horizontal="center" vertical="center" wrapText="1"/>
    </xf>
    <xf numFmtId="0" fontId="9" fillId="0" borderId="16" xfId="1" applyFont="1" applyFill="1" applyBorder="1" applyAlignment="1">
      <alignment horizontal="center" vertical="center" wrapText="1"/>
    </xf>
    <xf numFmtId="4" fontId="9" fillId="30" borderId="70" xfId="0" applyNumberFormat="1" applyFont="1" applyFill="1" applyBorder="1" applyAlignment="1">
      <alignment horizontal="center" vertical="center" wrapText="1"/>
    </xf>
    <xf numFmtId="4" fontId="9" fillId="30" borderId="56" xfId="0" applyNumberFormat="1" applyFont="1" applyFill="1" applyBorder="1" applyAlignment="1">
      <alignment horizontal="center" vertical="center" wrapText="1"/>
    </xf>
    <xf numFmtId="4" fontId="9" fillId="30" borderId="16" xfId="0" applyNumberFormat="1" applyFont="1" applyFill="1" applyBorder="1" applyAlignment="1">
      <alignment horizontal="center" vertical="center" wrapText="1"/>
    </xf>
    <xf numFmtId="0" fontId="62" fillId="5" borderId="0" xfId="0" applyFont="1" applyFill="1" applyAlignment="1">
      <alignment horizontal="left" vertical="center"/>
    </xf>
    <xf numFmtId="0" fontId="44" fillId="5" borderId="0" xfId="0" applyFont="1" applyFill="1"/>
    <xf numFmtId="3" fontId="61" fillId="5" borderId="0" xfId="0" applyNumberFormat="1" applyFont="1" applyFill="1"/>
    <xf numFmtId="3" fontId="44" fillId="5" borderId="0" xfId="0" applyNumberFormat="1" applyFont="1" applyFill="1"/>
    <xf numFmtId="0" fontId="61" fillId="5" borderId="0" xfId="0" applyFont="1" applyFill="1" applyAlignment="1">
      <alignment horizontal="right"/>
    </xf>
    <xf numFmtId="0" fontId="43" fillId="5" borderId="0" xfId="0" applyFont="1" applyFill="1" applyAlignment="1">
      <alignment horizontal="right"/>
    </xf>
    <xf numFmtId="0" fontId="44" fillId="5" borderId="0" xfId="0" applyFont="1" applyFill="1" applyAlignment="1">
      <alignment horizontal="center"/>
    </xf>
    <xf numFmtId="0" fontId="61" fillId="5" borderId="0" xfId="0" applyFont="1" applyFill="1" applyAlignment="1">
      <alignment horizontal="center" vertical="center"/>
    </xf>
    <xf numFmtId="0" fontId="44" fillId="0" borderId="0" xfId="0" applyFont="1"/>
    <xf numFmtId="0" fontId="61" fillId="0" borderId="0" xfId="0" applyFont="1" applyFill="1" applyBorder="1"/>
    <xf numFmtId="0" fontId="43" fillId="0" borderId="0" xfId="0" applyFont="1" applyAlignment="1">
      <alignment horizontal="center"/>
    </xf>
    <xf numFmtId="0" fontId="43" fillId="0" borderId="0" xfId="0" applyFont="1" applyFill="1" applyBorder="1" applyAlignment="1">
      <alignment horizontal="center"/>
    </xf>
    <xf numFmtId="1" fontId="7" fillId="0" borderId="2" xfId="0" applyNumberFormat="1" applyFont="1" applyFill="1" applyBorder="1" applyAlignment="1">
      <alignment horizontal="right" vertical="center" wrapText="1"/>
    </xf>
    <xf numFmtId="3" fontId="7" fillId="23" borderId="13" xfId="0" applyNumberFormat="1" applyFont="1" applyFill="1" applyBorder="1" applyAlignment="1">
      <alignment horizontal="right" vertical="center" wrapText="1"/>
    </xf>
    <xf numFmtId="0" fontId="47" fillId="5" borderId="32" xfId="0" applyFont="1" applyFill="1" applyBorder="1" applyAlignment="1">
      <alignment horizontal="center" vertical="center" wrapText="1"/>
    </xf>
    <xf numFmtId="0" fontId="7" fillId="0" borderId="0" xfId="0" applyFont="1" applyFill="1" applyBorder="1" applyAlignment="1">
      <alignment horizontal="center"/>
    </xf>
    <xf numFmtId="0" fontId="43" fillId="0" borderId="0" xfId="0" applyFont="1" applyFill="1" applyBorder="1" applyAlignment="1">
      <alignment horizontal="center" vertical="center"/>
    </xf>
    <xf numFmtId="0" fontId="47" fillId="0" borderId="1" xfId="0" applyFont="1" applyFill="1" applyBorder="1"/>
    <xf numFmtId="0" fontId="43" fillId="0" borderId="0" xfId="0" applyFont="1" applyFill="1" applyBorder="1"/>
    <xf numFmtId="3" fontId="63" fillId="0" borderId="0" xfId="0" applyNumberFormat="1" applyFont="1" applyAlignment="1">
      <alignment horizontal="right"/>
    </xf>
    <xf numFmtId="0" fontId="47" fillId="0" borderId="0" xfId="0" applyFont="1" applyAlignment="1">
      <alignment horizontal="right"/>
    </xf>
    <xf numFmtId="0" fontId="47" fillId="0" borderId="0" xfId="0" applyFont="1" applyFill="1" applyBorder="1" applyAlignment="1">
      <alignment horizontal="right"/>
    </xf>
    <xf numFmtId="0" fontId="43" fillId="0" borderId="0" xfId="0" applyFont="1" applyAlignment="1">
      <alignment horizontal="right"/>
    </xf>
    <xf numFmtId="0" fontId="47" fillId="0" borderId="0" xfId="0" applyFont="1" applyAlignment="1">
      <alignment horizontal="center" vertical="center"/>
    </xf>
    <xf numFmtId="3" fontId="44" fillId="0" borderId="0" xfId="0" applyNumberFormat="1" applyFont="1"/>
    <xf numFmtId="3" fontId="9" fillId="0" borderId="45" xfId="0" applyNumberFormat="1" applyFont="1" applyFill="1" applyBorder="1" applyAlignment="1">
      <alignment horizontal="right" vertical="center" wrapText="1"/>
    </xf>
    <xf numFmtId="3" fontId="7" fillId="0" borderId="17" xfId="0" applyNumberFormat="1" applyFont="1" applyFill="1" applyBorder="1" applyAlignment="1">
      <alignment horizontal="right" vertical="center" wrapText="1"/>
    </xf>
    <xf numFmtId="3" fontId="9" fillId="0" borderId="24" xfId="0" applyNumberFormat="1" applyFont="1" applyFill="1" applyBorder="1" applyAlignment="1">
      <alignment horizontal="right" vertical="center" wrapText="1"/>
    </xf>
    <xf numFmtId="49" fontId="7" fillId="0" borderId="34"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0" fontId="8" fillId="0" borderId="45" xfId="1" applyFont="1" applyFill="1" applyBorder="1" applyAlignment="1">
      <alignment horizontal="center" vertical="center" wrapText="1"/>
    </xf>
    <xf numFmtId="0" fontId="8" fillId="0" borderId="34" xfId="0" applyFont="1" applyFill="1" applyBorder="1" applyAlignment="1">
      <alignment horizontal="center" vertical="center" wrapText="1"/>
    </xf>
    <xf numFmtId="0" fontId="7" fillId="0" borderId="43" xfId="0" applyFont="1" applyFill="1" applyBorder="1" applyAlignment="1">
      <alignment horizontal="center" vertical="top" wrapText="1"/>
    </xf>
    <xf numFmtId="3" fontId="9" fillId="0" borderId="8" xfId="0" applyNumberFormat="1" applyFont="1" applyFill="1" applyBorder="1" applyAlignment="1">
      <alignment horizontal="right" vertical="center"/>
    </xf>
    <xf numFmtId="3" fontId="9" fillId="0" borderId="37" xfId="0" applyNumberFormat="1" applyFont="1" applyFill="1" applyBorder="1" applyAlignment="1">
      <alignment horizontal="right" vertical="center"/>
    </xf>
    <xf numFmtId="3" fontId="7" fillId="23" borderId="2" xfId="0" applyNumberFormat="1" applyFont="1" applyFill="1" applyBorder="1" applyAlignment="1">
      <alignment horizontal="right" vertical="center"/>
    </xf>
    <xf numFmtId="3" fontId="7" fillId="23" borderId="26" xfId="0" applyNumberFormat="1" applyFont="1" applyFill="1" applyBorder="1" applyAlignment="1">
      <alignment horizontal="right" vertical="center"/>
    </xf>
    <xf numFmtId="3" fontId="7" fillId="8" borderId="8" xfId="0" applyNumberFormat="1" applyFont="1" applyFill="1" applyBorder="1" applyAlignment="1">
      <alignment horizontal="right" vertical="center" wrapText="1"/>
    </xf>
    <xf numFmtId="3" fontId="7" fillId="8" borderId="37" xfId="0" applyNumberFormat="1" applyFont="1" applyFill="1" applyBorder="1" applyAlignment="1">
      <alignment horizontal="right" vertical="center" wrapText="1"/>
    </xf>
    <xf numFmtId="3" fontId="7" fillId="0" borderId="66" xfId="0" applyNumberFormat="1" applyFont="1" applyFill="1" applyBorder="1" applyAlignment="1">
      <alignment horizontal="center" vertical="center"/>
    </xf>
    <xf numFmtId="4" fontId="9" fillId="11" borderId="16" xfId="0" applyNumberFormat="1" applyFont="1" applyFill="1" applyBorder="1" applyAlignment="1">
      <alignment horizontal="center" vertical="center" wrapText="1"/>
    </xf>
    <xf numFmtId="3" fontId="7" fillId="0" borderId="53" xfId="0" applyNumberFormat="1" applyFont="1" applyFill="1" applyBorder="1" applyAlignment="1">
      <alignment horizontal="right" vertical="center" wrapText="1"/>
    </xf>
    <xf numFmtId="3" fontId="9" fillId="0" borderId="36" xfId="0" applyNumberFormat="1" applyFont="1" applyFill="1" applyBorder="1" applyAlignment="1">
      <alignment horizontal="right" vertical="center" wrapText="1"/>
    </xf>
    <xf numFmtId="3" fontId="7" fillId="0" borderId="76" xfId="0" applyNumberFormat="1" applyFont="1" applyFill="1" applyBorder="1" applyAlignment="1">
      <alignment horizontal="right" vertical="center" wrapText="1"/>
    </xf>
    <xf numFmtId="3" fontId="9" fillId="0" borderId="54" xfId="0" applyNumberFormat="1" applyFont="1" applyFill="1" applyBorder="1" applyAlignment="1">
      <alignment horizontal="right" vertical="center" wrapText="1"/>
    </xf>
    <xf numFmtId="3" fontId="9" fillId="0" borderId="76" xfId="0" applyNumberFormat="1" applyFont="1" applyFill="1" applyBorder="1" applyAlignment="1">
      <alignment horizontal="right" vertical="center" wrapText="1"/>
    </xf>
    <xf numFmtId="3" fontId="9" fillId="0" borderId="74" xfId="0" applyNumberFormat="1" applyFont="1" applyFill="1" applyBorder="1" applyAlignment="1">
      <alignment horizontal="right" vertical="center" wrapText="1"/>
    </xf>
    <xf numFmtId="3" fontId="9" fillId="0" borderId="38" xfId="0" applyNumberFormat="1" applyFont="1" applyFill="1" applyBorder="1" applyAlignment="1">
      <alignment horizontal="right" vertical="center" wrapText="1"/>
    </xf>
    <xf numFmtId="3" fontId="9" fillId="0" borderId="44" xfId="0" applyNumberFormat="1" applyFont="1" applyFill="1" applyBorder="1" applyAlignment="1">
      <alignment horizontal="right" vertical="center" wrapText="1"/>
    </xf>
    <xf numFmtId="3" fontId="7" fillId="0" borderId="75" xfId="0" applyNumberFormat="1" applyFont="1" applyFill="1" applyBorder="1" applyAlignment="1">
      <alignment horizontal="right" vertical="center" wrapText="1"/>
    </xf>
    <xf numFmtId="3" fontId="7" fillId="0" borderId="73" xfId="0" applyNumberFormat="1" applyFont="1" applyFill="1" applyBorder="1" applyAlignment="1">
      <alignment horizontal="right" vertical="center" wrapText="1"/>
    </xf>
    <xf numFmtId="3" fontId="7" fillId="0" borderId="38" xfId="0" applyNumberFormat="1" applyFont="1" applyFill="1" applyBorder="1" applyAlignment="1">
      <alignment horizontal="right" vertical="center" wrapText="1"/>
    </xf>
    <xf numFmtId="3" fontId="7" fillId="0" borderId="36" xfId="0" applyNumberFormat="1" applyFont="1" applyFill="1" applyBorder="1" applyAlignment="1">
      <alignment horizontal="right" vertical="center"/>
    </xf>
    <xf numFmtId="3" fontId="7" fillId="0" borderId="54" xfId="0" applyNumberFormat="1" applyFont="1" applyFill="1" applyBorder="1" applyAlignment="1">
      <alignment horizontal="right" vertical="center"/>
    </xf>
    <xf numFmtId="3" fontId="13" fillId="0" borderId="36" xfId="0" applyNumberFormat="1" applyFont="1" applyFill="1" applyBorder="1" applyAlignment="1">
      <alignment horizontal="right" vertical="center"/>
    </xf>
    <xf numFmtId="3" fontId="7" fillId="0" borderId="44" xfId="0" applyNumberFormat="1" applyFont="1" applyFill="1" applyBorder="1" applyAlignment="1">
      <alignment horizontal="right" vertical="center"/>
    </xf>
    <xf numFmtId="3" fontId="13" fillId="0" borderId="44" xfId="0" applyNumberFormat="1" applyFont="1" applyFill="1" applyBorder="1" applyAlignment="1">
      <alignment horizontal="right" vertical="center"/>
    </xf>
    <xf numFmtId="3" fontId="13" fillId="0" borderId="75" xfId="0" applyNumberFormat="1" applyFont="1" applyFill="1" applyBorder="1" applyAlignment="1">
      <alignment horizontal="right" vertical="center" wrapText="1"/>
    </xf>
    <xf numFmtId="3" fontId="7" fillId="0" borderId="76" xfId="0" applyNumberFormat="1" applyFont="1" applyFill="1" applyBorder="1" applyAlignment="1">
      <alignment horizontal="right" vertical="center"/>
    </xf>
    <xf numFmtId="3" fontId="7" fillId="0" borderId="53" xfId="0" applyNumberFormat="1" applyFont="1" applyFill="1" applyBorder="1" applyAlignment="1">
      <alignment horizontal="right" vertical="center"/>
    </xf>
    <xf numFmtId="3" fontId="7" fillId="0" borderId="74" xfId="0" applyNumberFormat="1" applyFont="1" applyFill="1" applyBorder="1" applyAlignment="1">
      <alignment horizontal="right" vertical="center" wrapText="1"/>
    </xf>
    <xf numFmtId="3" fontId="7" fillId="0" borderId="73" xfId="0" applyNumberFormat="1" applyFont="1" applyFill="1" applyBorder="1" applyAlignment="1">
      <alignment horizontal="right" vertical="center"/>
    </xf>
    <xf numFmtId="3" fontId="7" fillId="0" borderId="75" xfId="0" applyNumberFormat="1" applyFont="1" applyFill="1" applyBorder="1" applyAlignment="1">
      <alignment horizontal="right" vertical="center"/>
    </xf>
    <xf numFmtId="4" fontId="9" fillId="35" borderId="18" xfId="0" applyNumberFormat="1" applyFont="1" applyFill="1" applyBorder="1" applyAlignment="1">
      <alignment horizontal="center" vertical="center" wrapText="1"/>
    </xf>
    <xf numFmtId="4" fontId="9" fillId="35" borderId="12" xfId="0" applyNumberFormat="1" applyFont="1" applyFill="1" applyBorder="1" applyAlignment="1">
      <alignment horizontal="center" vertical="center" wrapText="1"/>
    </xf>
    <xf numFmtId="4" fontId="9" fillId="30" borderId="14" xfId="0" applyNumberFormat="1" applyFont="1" applyFill="1" applyBorder="1" applyAlignment="1">
      <alignment horizontal="center" vertical="center" wrapText="1"/>
    </xf>
    <xf numFmtId="3" fontId="7" fillId="0" borderId="42" xfId="0" applyNumberFormat="1" applyFont="1" applyFill="1" applyBorder="1" applyAlignment="1">
      <alignment horizontal="right" vertical="center" wrapText="1"/>
    </xf>
    <xf numFmtId="3" fontId="7" fillId="0" borderId="51" xfId="0" applyNumberFormat="1" applyFont="1" applyFill="1" applyBorder="1" applyAlignment="1">
      <alignment horizontal="right" vertical="center" wrapText="1"/>
    </xf>
    <xf numFmtId="3" fontId="13" fillId="0" borderId="42" xfId="0" applyNumberFormat="1" applyFont="1" applyFill="1" applyBorder="1" applyAlignment="1">
      <alignment horizontal="right" vertical="center" wrapText="1"/>
    </xf>
    <xf numFmtId="3" fontId="7" fillId="5" borderId="71" xfId="0" applyNumberFormat="1" applyFont="1" applyFill="1" applyBorder="1" applyAlignment="1">
      <alignment vertical="center" wrapText="1"/>
    </xf>
    <xf numFmtId="3" fontId="14" fillId="0" borderId="47" xfId="1" applyNumberFormat="1" applyFont="1" applyFill="1" applyBorder="1" applyAlignment="1">
      <alignment vertical="center" wrapText="1"/>
    </xf>
    <xf numFmtId="3" fontId="7" fillId="0" borderId="60" xfId="1" applyNumberFormat="1" applyFont="1" applyFill="1" applyBorder="1" applyAlignment="1">
      <alignment horizontal="center" vertical="center" wrapText="1"/>
    </xf>
    <xf numFmtId="3" fontId="7" fillId="0" borderId="25" xfId="0" applyNumberFormat="1"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center" wrapText="1"/>
    </xf>
    <xf numFmtId="49" fontId="9" fillId="0" borderId="23" xfId="0" applyNumberFormat="1" applyFont="1" applyFill="1" applyBorder="1" applyAlignment="1">
      <alignment horizontal="center" vertical="center" wrapText="1"/>
    </xf>
    <xf numFmtId="0" fontId="7" fillId="0" borderId="23" xfId="1" applyFont="1" applyFill="1" applyBorder="1" applyAlignment="1">
      <alignment horizontal="center" vertical="center" wrapText="1"/>
    </xf>
    <xf numFmtId="49" fontId="7" fillId="0" borderId="0" xfId="0" applyNumberFormat="1" applyFont="1" applyFill="1" applyAlignment="1">
      <alignment horizontal="center" vertical="center"/>
    </xf>
    <xf numFmtId="49" fontId="9" fillId="0" borderId="23" xfId="0" applyNumberFormat="1" applyFont="1" applyFill="1" applyBorder="1" applyAlignment="1">
      <alignment horizontal="center" vertical="center" wrapText="1" shrinkToFit="1"/>
    </xf>
    <xf numFmtId="3" fontId="7" fillId="0" borderId="0" xfId="0" applyNumberFormat="1" applyFont="1" applyAlignment="1">
      <alignment horizontal="right" vertical="center"/>
    </xf>
    <xf numFmtId="0" fontId="7" fillId="12" borderId="18" xfId="1" applyFont="1" applyFill="1" applyBorder="1" applyAlignment="1">
      <alignment horizontal="center" vertical="center" wrapText="1"/>
    </xf>
    <xf numFmtId="3" fontId="7" fillId="0" borderId="51" xfId="0" applyNumberFormat="1" applyFont="1" applyFill="1" applyBorder="1" applyAlignment="1">
      <alignment vertical="center" wrapText="1"/>
    </xf>
    <xf numFmtId="49" fontId="7" fillId="0" borderId="22" xfId="0" applyNumberFormat="1" applyFont="1" applyFill="1" applyBorder="1" applyAlignment="1">
      <alignment horizontal="center" vertical="center" wrapText="1"/>
    </xf>
    <xf numFmtId="3" fontId="7" fillId="0" borderId="0" xfId="0" applyNumberFormat="1" applyFont="1" applyAlignment="1">
      <alignment horizontal="center" vertical="center"/>
    </xf>
    <xf numFmtId="3" fontId="7" fillId="0" borderId="21" xfId="0" applyNumberFormat="1" applyFont="1" applyFill="1" applyBorder="1" applyAlignment="1">
      <alignment horizontal="right" vertical="center" wrapText="1"/>
    </xf>
    <xf numFmtId="3" fontId="7" fillId="0" borderId="23" xfId="0" applyNumberFormat="1" applyFont="1" applyFill="1" applyBorder="1" applyAlignment="1">
      <alignment horizontal="center" vertical="center" wrapText="1"/>
    </xf>
    <xf numFmtId="3" fontId="7" fillId="23" borderId="23" xfId="0" applyNumberFormat="1" applyFont="1" applyFill="1" applyBorder="1" applyAlignment="1">
      <alignment horizontal="right" vertical="center" wrapText="1"/>
    </xf>
    <xf numFmtId="3" fontId="7" fillId="0" borderId="20" xfId="0" applyNumberFormat="1" applyFont="1" applyFill="1" applyBorder="1" applyAlignment="1">
      <alignment horizontal="right" vertical="center" wrapText="1"/>
    </xf>
    <xf numFmtId="0" fontId="47" fillId="0" borderId="0" xfId="0" applyFont="1" applyFill="1" applyBorder="1"/>
    <xf numFmtId="3" fontId="7" fillId="0" borderId="31" xfId="0" applyNumberFormat="1" applyFont="1" applyFill="1" applyBorder="1" applyAlignment="1">
      <alignment vertical="center" wrapText="1"/>
    </xf>
    <xf numFmtId="49" fontId="9" fillId="0" borderId="26" xfId="0" applyNumberFormat="1" applyFont="1" applyFill="1" applyBorder="1" applyAlignment="1">
      <alignment horizontal="center" vertical="center" wrapText="1"/>
    </xf>
    <xf numFmtId="0" fontId="7" fillId="0" borderId="14" xfId="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3" fontId="7" fillId="0" borderId="21" xfId="0" applyNumberFormat="1" applyFont="1" applyFill="1" applyBorder="1" applyAlignment="1">
      <alignment vertical="center" wrapText="1"/>
    </xf>
    <xf numFmtId="3" fontId="7" fillId="0" borderId="47" xfId="0" applyNumberFormat="1" applyFont="1" applyFill="1" applyBorder="1" applyAlignment="1">
      <alignment horizontal="right" vertical="center" wrapText="1"/>
    </xf>
    <xf numFmtId="3" fontId="7" fillId="0" borderId="58" xfId="0" applyNumberFormat="1" applyFont="1" applyFill="1" applyBorder="1" applyAlignment="1">
      <alignment horizontal="right" vertical="center" wrapText="1"/>
    </xf>
    <xf numFmtId="3" fontId="7" fillId="0" borderId="36" xfId="0" applyNumberFormat="1" applyFont="1" applyFill="1" applyBorder="1" applyAlignment="1">
      <alignment horizontal="right" vertical="center" wrapText="1"/>
    </xf>
    <xf numFmtId="0" fontId="7" fillId="0" borderId="0" xfId="0" applyFont="1" applyAlignment="1">
      <alignment horizontal="center" wrapText="1"/>
    </xf>
    <xf numFmtId="3" fontId="7" fillId="0" borderId="24" xfId="0" applyNumberFormat="1" applyFont="1" applyFill="1" applyBorder="1" applyAlignment="1">
      <alignment vertical="center" wrapText="1"/>
    </xf>
    <xf numFmtId="0" fontId="7" fillId="0" borderId="23" xfId="0" applyFont="1" applyFill="1" applyBorder="1" applyAlignment="1">
      <alignment horizontal="center" vertical="center" wrapText="1"/>
    </xf>
    <xf numFmtId="3" fontId="7" fillId="0" borderId="24" xfId="0" applyNumberFormat="1" applyFont="1" applyFill="1" applyBorder="1" applyAlignment="1">
      <alignment horizontal="right" vertical="center" wrapText="1"/>
    </xf>
    <xf numFmtId="0" fontId="7" fillId="0" borderId="13" xfId="1" applyFont="1" applyFill="1" applyBorder="1" applyAlignment="1">
      <alignment horizontal="center" vertical="center" wrapText="1"/>
    </xf>
    <xf numFmtId="3" fontId="7" fillId="0" borderId="0" xfId="0" applyNumberFormat="1" applyFont="1" applyAlignment="1">
      <alignment vertical="center"/>
    </xf>
    <xf numFmtId="3" fontId="7" fillId="0" borderId="0" xfId="0" applyNumberFormat="1" applyFont="1" applyFill="1" applyAlignment="1">
      <alignment vertical="center"/>
    </xf>
    <xf numFmtId="3" fontId="9" fillId="12" borderId="18" xfId="1" applyNumberFormat="1" applyFont="1" applyFill="1" applyBorder="1" applyAlignment="1">
      <alignment vertical="center" wrapText="1"/>
    </xf>
    <xf numFmtId="0" fontId="8" fillId="0" borderId="23" xfId="0" applyFont="1" applyFill="1" applyBorder="1" applyAlignment="1">
      <alignment horizontal="center" vertical="center" wrapText="1"/>
    </xf>
    <xf numFmtId="0" fontId="8" fillId="0" borderId="26" xfId="0"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3" fontId="7" fillId="0" borderId="23" xfId="0" applyNumberFormat="1" applyFont="1" applyFill="1" applyBorder="1" applyAlignment="1">
      <alignment horizontal="right" vertical="center" wrapText="1"/>
    </xf>
    <xf numFmtId="3" fontId="9" fillId="0" borderId="23" xfId="1" applyNumberFormat="1" applyFont="1" applyFill="1" applyBorder="1" applyAlignment="1">
      <alignment vertical="center" wrapText="1"/>
    </xf>
    <xf numFmtId="0" fontId="7" fillId="0" borderId="26" xfId="0" applyFont="1" applyFill="1" applyBorder="1" applyAlignment="1">
      <alignment horizontal="center" vertical="center" wrapText="1"/>
    </xf>
    <xf numFmtId="3" fontId="9" fillId="0" borderId="26" xfId="1" applyNumberFormat="1" applyFont="1" applyFill="1" applyBorder="1" applyAlignment="1">
      <alignment vertical="center" wrapText="1"/>
    </xf>
    <xf numFmtId="3" fontId="7" fillId="0" borderId="32" xfId="0" applyNumberFormat="1" applyFont="1" applyFill="1" applyBorder="1" applyAlignment="1">
      <alignment vertical="center" wrapText="1"/>
    </xf>
    <xf numFmtId="3" fontId="7" fillId="0" borderId="32" xfId="0" applyNumberFormat="1" applyFont="1" applyFill="1" applyBorder="1" applyAlignment="1">
      <alignment horizontal="right" vertical="center" wrapText="1"/>
    </xf>
    <xf numFmtId="0" fontId="7" fillId="0" borderId="26" xfId="1" applyFont="1" applyFill="1" applyBorder="1" applyAlignment="1">
      <alignment horizontal="center" vertical="center" wrapText="1"/>
    </xf>
    <xf numFmtId="49" fontId="9" fillId="0" borderId="26" xfId="0" applyNumberFormat="1" applyFont="1" applyFill="1" applyBorder="1" applyAlignment="1">
      <alignment horizontal="center" vertical="center" wrapText="1" shrinkToFit="1"/>
    </xf>
    <xf numFmtId="49" fontId="7" fillId="0" borderId="26" xfId="0" applyNumberFormat="1" applyFont="1" applyFill="1" applyBorder="1" applyAlignment="1">
      <alignment horizontal="center" vertical="center" wrapText="1"/>
    </xf>
    <xf numFmtId="3" fontId="7" fillId="0" borderId="20" xfId="0" applyNumberFormat="1" applyFont="1" applyFill="1" applyBorder="1" applyAlignment="1">
      <alignment vertical="center" wrapText="1"/>
    </xf>
    <xf numFmtId="3" fontId="7" fillId="0" borderId="58" xfId="0" applyNumberFormat="1" applyFont="1" applyFill="1" applyBorder="1" applyAlignment="1">
      <alignment vertical="center" wrapText="1"/>
    </xf>
    <xf numFmtId="3" fontId="7" fillId="0" borderId="47" xfId="0" applyNumberFormat="1" applyFont="1" applyFill="1" applyBorder="1" applyAlignment="1">
      <alignment vertical="center" wrapText="1"/>
    </xf>
    <xf numFmtId="3" fontId="7" fillId="0" borderId="26" xfId="0" applyNumberFormat="1" applyFont="1" applyFill="1" applyBorder="1" applyAlignment="1">
      <alignment horizontal="right" vertical="center" wrapText="1"/>
    </xf>
    <xf numFmtId="4" fontId="7" fillId="12" borderId="18" xfId="1" applyNumberFormat="1" applyFont="1" applyFill="1" applyBorder="1" applyAlignment="1">
      <alignment horizontal="center" vertical="center" wrapText="1"/>
    </xf>
    <xf numFmtId="3" fontId="9" fillId="23" borderId="23" xfId="0" applyNumberFormat="1" applyFont="1" applyFill="1" applyBorder="1" applyAlignment="1">
      <alignment horizontal="right" vertical="center" wrapText="1"/>
    </xf>
    <xf numFmtId="3" fontId="9" fillId="23" borderId="26" xfId="0" applyNumberFormat="1" applyFont="1" applyFill="1" applyBorder="1" applyAlignment="1">
      <alignment horizontal="right" vertical="center" wrapText="1"/>
    </xf>
    <xf numFmtId="3" fontId="9" fillId="0" borderId="0" xfId="0" applyNumberFormat="1" applyFont="1" applyAlignment="1">
      <alignment horizontal="right" vertical="center"/>
    </xf>
    <xf numFmtId="3" fontId="9" fillId="0" borderId="0" xfId="0" applyNumberFormat="1" applyFont="1" applyFill="1" applyAlignment="1">
      <alignment vertical="center"/>
    </xf>
    <xf numFmtId="3" fontId="9" fillId="8" borderId="23" xfId="0" applyNumberFormat="1" applyFont="1" applyFill="1" applyBorder="1" applyAlignment="1">
      <alignment horizontal="right" vertical="center" wrapText="1"/>
    </xf>
    <xf numFmtId="3" fontId="7" fillId="23" borderId="26"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9" fillId="0" borderId="58" xfId="1" applyNumberFormat="1" applyFont="1" applyFill="1" applyBorder="1" applyAlignment="1">
      <alignment vertical="center" wrapText="1"/>
    </xf>
    <xf numFmtId="3" fontId="9" fillId="0" borderId="47" xfId="1" applyNumberFormat="1" applyFont="1" applyFill="1" applyBorder="1" applyAlignment="1">
      <alignment vertical="center" wrapText="1"/>
    </xf>
    <xf numFmtId="49" fontId="9" fillId="5" borderId="18" xfId="0" applyNumberFormat="1" applyFont="1" applyFill="1" applyBorder="1" applyAlignment="1">
      <alignment horizontal="center" vertical="center" wrapText="1"/>
    </xf>
    <xf numFmtId="49" fontId="9" fillId="5" borderId="18" xfId="0" applyNumberFormat="1" applyFont="1" applyFill="1" applyBorder="1" applyAlignment="1">
      <alignment horizontal="center" vertical="center" wrapText="1" shrinkToFit="1"/>
    </xf>
    <xf numFmtId="0" fontId="7" fillId="5" borderId="18" xfId="0" applyFont="1" applyFill="1" applyBorder="1" applyAlignment="1">
      <alignment horizontal="center" vertical="center" wrapText="1"/>
    </xf>
    <xf numFmtId="0" fontId="7" fillId="5" borderId="18" xfId="1" applyFont="1" applyFill="1" applyBorder="1" applyAlignment="1">
      <alignment horizontal="center" vertical="center" wrapText="1"/>
    </xf>
    <xf numFmtId="0" fontId="8" fillId="5" borderId="18" xfId="1" applyFont="1" applyFill="1" applyBorder="1" applyAlignment="1">
      <alignment horizontal="center" vertical="center" wrapText="1"/>
    </xf>
    <xf numFmtId="3" fontId="9" fillId="5" borderId="18" xfId="1" applyNumberFormat="1" applyFont="1" applyFill="1" applyBorder="1" applyAlignment="1">
      <alignment vertical="center" wrapText="1"/>
    </xf>
    <xf numFmtId="3" fontId="9" fillId="5" borderId="55" xfId="1" applyNumberFormat="1" applyFont="1" applyFill="1" applyBorder="1" applyAlignment="1">
      <alignment vertical="center" wrapText="1"/>
    </xf>
    <xf numFmtId="3" fontId="7" fillId="5" borderId="55" xfId="0" applyNumberFormat="1" applyFont="1" applyFill="1" applyBorder="1" applyAlignment="1">
      <alignment vertical="center" wrapText="1"/>
    </xf>
    <xf numFmtId="3" fontId="7" fillId="5" borderId="56" xfId="0" applyNumberFormat="1" applyFont="1" applyFill="1" applyBorder="1" applyAlignment="1">
      <alignment vertical="center" wrapText="1"/>
    </xf>
    <xf numFmtId="3" fontId="7" fillId="5" borderId="57" xfId="0" applyNumberFormat="1" applyFont="1" applyFill="1" applyBorder="1" applyAlignment="1">
      <alignment vertical="center" wrapText="1"/>
    </xf>
    <xf numFmtId="3" fontId="7" fillId="5" borderId="18" xfId="0" applyNumberFormat="1" applyFont="1" applyFill="1" applyBorder="1" applyAlignment="1">
      <alignment horizontal="right" vertical="center" wrapText="1"/>
    </xf>
    <xf numFmtId="3" fontId="9" fillId="5" borderId="18" xfId="0" applyNumberFormat="1" applyFont="1" applyFill="1" applyBorder="1" applyAlignment="1">
      <alignment horizontal="right" vertical="center" wrapText="1"/>
    </xf>
    <xf numFmtId="3" fontId="7" fillId="5" borderId="18" xfId="0" applyNumberFormat="1" applyFont="1" applyFill="1" applyBorder="1" applyAlignment="1">
      <alignment vertical="center" wrapText="1"/>
    </xf>
    <xf numFmtId="3" fontId="7" fillId="5" borderId="55" xfId="0" applyNumberFormat="1" applyFont="1" applyFill="1" applyBorder="1" applyAlignment="1">
      <alignment horizontal="right" vertical="center" wrapText="1"/>
    </xf>
    <xf numFmtId="3" fontId="7" fillId="5" borderId="56" xfId="0" applyNumberFormat="1" applyFont="1" applyFill="1" applyBorder="1" applyAlignment="1">
      <alignment horizontal="right" vertical="center" wrapText="1"/>
    </xf>
    <xf numFmtId="3" fontId="7" fillId="5" borderId="57" xfId="0" applyNumberFormat="1" applyFont="1" applyFill="1" applyBorder="1" applyAlignment="1">
      <alignment horizontal="right" vertical="center" wrapText="1"/>
    </xf>
    <xf numFmtId="49" fontId="7" fillId="5" borderId="18" xfId="0" applyNumberFormat="1" applyFont="1" applyFill="1" applyBorder="1" applyAlignment="1">
      <alignment horizontal="center" vertical="center" wrapText="1"/>
    </xf>
    <xf numFmtId="3" fontId="9" fillId="0" borderId="63" xfId="1" applyNumberFormat="1" applyFont="1" applyFill="1" applyBorder="1" applyAlignment="1">
      <alignment vertical="center" wrapText="1"/>
    </xf>
    <xf numFmtId="49" fontId="9" fillId="0" borderId="0" xfId="0" applyNumberFormat="1" applyFont="1" applyFill="1" applyBorder="1" applyAlignment="1">
      <alignment horizontal="center" vertical="center" wrapText="1"/>
    </xf>
    <xf numFmtId="169" fontId="19" fillId="0" borderId="8" xfId="0" applyNumberFormat="1" applyFont="1" applyBorder="1" applyAlignment="1">
      <alignment vertical="center"/>
    </xf>
    <xf numFmtId="169" fontId="19" fillId="0" borderId="9" xfId="0" applyNumberFormat="1" applyFont="1" applyBorder="1" applyAlignment="1">
      <alignment vertical="center"/>
    </xf>
    <xf numFmtId="3" fontId="12" fillId="0" borderId="58" xfId="1" applyNumberFormat="1" applyFont="1" applyFill="1" applyBorder="1" applyAlignment="1">
      <alignment vertical="center" wrapText="1"/>
    </xf>
    <xf numFmtId="3" fontId="11" fillId="23" borderId="23" xfId="0" applyNumberFormat="1" applyFont="1" applyFill="1" applyBorder="1" applyAlignment="1">
      <alignment horizontal="right" vertical="center" wrapText="1"/>
    </xf>
    <xf numFmtId="3" fontId="12" fillId="8" borderId="23" xfId="0" applyNumberFormat="1" applyFont="1" applyFill="1" applyBorder="1" applyAlignment="1">
      <alignment horizontal="right" vertical="center" wrapText="1"/>
    </xf>
    <xf numFmtId="3" fontId="12" fillId="23" borderId="26" xfId="0" applyNumberFormat="1" applyFont="1" applyFill="1" applyBorder="1" applyAlignment="1">
      <alignment horizontal="right" vertical="center" wrapText="1"/>
    </xf>
    <xf numFmtId="3" fontId="11" fillId="0" borderId="47" xfId="0" applyNumberFormat="1" applyFont="1" applyFill="1" applyBorder="1" applyAlignment="1">
      <alignment horizontal="right" vertical="center" wrapText="1"/>
    </xf>
    <xf numFmtId="3" fontId="11" fillId="0" borderId="21" xfId="0" applyNumberFormat="1" applyFont="1" applyFill="1" applyBorder="1" applyAlignment="1">
      <alignment horizontal="right" vertical="center" wrapText="1"/>
    </xf>
    <xf numFmtId="3" fontId="11" fillId="0" borderId="36" xfId="0" applyNumberFormat="1" applyFont="1" applyFill="1" applyBorder="1" applyAlignment="1">
      <alignment horizontal="right" vertical="center" wrapText="1"/>
    </xf>
    <xf numFmtId="3" fontId="11" fillId="0" borderId="32" xfId="0" applyNumberFormat="1" applyFont="1" applyFill="1" applyBorder="1" applyAlignment="1">
      <alignment horizontal="right" vertical="center" wrapText="1"/>
    </xf>
    <xf numFmtId="49" fontId="11" fillId="0" borderId="25" xfId="0" applyNumberFormat="1" applyFont="1" applyFill="1" applyBorder="1" applyAlignment="1">
      <alignment horizontal="center" vertical="center"/>
    </xf>
    <xf numFmtId="3" fontId="29" fillId="0" borderId="58" xfId="1" applyNumberFormat="1" applyFont="1" applyFill="1" applyBorder="1" applyAlignment="1">
      <alignment vertical="center" wrapText="1"/>
    </xf>
    <xf numFmtId="3" fontId="29" fillId="0" borderId="70" xfId="1" applyNumberFormat="1" applyFont="1" applyFill="1" applyBorder="1" applyAlignment="1">
      <alignment vertical="center" wrapText="1"/>
    </xf>
    <xf numFmtId="3" fontId="15" fillId="0" borderId="70" xfId="0" applyNumberFormat="1" applyFont="1" applyFill="1" applyBorder="1" applyAlignment="1">
      <alignment vertical="center" wrapText="1"/>
    </xf>
    <xf numFmtId="3" fontId="15" fillId="0" borderId="71" xfId="0" applyNumberFormat="1" applyFont="1" applyFill="1" applyBorder="1" applyAlignment="1">
      <alignment vertical="center" wrapText="1"/>
    </xf>
    <xf numFmtId="3" fontId="15" fillId="23" borderId="16" xfId="0" applyNumberFormat="1" applyFont="1" applyFill="1" applyBorder="1" applyAlignment="1">
      <alignment horizontal="right" vertical="center" wrapText="1"/>
    </xf>
    <xf numFmtId="3" fontId="17" fillId="8" borderId="14" xfId="0" applyNumberFormat="1" applyFont="1" applyFill="1" applyBorder="1" applyAlignment="1">
      <alignment horizontal="right" vertical="center" wrapText="1"/>
    </xf>
    <xf numFmtId="49" fontId="29" fillId="0" borderId="14" xfId="0" applyNumberFormat="1" applyFont="1" applyFill="1" applyBorder="1" applyAlignment="1">
      <alignment horizontal="center" vertical="center" wrapText="1" shrinkToFit="1"/>
    </xf>
    <xf numFmtId="0" fontId="15" fillId="0" borderId="14" xfId="1" applyFont="1" applyFill="1" applyBorder="1" applyAlignment="1">
      <alignment horizontal="center" vertical="center" wrapText="1"/>
    </xf>
    <xf numFmtId="0" fontId="46" fillId="0" borderId="14" xfId="0" applyFont="1" applyFill="1" applyBorder="1" applyAlignment="1">
      <alignment horizontal="center" vertical="center" wrapText="1"/>
    </xf>
    <xf numFmtId="3" fontId="15" fillId="0" borderId="52" xfId="0" applyNumberFormat="1" applyFont="1" applyFill="1" applyBorder="1" applyAlignment="1">
      <alignment vertical="center" wrapText="1"/>
    </xf>
    <xf numFmtId="3" fontId="29" fillId="23" borderId="14" xfId="0" applyNumberFormat="1" applyFont="1" applyFill="1" applyBorder="1" applyAlignment="1">
      <alignment horizontal="right" vertical="center" wrapText="1"/>
    </xf>
    <xf numFmtId="3" fontId="15" fillId="0" borderId="70" xfId="0" applyNumberFormat="1" applyFont="1" applyFill="1" applyBorder="1" applyAlignment="1">
      <alignment horizontal="right" vertical="center" wrapText="1"/>
    </xf>
    <xf numFmtId="3" fontId="15" fillId="0" borderId="71" xfId="0" applyNumberFormat="1" applyFont="1" applyFill="1" applyBorder="1" applyAlignment="1">
      <alignment horizontal="right" vertical="center" wrapText="1"/>
    </xf>
    <xf numFmtId="3" fontId="15" fillId="0" borderId="76" xfId="0" applyNumberFormat="1" applyFont="1" applyFill="1" applyBorder="1" applyAlignment="1">
      <alignment horizontal="right" vertical="center" wrapText="1"/>
    </xf>
    <xf numFmtId="3" fontId="15" fillId="0" borderId="16" xfId="0" applyNumberFormat="1" applyFont="1" applyFill="1" applyBorder="1" applyAlignment="1">
      <alignment horizontal="right" vertical="center" wrapText="1"/>
    </xf>
    <xf numFmtId="49" fontId="15" fillId="0" borderId="14" xfId="0" applyNumberFormat="1" applyFont="1" applyFill="1" applyBorder="1" applyAlignment="1">
      <alignment horizontal="center" vertical="center"/>
    </xf>
    <xf numFmtId="3" fontId="15" fillId="0" borderId="79" xfId="0" applyNumberFormat="1" applyFont="1" applyFill="1" applyBorder="1" applyAlignment="1">
      <alignment vertical="center" wrapText="1"/>
    </xf>
    <xf numFmtId="3" fontId="15" fillId="0" borderId="58" xfId="0" applyNumberFormat="1" applyFont="1" applyFill="1" applyBorder="1" applyAlignment="1">
      <alignment horizontal="right" vertical="center" wrapText="1"/>
    </xf>
    <xf numFmtId="49" fontId="7" fillId="5" borderId="14" xfId="0" applyNumberFormat="1" applyFont="1" applyFill="1" applyBorder="1" applyAlignment="1">
      <alignment horizontal="center" vertical="center"/>
    </xf>
    <xf numFmtId="49" fontId="7" fillId="5" borderId="30" xfId="0" applyNumberFormat="1" applyFont="1" applyFill="1" applyBorder="1" applyAlignment="1">
      <alignment horizontal="center" vertical="center"/>
    </xf>
    <xf numFmtId="0" fontId="7" fillId="5" borderId="14" xfId="1" applyFont="1" applyFill="1" applyBorder="1" applyAlignment="1">
      <alignment horizontal="center" vertical="center" wrapText="1"/>
    </xf>
    <xf numFmtId="0" fontId="8" fillId="5" borderId="14" xfId="0" applyFont="1" applyFill="1" applyBorder="1" applyAlignment="1">
      <alignment horizontal="center" vertical="center" wrapText="1"/>
    </xf>
    <xf numFmtId="3" fontId="9" fillId="5" borderId="70" xfId="1" applyNumberFormat="1" applyFont="1" applyFill="1" applyBorder="1" applyAlignment="1">
      <alignment vertical="center" wrapText="1"/>
    </xf>
    <xf numFmtId="3" fontId="7" fillId="5" borderId="70" xfId="0" applyNumberFormat="1" applyFont="1" applyFill="1" applyBorder="1" applyAlignment="1">
      <alignment vertical="center" wrapText="1"/>
    </xf>
    <xf numFmtId="3" fontId="7" fillId="5" borderId="70" xfId="0" applyNumberFormat="1" applyFont="1" applyFill="1" applyBorder="1" applyAlignment="1">
      <alignment horizontal="right" vertical="center" wrapText="1"/>
    </xf>
    <xf numFmtId="3" fontId="7" fillId="5" borderId="71" xfId="0" applyNumberFormat="1" applyFont="1" applyFill="1" applyBorder="1" applyAlignment="1">
      <alignment horizontal="right" vertical="center" wrapText="1"/>
    </xf>
    <xf numFmtId="3" fontId="7" fillId="5" borderId="76" xfId="0" applyNumberFormat="1" applyFont="1" applyFill="1" applyBorder="1" applyAlignment="1">
      <alignment horizontal="right" vertical="center" wrapText="1"/>
    </xf>
    <xf numFmtId="3" fontId="7" fillId="5" borderId="16" xfId="0" applyNumberFormat="1" applyFont="1" applyFill="1" applyBorder="1" applyAlignment="1">
      <alignment horizontal="right" vertical="center" wrapText="1"/>
    </xf>
    <xf numFmtId="0" fontId="7"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3" fontId="7" fillId="5" borderId="14" xfId="0" applyNumberFormat="1" applyFont="1" applyFill="1" applyBorder="1" applyAlignment="1">
      <alignment horizontal="right" vertical="center" wrapText="1"/>
    </xf>
    <xf numFmtId="3" fontId="7" fillId="5" borderId="60" xfId="0" applyNumberFormat="1" applyFont="1" applyFill="1" applyBorder="1" applyAlignment="1">
      <alignment horizontal="right" vertical="center" wrapText="1"/>
    </xf>
    <xf numFmtId="3" fontId="7" fillId="5" borderId="48" xfId="0" applyNumberFormat="1" applyFont="1" applyFill="1" applyBorder="1" applyAlignment="1">
      <alignment horizontal="right" vertical="center" wrapText="1"/>
    </xf>
    <xf numFmtId="3" fontId="7" fillId="5" borderId="54" xfId="0" applyNumberFormat="1" applyFont="1" applyFill="1" applyBorder="1" applyAlignment="1">
      <alignment horizontal="right" vertical="center" wrapText="1"/>
    </xf>
    <xf numFmtId="49" fontId="9" fillId="0" borderId="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3" fontId="7" fillId="5" borderId="63" xfId="0" applyNumberFormat="1" applyFont="1" applyFill="1" applyBorder="1" applyAlignment="1">
      <alignment horizontal="right" vertical="center" wrapText="1"/>
    </xf>
    <xf numFmtId="3" fontId="7" fillId="5" borderId="61" xfId="0" applyNumberFormat="1" applyFont="1" applyFill="1" applyBorder="1" applyAlignment="1">
      <alignment horizontal="right" vertical="center" wrapText="1"/>
    </xf>
    <xf numFmtId="3" fontId="7" fillId="5" borderId="11" xfId="0" applyNumberFormat="1" applyFont="1" applyFill="1" applyBorder="1" applyAlignment="1">
      <alignment horizontal="right" vertical="center" wrapText="1"/>
    </xf>
    <xf numFmtId="3" fontId="9" fillId="5" borderId="23" xfId="0" applyNumberFormat="1" applyFont="1" applyFill="1" applyBorder="1" applyAlignment="1">
      <alignment horizontal="right" vertical="center" wrapText="1"/>
    </xf>
    <xf numFmtId="3" fontId="7" fillId="5" borderId="66" xfId="0" applyNumberFormat="1" applyFont="1" applyFill="1" applyBorder="1" applyAlignment="1">
      <alignment horizontal="right" vertical="center" wrapText="1"/>
    </xf>
    <xf numFmtId="3" fontId="7" fillId="5" borderId="29" xfId="0" applyNumberFormat="1" applyFont="1" applyFill="1" applyBorder="1" applyAlignment="1">
      <alignment horizontal="right" vertical="center" wrapText="1"/>
    </xf>
    <xf numFmtId="3" fontId="9" fillId="5" borderId="63" xfId="0" applyNumberFormat="1" applyFont="1" applyFill="1" applyBorder="1" applyAlignment="1">
      <alignment horizontal="right" vertical="center" wrapText="1"/>
    </xf>
    <xf numFmtId="3" fontId="7" fillId="5" borderId="64" xfId="0" applyNumberFormat="1" applyFont="1" applyFill="1" applyBorder="1" applyAlignment="1">
      <alignment horizontal="right" vertical="center" wrapText="1"/>
    </xf>
    <xf numFmtId="3" fontId="7" fillId="5" borderId="44" xfId="0" applyNumberFormat="1" applyFont="1" applyFill="1" applyBorder="1" applyAlignment="1">
      <alignment horizontal="right" vertical="center" wrapText="1"/>
    </xf>
    <xf numFmtId="3" fontId="11" fillId="5" borderId="47" xfId="0" applyNumberFormat="1" applyFont="1" applyFill="1" applyBorder="1" applyAlignment="1">
      <alignment horizontal="right" vertical="center" wrapText="1"/>
    </xf>
    <xf numFmtId="3" fontId="11" fillId="5" borderId="20" xfId="0" applyNumberFormat="1" applyFont="1" applyFill="1" applyBorder="1" applyAlignment="1">
      <alignment horizontal="right" vertical="center" wrapText="1"/>
    </xf>
    <xf numFmtId="3" fontId="12" fillId="5" borderId="26" xfId="0" applyNumberFormat="1" applyFont="1" applyFill="1" applyBorder="1" applyAlignment="1">
      <alignment horizontal="right" vertical="center" wrapText="1"/>
    </xf>
    <xf numFmtId="3" fontId="11" fillId="5" borderId="26" xfId="0" applyNumberFormat="1" applyFont="1" applyFill="1" applyBorder="1" applyAlignment="1">
      <alignment horizontal="right" vertical="center" wrapText="1"/>
    </xf>
    <xf numFmtId="3" fontId="12" fillId="5" borderId="47" xfId="0" applyNumberFormat="1" applyFont="1" applyFill="1" applyBorder="1" applyAlignment="1">
      <alignment horizontal="right" vertical="center" wrapText="1"/>
    </xf>
    <xf numFmtId="169" fontId="9" fillId="5" borderId="13" xfId="0" applyNumberFormat="1" applyFont="1" applyFill="1" applyBorder="1" applyAlignment="1">
      <alignment horizontal="center" vertical="center" wrapText="1"/>
    </xf>
    <xf numFmtId="169" fontId="9" fillId="5" borderId="13" xfId="0" applyNumberFormat="1" applyFont="1" applyFill="1" applyBorder="1" applyAlignment="1">
      <alignment horizontal="center" vertical="center" wrapText="1" shrinkToFit="1"/>
    </xf>
    <xf numFmtId="3" fontId="9" fillId="5" borderId="14" xfId="0" applyNumberFormat="1" applyFont="1" applyFill="1" applyBorder="1" applyAlignment="1">
      <alignment horizontal="right" vertical="center" wrapText="1"/>
    </xf>
    <xf numFmtId="3" fontId="7" fillId="5" borderId="13" xfId="0" applyNumberFormat="1" applyFont="1" applyFill="1" applyBorder="1" applyAlignment="1">
      <alignment horizontal="right" vertical="center" wrapText="1"/>
    </xf>
    <xf numFmtId="3" fontId="9" fillId="5" borderId="60" xfId="0" applyNumberFormat="1" applyFont="1" applyFill="1" applyBorder="1" applyAlignment="1">
      <alignment horizontal="right" vertical="center" wrapText="1"/>
    </xf>
    <xf numFmtId="3" fontId="15" fillId="23" borderId="32" xfId="0" applyNumberFormat="1" applyFont="1" applyFill="1" applyBorder="1" applyAlignment="1">
      <alignment horizontal="right" vertical="center" wrapText="1"/>
    </xf>
    <xf numFmtId="3" fontId="29" fillId="8" borderId="26" xfId="0" applyNumberFormat="1" applyFont="1" applyFill="1" applyBorder="1" applyAlignment="1">
      <alignment horizontal="right" vertical="center" wrapText="1"/>
    </xf>
    <xf numFmtId="3" fontId="15" fillId="0" borderId="41" xfId="0" applyNumberFormat="1" applyFont="1" applyFill="1" applyBorder="1" applyAlignment="1">
      <alignment horizontal="right" vertical="center" wrapText="1"/>
    </xf>
    <xf numFmtId="3" fontId="14" fillId="0" borderId="65" xfId="0" applyNumberFormat="1" applyFont="1" applyFill="1" applyBorder="1" applyAlignment="1">
      <alignment horizontal="right" vertical="center" wrapText="1"/>
    </xf>
    <xf numFmtId="3" fontId="13" fillId="0" borderId="66" xfId="0" applyNumberFormat="1" applyFont="1" applyFill="1" applyBorder="1" applyAlignment="1">
      <alignment horizontal="right" vertical="center" wrapText="1"/>
    </xf>
    <xf numFmtId="3" fontId="13" fillId="0" borderId="32" xfId="1" applyNumberFormat="1" applyFont="1" applyFill="1" applyBorder="1" applyAlignment="1">
      <alignment horizontal="right" vertical="center" wrapText="1"/>
    </xf>
    <xf numFmtId="3" fontId="13" fillId="0" borderId="26" xfId="1" applyNumberFormat="1" applyFont="1" applyFill="1" applyBorder="1" applyAlignment="1">
      <alignment horizontal="right" vertical="center" wrapText="1"/>
    </xf>
    <xf numFmtId="3" fontId="7" fillId="5" borderId="58" xfId="0" applyNumberFormat="1" applyFont="1" applyFill="1" applyBorder="1" applyAlignment="1">
      <alignment horizontal="right" vertical="center" wrapText="1"/>
    </xf>
    <xf numFmtId="3" fontId="7" fillId="5" borderId="21" xfId="0" applyNumberFormat="1" applyFont="1" applyFill="1" applyBorder="1" applyAlignment="1">
      <alignment horizontal="right" vertical="center" wrapText="1"/>
    </xf>
    <xf numFmtId="3" fontId="7" fillId="5" borderId="79" xfId="0" applyNumberFormat="1" applyFont="1" applyFill="1" applyBorder="1" applyAlignment="1">
      <alignment horizontal="right" vertical="center" wrapText="1"/>
    </xf>
    <xf numFmtId="3" fontId="9" fillId="5" borderId="58" xfId="0" applyNumberFormat="1" applyFont="1" applyFill="1" applyBorder="1" applyAlignment="1">
      <alignment horizontal="right" vertical="center" wrapText="1"/>
    </xf>
    <xf numFmtId="49" fontId="7" fillId="5" borderId="27" xfId="0" applyNumberFormat="1" applyFont="1" applyFill="1" applyBorder="1" applyAlignment="1">
      <alignment horizontal="center" vertical="center" wrapText="1"/>
    </xf>
    <xf numFmtId="3" fontId="13" fillId="0" borderId="41" xfId="0" applyNumberFormat="1" applyFont="1" applyFill="1" applyBorder="1" applyAlignment="1">
      <alignment horizontal="right" vertical="center" wrapText="1"/>
    </xf>
    <xf numFmtId="3" fontId="13" fillId="0" borderId="31" xfId="1" applyNumberFormat="1" applyFont="1" applyFill="1" applyBorder="1" applyAlignment="1">
      <alignment horizontal="right" vertical="center" wrapText="1"/>
    </xf>
    <xf numFmtId="0" fontId="27" fillId="5" borderId="13" xfId="0" applyFont="1" applyFill="1" applyBorder="1" applyAlignment="1">
      <alignment horizontal="center" vertical="center" wrapText="1"/>
    </xf>
    <xf numFmtId="3" fontId="13" fillId="5" borderId="15" xfId="0" applyNumberFormat="1" applyFont="1" applyFill="1" applyBorder="1" applyAlignment="1">
      <alignment horizontal="right" vertical="center" wrapText="1"/>
    </xf>
    <xf numFmtId="3" fontId="14" fillId="5" borderId="60" xfId="0" applyNumberFormat="1" applyFont="1" applyFill="1" applyBorder="1" applyAlignment="1">
      <alignment horizontal="right" vertical="center" wrapText="1"/>
    </xf>
    <xf numFmtId="3" fontId="13" fillId="5" borderId="54" xfId="0" applyNumberFormat="1" applyFont="1" applyFill="1" applyBorder="1" applyAlignment="1">
      <alignment horizontal="right" vertical="center" wrapText="1"/>
    </xf>
    <xf numFmtId="3" fontId="7" fillId="5" borderId="9" xfId="0" applyNumberFormat="1" applyFont="1" applyFill="1" applyBorder="1" applyAlignment="1">
      <alignment horizontal="right" vertical="center" wrapText="1"/>
    </xf>
    <xf numFmtId="3" fontId="9" fillId="5" borderId="26" xfId="0" applyNumberFormat="1" applyFont="1" applyFill="1" applyBorder="1" applyAlignment="1">
      <alignment horizontal="right" vertical="center" wrapText="1"/>
    </xf>
    <xf numFmtId="3" fontId="7" fillId="5" borderId="31" xfId="0" applyNumberFormat="1" applyFont="1" applyFill="1" applyBorder="1" applyAlignment="1">
      <alignment horizontal="right" vertical="center" wrapText="1"/>
    </xf>
    <xf numFmtId="3" fontId="7" fillId="5" borderId="20" xfId="0" applyNumberFormat="1" applyFont="1" applyFill="1" applyBorder="1" applyAlignment="1">
      <alignment horizontal="right" vertical="center" wrapText="1"/>
    </xf>
    <xf numFmtId="0" fontId="58" fillId="5" borderId="26" xfId="1" applyFont="1" applyFill="1" applyBorder="1" applyAlignment="1">
      <alignment horizontal="center" vertical="center" wrapText="1"/>
    </xf>
    <xf numFmtId="3" fontId="17" fillId="5" borderId="23" xfId="1" applyNumberFormat="1" applyFont="1" applyFill="1" applyBorder="1" applyAlignment="1">
      <alignment horizontal="right" vertical="center" wrapText="1"/>
    </xf>
    <xf numFmtId="3" fontId="16" fillId="5" borderId="47" xfId="0" applyNumberFormat="1" applyFont="1" applyFill="1" applyBorder="1" applyAlignment="1">
      <alignment horizontal="right" vertical="center" wrapText="1"/>
    </xf>
    <xf numFmtId="3" fontId="16" fillId="5" borderId="20" xfId="0" applyNumberFormat="1" applyFont="1" applyFill="1" applyBorder="1" applyAlignment="1">
      <alignment horizontal="right" vertical="center" wrapText="1"/>
    </xf>
    <xf numFmtId="3" fontId="16" fillId="5" borderId="32" xfId="0" applyNumberFormat="1" applyFont="1" applyFill="1" applyBorder="1" applyAlignment="1">
      <alignment horizontal="right" vertical="center" wrapText="1"/>
    </xf>
    <xf numFmtId="3" fontId="16" fillId="5" borderId="24" xfId="0" applyNumberFormat="1" applyFont="1" applyFill="1" applyBorder="1" applyAlignment="1">
      <alignment horizontal="right" vertical="center" wrapText="1"/>
    </xf>
    <xf numFmtId="3" fontId="17" fillId="5" borderId="23" xfId="0" applyNumberFormat="1" applyFont="1" applyFill="1" applyBorder="1" applyAlignment="1">
      <alignment horizontal="right" vertical="center" wrapText="1"/>
    </xf>
    <xf numFmtId="3" fontId="17" fillId="5" borderId="26" xfId="0" applyNumberFormat="1" applyFont="1" applyFill="1" applyBorder="1" applyAlignment="1">
      <alignment horizontal="right" vertical="center" wrapText="1"/>
    </xf>
    <xf numFmtId="3" fontId="16" fillId="5" borderId="31" xfId="0" applyNumberFormat="1" applyFont="1" applyFill="1" applyBorder="1" applyAlignment="1">
      <alignment horizontal="right" vertical="center" wrapText="1"/>
    </xf>
    <xf numFmtId="3" fontId="17" fillId="5" borderId="58" xfId="0" applyNumberFormat="1" applyFont="1" applyFill="1" applyBorder="1" applyAlignment="1">
      <alignment horizontal="right" vertical="center" wrapText="1"/>
    </xf>
    <xf numFmtId="3" fontId="16" fillId="5" borderId="21" xfId="0" applyNumberFormat="1" applyFont="1" applyFill="1" applyBorder="1" applyAlignment="1">
      <alignment horizontal="right" vertical="center" wrapText="1"/>
    </xf>
    <xf numFmtId="3" fontId="16" fillId="5" borderId="44" xfId="0" applyNumberFormat="1" applyFont="1" applyFill="1" applyBorder="1" applyAlignment="1">
      <alignment horizontal="right" vertical="center" wrapText="1"/>
    </xf>
    <xf numFmtId="3" fontId="7" fillId="5" borderId="31" xfId="1" applyNumberFormat="1" applyFont="1" applyFill="1" applyBorder="1" applyAlignment="1">
      <alignment horizontal="right" vertical="center" wrapText="1"/>
    </xf>
    <xf numFmtId="3" fontId="7" fillId="5" borderId="47" xfId="0" applyNumberFormat="1" applyFont="1" applyFill="1" applyBorder="1" applyAlignment="1">
      <alignment horizontal="right" vertical="center" wrapText="1"/>
    </xf>
    <xf numFmtId="3" fontId="7" fillId="5" borderId="36" xfId="0" applyNumberFormat="1" applyFont="1" applyFill="1" applyBorder="1" applyAlignment="1">
      <alignment horizontal="right" vertical="center" wrapText="1"/>
    </xf>
    <xf numFmtId="3" fontId="7" fillId="5" borderId="41" xfId="0" applyNumberFormat="1" applyFont="1" applyFill="1" applyBorder="1" applyAlignment="1">
      <alignment horizontal="right" vertical="center" wrapText="1"/>
    </xf>
    <xf numFmtId="3" fontId="7" fillId="5" borderId="26" xfId="1" applyNumberFormat="1" applyFont="1" applyFill="1" applyBorder="1" applyAlignment="1">
      <alignment horizontal="right" vertical="center" wrapText="1"/>
    </xf>
    <xf numFmtId="3" fontId="9" fillId="5" borderId="47" xfId="0" applyNumberFormat="1" applyFont="1" applyFill="1" applyBorder="1" applyAlignment="1">
      <alignment horizontal="right" vertical="center" wrapText="1"/>
    </xf>
    <xf numFmtId="3" fontId="16" fillId="5" borderId="26" xfId="0" applyNumberFormat="1" applyFont="1" applyFill="1" applyBorder="1" applyAlignment="1">
      <alignment horizontal="right" vertical="center" wrapText="1"/>
    </xf>
    <xf numFmtId="0" fontId="40" fillId="0" borderId="31" xfId="0" applyFont="1" applyFill="1" applyBorder="1" applyAlignment="1">
      <alignment horizontal="center" vertical="center" wrapText="1"/>
    </xf>
    <xf numFmtId="0" fontId="46" fillId="0" borderId="32" xfId="1" applyFont="1" applyFill="1" applyBorder="1" applyAlignment="1">
      <alignment horizontal="center" vertical="center" wrapText="1"/>
    </xf>
    <xf numFmtId="3" fontId="15" fillId="0" borderId="37" xfId="1" applyNumberFormat="1" applyFont="1" applyFill="1" applyBorder="1" applyAlignment="1">
      <alignment horizontal="right" vertical="center" wrapText="1"/>
    </xf>
    <xf numFmtId="3" fontId="15" fillId="0" borderId="26" xfId="1" applyNumberFormat="1" applyFont="1" applyFill="1" applyBorder="1" applyAlignment="1">
      <alignment horizontal="right" vertical="center" wrapText="1"/>
    </xf>
    <xf numFmtId="0" fontId="51" fillId="0" borderId="3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27" fillId="0" borderId="22" xfId="1" applyFont="1" applyFill="1" applyBorder="1" applyAlignment="1">
      <alignment horizontal="center" vertical="center" wrapText="1"/>
    </xf>
    <xf numFmtId="3" fontId="14" fillId="23" borderId="22" xfId="0" applyNumberFormat="1" applyFont="1" applyFill="1" applyBorder="1" applyAlignment="1">
      <alignment horizontal="right" vertical="center" wrapText="1"/>
    </xf>
    <xf numFmtId="0" fontId="47" fillId="5" borderId="13" xfId="0" applyFont="1" applyFill="1" applyBorder="1" applyAlignment="1">
      <alignment horizontal="center" vertical="center" wrapText="1"/>
    </xf>
    <xf numFmtId="2" fontId="8" fillId="5" borderId="13" xfId="0" applyNumberFormat="1" applyFont="1" applyFill="1" applyBorder="1" applyAlignment="1">
      <alignment horizontal="center" vertical="center" wrapText="1"/>
    </xf>
    <xf numFmtId="3" fontId="7" fillId="5" borderId="17" xfId="0" applyNumberFormat="1" applyFont="1" applyFill="1" applyBorder="1" applyAlignment="1">
      <alignment horizontal="right" vertical="center" wrapText="1"/>
    </xf>
    <xf numFmtId="3" fontId="7" fillId="5" borderId="19" xfId="0" applyNumberFormat="1" applyFont="1" applyFill="1" applyBorder="1" applyAlignment="1">
      <alignment horizontal="right" vertical="center" wrapText="1"/>
    </xf>
    <xf numFmtId="1" fontId="7" fillId="5" borderId="13" xfId="0" applyNumberFormat="1" applyFont="1" applyFill="1" applyBorder="1" applyAlignment="1">
      <alignment horizontal="right" vertical="center" wrapText="1"/>
    </xf>
    <xf numFmtId="49" fontId="9" fillId="5" borderId="9" xfId="0" applyNumberFormat="1" applyFont="1" applyFill="1" applyBorder="1" applyAlignment="1">
      <alignment horizontal="center" vertical="center" wrapText="1" shrinkToFit="1"/>
    </xf>
    <xf numFmtId="0" fontId="47" fillId="5" borderId="2" xfId="0" applyFont="1" applyFill="1" applyBorder="1" applyAlignment="1">
      <alignment horizontal="center" vertical="center" wrapText="1"/>
    </xf>
    <xf numFmtId="2" fontId="8" fillId="5" borderId="2" xfId="0" applyNumberFormat="1" applyFont="1" applyFill="1" applyBorder="1" applyAlignment="1">
      <alignment horizontal="center" vertical="center" wrapText="1"/>
    </xf>
    <xf numFmtId="3" fontId="7" fillId="5" borderId="52" xfId="0" applyNumberFormat="1" applyFont="1" applyFill="1" applyBorder="1" applyAlignment="1">
      <alignment horizontal="right" vertical="center" wrapText="1"/>
    </xf>
    <xf numFmtId="3" fontId="7" fillId="5" borderId="27" xfId="0" applyNumberFormat="1" applyFont="1" applyFill="1" applyBorder="1" applyAlignment="1">
      <alignment horizontal="right" vertical="center" wrapText="1"/>
    </xf>
    <xf numFmtId="1" fontId="7" fillId="5" borderId="23" xfId="0" applyNumberFormat="1" applyFont="1" applyFill="1" applyBorder="1" applyAlignment="1">
      <alignment horizontal="right" vertical="center" wrapText="1"/>
    </xf>
    <xf numFmtId="2" fontId="7" fillId="5" borderId="14" xfId="0" applyNumberFormat="1" applyFont="1" applyFill="1" applyBorder="1" applyAlignment="1">
      <alignment horizontal="center" vertical="center" wrapText="1"/>
    </xf>
    <xf numFmtId="2" fontId="7" fillId="0" borderId="18" xfId="0" applyNumberFormat="1" applyFont="1" applyFill="1" applyBorder="1" applyAlignment="1">
      <alignment horizontal="center" vertical="center" wrapText="1"/>
    </xf>
    <xf numFmtId="49" fontId="9" fillId="11" borderId="9" xfId="0" applyNumberFormat="1" applyFont="1" applyFill="1" applyBorder="1" applyAlignment="1">
      <alignment horizontal="center" vertical="center" wrapText="1" shrinkToFit="1"/>
    </xf>
    <xf numFmtId="0" fontId="47" fillId="11" borderId="2" xfId="0" applyFont="1" applyFill="1" applyBorder="1" applyAlignment="1">
      <alignment horizontal="center" vertical="center" wrapText="1"/>
    </xf>
    <xf numFmtId="2" fontId="8" fillId="11" borderId="2" xfId="0" applyNumberFormat="1" applyFont="1" applyFill="1" applyBorder="1" applyAlignment="1">
      <alignment horizontal="center" vertical="center" wrapText="1"/>
    </xf>
    <xf numFmtId="3" fontId="7" fillId="11" borderId="63" xfId="0" applyNumberFormat="1" applyFont="1" applyFill="1" applyBorder="1" applyAlignment="1">
      <alignment horizontal="right" vertical="center" wrapText="1"/>
    </xf>
    <xf numFmtId="3" fontId="7" fillId="11" borderId="64" xfId="0" applyNumberFormat="1" applyFont="1" applyFill="1" applyBorder="1" applyAlignment="1">
      <alignment horizontal="right" vertical="center" wrapText="1"/>
    </xf>
    <xf numFmtId="3" fontId="7" fillId="11" borderId="46" xfId="0" applyNumberFormat="1" applyFont="1" applyFill="1" applyBorder="1" applyAlignment="1">
      <alignment horizontal="right" vertical="center" wrapText="1"/>
    </xf>
    <xf numFmtId="3" fontId="7" fillId="8" borderId="2" xfId="0" applyNumberFormat="1" applyFont="1" applyFill="1" applyBorder="1" applyAlignment="1">
      <alignment horizontal="right" vertical="center" wrapText="1"/>
    </xf>
    <xf numFmtId="3" fontId="7" fillId="11" borderId="8" xfId="0" applyNumberFormat="1" applyFont="1" applyFill="1" applyBorder="1" applyAlignment="1">
      <alignment horizontal="right" vertical="center" wrapText="1"/>
    </xf>
    <xf numFmtId="1" fontId="7" fillId="11" borderId="2" xfId="0" applyNumberFormat="1" applyFont="1" applyFill="1" applyBorder="1" applyAlignment="1">
      <alignment horizontal="right" vertical="center" wrapText="1"/>
    </xf>
    <xf numFmtId="3" fontId="7" fillId="11" borderId="4" xfId="0" applyNumberFormat="1" applyFont="1" applyFill="1" applyBorder="1" applyAlignment="1">
      <alignment horizontal="right" vertical="center" wrapText="1"/>
    </xf>
    <xf numFmtId="3" fontId="7" fillId="11" borderId="9" xfId="0" applyNumberFormat="1" applyFont="1" applyFill="1" applyBorder="1" applyAlignment="1">
      <alignment horizontal="right" vertical="center" wrapText="1"/>
    </xf>
    <xf numFmtId="3" fontId="9" fillId="11" borderId="63" xfId="0" applyNumberFormat="1" applyFont="1" applyFill="1" applyBorder="1" applyAlignment="1">
      <alignment horizontal="right" vertical="center" wrapText="1"/>
    </xf>
    <xf numFmtId="3" fontId="7" fillId="11" borderId="53" xfId="0" applyNumberFormat="1" applyFont="1" applyFill="1" applyBorder="1" applyAlignment="1">
      <alignment horizontal="right" vertical="center" wrapText="1"/>
    </xf>
    <xf numFmtId="2" fontId="7" fillId="11" borderId="24" xfId="0" applyNumberFormat="1" applyFont="1" applyFill="1" applyBorder="1" applyAlignment="1">
      <alignment horizontal="center" vertical="center" wrapText="1"/>
    </xf>
    <xf numFmtId="49" fontId="7" fillId="11" borderId="8" xfId="0" applyNumberFormat="1" applyFont="1" applyFill="1" applyBorder="1" applyAlignment="1">
      <alignment horizontal="center" vertical="center" wrapText="1"/>
    </xf>
    <xf numFmtId="49" fontId="9" fillId="11" borderId="24" xfId="0" applyNumberFormat="1" applyFont="1" applyFill="1" applyBorder="1" applyAlignment="1">
      <alignment horizontal="center" vertical="center" wrapText="1" shrinkToFit="1"/>
    </xf>
    <xf numFmtId="0" fontId="47" fillId="11" borderId="23" xfId="0" applyFont="1" applyFill="1" applyBorder="1" applyAlignment="1">
      <alignment horizontal="center" vertical="center" wrapText="1"/>
    </xf>
    <xf numFmtId="2" fontId="8" fillId="11" borderId="23" xfId="0" applyNumberFormat="1" applyFont="1" applyFill="1" applyBorder="1" applyAlignment="1">
      <alignment horizontal="center" vertical="center" wrapText="1"/>
    </xf>
    <xf numFmtId="3" fontId="7" fillId="11" borderId="58" xfId="0" applyNumberFormat="1" applyFont="1" applyFill="1" applyBorder="1" applyAlignment="1">
      <alignment horizontal="right" vertical="center" wrapText="1"/>
    </xf>
    <xf numFmtId="3" fontId="7" fillId="11" borderId="21" xfId="0" applyNumberFormat="1" applyFont="1" applyFill="1" applyBorder="1" applyAlignment="1">
      <alignment horizontal="right" vertical="center" wrapText="1"/>
    </xf>
    <xf numFmtId="3" fontId="7" fillId="11" borderId="79" xfId="0" applyNumberFormat="1" applyFont="1" applyFill="1" applyBorder="1" applyAlignment="1">
      <alignment horizontal="right" vertical="center" wrapText="1"/>
    </xf>
    <xf numFmtId="3" fontId="7" fillId="11" borderId="27" xfId="0" applyNumberFormat="1" applyFont="1" applyFill="1" applyBorder="1" applyAlignment="1">
      <alignment horizontal="right" vertical="center" wrapText="1"/>
    </xf>
    <xf numFmtId="1" fontId="7" fillId="11" borderId="23" xfId="0" applyNumberFormat="1" applyFont="1" applyFill="1" applyBorder="1" applyAlignment="1">
      <alignment horizontal="right" vertical="center" wrapText="1"/>
    </xf>
    <xf numFmtId="3" fontId="7" fillId="11" borderId="24" xfId="0" applyNumberFormat="1" applyFont="1" applyFill="1" applyBorder="1" applyAlignment="1">
      <alignment horizontal="right" vertical="center" wrapText="1"/>
    </xf>
    <xf numFmtId="3" fontId="9" fillId="11" borderId="58" xfId="0" applyNumberFormat="1" applyFont="1" applyFill="1" applyBorder="1" applyAlignment="1">
      <alignment horizontal="right" vertical="center" wrapText="1"/>
    </xf>
    <xf numFmtId="3" fontId="7" fillId="11" borderId="44" xfId="0" applyNumberFormat="1" applyFont="1" applyFill="1" applyBorder="1" applyAlignment="1">
      <alignment horizontal="right" vertical="center" wrapText="1"/>
    </xf>
    <xf numFmtId="49" fontId="7" fillId="11" borderId="27" xfId="0" applyNumberFormat="1" applyFont="1" applyFill="1" applyBorder="1" applyAlignment="1">
      <alignment horizontal="center" vertical="center" wrapText="1"/>
    </xf>
    <xf numFmtId="49" fontId="9" fillId="11" borderId="32" xfId="0" applyNumberFormat="1" applyFont="1" applyFill="1" applyBorder="1" applyAlignment="1">
      <alignment horizontal="center" vertical="center" wrapText="1" shrinkToFit="1"/>
    </xf>
    <xf numFmtId="0" fontId="47" fillId="11" borderId="26" xfId="0" applyFont="1" applyFill="1" applyBorder="1" applyAlignment="1">
      <alignment horizontal="center" vertical="center" wrapText="1"/>
    </xf>
    <xf numFmtId="2" fontId="8" fillId="11" borderId="26" xfId="0" applyNumberFormat="1" applyFont="1" applyFill="1" applyBorder="1" applyAlignment="1">
      <alignment horizontal="center" vertical="center" wrapText="1"/>
    </xf>
    <xf numFmtId="3" fontId="7" fillId="11" borderId="47" xfId="0" applyNumberFormat="1" applyFont="1" applyFill="1" applyBorder="1" applyAlignment="1">
      <alignment horizontal="right" vertical="center" wrapText="1"/>
    </xf>
    <xf numFmtId="3" fontId="7" fillId="11" borderId="20" xfId="0" applyNumberFormat="1" applyFont="1" applyFill="1" applyBorder="1" applyAlignment="1">
      <alignment horizontal="right" vertical="center" wrapText="1"/>
    </xf>
    <xf numFmtId="3" fontId="7" fillId="11" borderId="41" xfId="0" applyNumberFormat="1" applyFont="1" applyFill="1" applyBorder="1" applyAlignment="1">
      <alignment horizontal="right" vertical="center" wrapText="1"/>
    </xf>
    <xf numFmtId="3" fontId="7" fillId="8" borderId="26" xfId="0" applyNumberFormat="1" applyFont="1" applyFill="1" applyBorder="1" applyAlignment="1">
      <alignment horizontal="right" vertical="center" wrapText="1"/>
    </xf>
    <xf numFmtId="3" fontId="7" fillId="11" borderId="37" xfId="0" applyNumberFormat="1" applyFont="1" applyFill="1" applyBorder="1" applyAlignment="1">
      <alignment horizontal="right" vertical="center" wrapText="1"/>
    </xf>
    <xf numFmtId="1" fontId="7" fillId="11" borderId="26" xfId="0" applyNumberFormat="1" applyFont="1" applyFill="1" applyBorder="1" applyAlignment="1">
      <alignment horizontal="right" vertical="center" wrapText="1"/>
    </xf>
    <xf numFmtId="3" fontId="7" fillId="11" borderId="31" xfId="0" applyNumberFormat="1" applyFont="1" applyFill="1" applyBorder="1" applyAlignment="1">
      <alignment horizontal="right" vertical="center" wrapText="1"/>
    </xf>
    <xf numFmtId="3" fontId="7" fillId="11" borderId="32" xfId="0" applyNumberFormat="1" applyFont="1" applyFill="1" applyBorder="1" applyAlignment="1">
      <alignment horizontal="right" vertical="center" wrapText="1"/>
    </xf>
    <xf numFmtId="3" fontId="9" fillId="11" borderId="47" xfId="0" applyNumberFormat="1" applyFont="1" applyFill="1" applyBorder="1" applyAlignment="1">
      <alignment horizontal="right" vertical="center" wrapText="1"/>
    </xf>
    <xf numFmtId="3" fontId="7" fillId="11" borderId="36" xfId="0" applyNumberFormat="1" applyFont="1" applyFill="1" applyBorder="1" applyAlignment="1">
      <alignment horizontal="right" vertical="center" wrapText="1"/>
    </xf>
    <xf numFmtId="49" fontId="7" fillId="11" borderId="37" xfId="0" applyNumberFormat="1" applyFont="1" applyFill="1" applyBorder="1" applyAlignment="1">
      <alignment horizontal="center" vertical="center" wrapText="1"/>
    </xf>
    <xf numFmtId="1" fontId="14" fillId="0" borderId="22" xfId="1" applyNumberFormat="1" applyFont="1" applyFill="1" applyBorder="1" applyAlignment="1">
      <alignment vertical="center" wrapText="1"/>
    </xf>
    <xf numFmtId="0" fontId="15" fillId="0" borderId="14" xfId="0" applyFont="1" applyFill="1" applyBorder="1" applyAlignment="1">
      <alignment horizontal="center" wrapText="1"/>
    </xf>
    <xf numFmtId="3" fontId="7" fillId="5" borderId="47" xfId="0" applyNumberFormat="1" applyFont="1" applyFill="1" applyBorder="1" applyAlignment="1">
      <alignment horizontal="right" vertical="center"/>
    </xf>
    <xf numFmtId="3" fontId="7" fillId="5" borderId="44" xfId="0" applyNumberFormat="1" applyFont="1" applyFill="1" applyBorder="1" applyAlignment="1">
      <alignment horizontal="right" vertical="center"/>
    </xf>
    <xf numFmtId="3" fontId="7" fillId="5" borderId="36" xfId="0" applyNumberFormat="1" applyFont="1" applyFill="1" applyBorder="1" applyAlignment="1">
      <alignment horizontal="right" vertical="center"/>
    </xf>
    <xf numFmtId="3" fontId="7" fillId="5" borderId="31" xfId="0" applyNumberFormat="1" applyFont="1" applyFill="1" applyBorder="1" applyAlignment="1">
      <alignment horizontal="right" vertical="center"/>
    </xf>
    <xf numFmtId="3" fontId="16" fillId="23" borderId="24" xfId="0" applyNumberFormat="1" applyFont="1" applyFill="1" applyBorder="1" applyAlignment="1">
      <alignment horizontal="right" vertical="center" wrapText="1"/>
    </xf>
    <xf numFmtId="3" fontId="17" fillId="8" borderId="23" xfId="0" applyNumberFormat="1" applyFont="1" applyFill="1" applyBorder="1" applyAlignment="1">
      <alignment horizontal="right" vertical="center" wrapText="1"/>
    </xf>
    <xf numFmtId="3" fontId="17" fillId="23" borderId="26" xfId="0" applyNumberFormat="1" applyFont="1" applyFill="1" applyBorder="1" applyAlignment="1">
      <alignment horizontal="right" vertical="center" wrapText="1"/>
    </xf>
    <xf numFmtId="3" fontId="16" fillId="0" borderId="31" xfId="0" applyNumberFormat="1" applyFont="1" applyFill="1" applyBorder="1" applyAlignment="1">
      <alignment horizontal="right" vertical="center"/>
    </xf>
    <xf numFmtId="3" fontId="16" fillId="0" borderId="47" xfId="0" applyNumberFormat="1" applyFont="1" applyFill="1" applyBorder="1" applyAlignment="1">
      <alignment horizontal="right" vertical="center"/>
    </xf>
    <xf numFmtId="3" fontId="16" fillId="0" borderId="44" xfId="0" applyNumberFormat="1" applyFont="1" applyFill="1" applyBorder="1" applyAlignment="1">
      <alignment horizontal="right" vertical="center"/>
    </xf>
    <xf numFmtId="3" fontId="16" fillId="0" borderId="36" xfId="0" applyNumberFormat="1" applyFont="1" applyFill="1" applyBorder="1" applyAlignment="1">
      <alignment horizontal="right" vertical="center"/>
    </xf>
    <xf numFmtId="3" fontId="16" fillId="0" borderId="37" xfId="0" applyNumberFormat="1" applyFont="1" applyFill="1" applyBorder="1" applyAlignment="1">
      <alignment horizontal="right" vertical="center"/>
    </xf>
    <xf numFmtId="49" fontId="12" fillId="0" borderId="18"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59" fillId="0" borderId="12" xfId="0" applyFont="1" applyFill="1" applyBorder="1" applyAlignment="1">
      <alignment horizontal="center" vertical="center" wrapText="1"/>
    </xf>
    <xf numFmtId="3" fontId="12" fillId="0" borderId="18" xfId="0" applyNumberFormat="1" applyFont="1" applyFill="1" applyBorder="1" applyAlignment="1">
      <alignment horizontal="right" vertical="center"/>
    </xf>
    <xf numFmtId="3" fontId="11" fillId="0" borderId="18" xfId="0" applyNumberFormat="1" applyFont="1" applyFill="1" applyBorder="1" applyAlignment="1">
      <alignment vertical="center" wrapText="1"/>
    </xf>
    <xf numFmtId="3" fontId="11" fillId="0" borderId="70" xfId="0" applyNumberFormat="1" applyFont="1" applyFill="1" applyBorder="1" applyAlignment="1">
      <alignment vertical="center" wrapText="1"/>
    </xf>
    <xf numFmtId="3" fontId="11" fillId="0" borderId="71" xfId="0" applyNumberFormat="1" applyFont="1" applyFill="1" applyBorder="1" applyAlignment="1">
      <alignment vertical="center" wrapText="1"/>
    </xf>
    <xf numFmtId="3" fontId="11" fillId="0" borderId="16" xfId="0" applyNumberFormat="1" applyFont="1" applyFill="1" applyBorder="1" applyAlignment="1">
      <alignment vertical="center" wrapText="1"/>
    </xf>
    <xf numFmtId="3" fontId="11" fillId="23" borderId="16" xfId="0" applyNumberFormat="1" applyFont="1" applyFill="1" applyBorder="1" applyAlignment="1">
      <alignment horizontal="right" vertical="center" wrapText="1"/>
    </xf>
    <xf numFmtId="3" fontId="12" fillId="8" borderId="14" xfId="0" applyNumberFormat="1" applyFont="1" applyFill="1" applyBorder="1" applyAlignment="1">
      <alignment horizontal="right" vertical="center" wrapText="1"/>
    </xf>
    <xf numFmtId="3" fontId="12" fillId="23" borderId="14" xfId="0" applyNumberFormat="1" applyFont="1" applyFill="1" applyBorder="1" applyAlignment="1">
      <alignment horizontal="right" vertical="center" wrapText="1"/>
    </xf>
    <xf numFmtId="3" fontId="11" fillId="0" borderId="5" xfId="0" applyNumberFormat="1" applyFont="1" applyFill="1" applyBorder="1" applyAlignment="1">
      <alignment horizontal="right" vertical="center"/>
    </xf>
    <xf numFmtId="3" fontId="11" fillId="0" borderId="18" xfId="0" applyNumberFormat="1" applyFont="1" applyFill="1" applyBorder="1" applyAlignment="1">
      <alignment horizontal="right" vertical="center"/>
    </xf>
    <xf numFmtId="3" fontId="11" fillId="0" borderId="56" xfId="0" applyNumberFormat="1" applyFont="1" applyFill="1" applyBorder="1" applyAlignment="1">
      <alignment vertical="center" wrapText="1"/>
    </xf>
    <xf numFmtId="3" fontId="11" fillId="0" borderId="5" xfId="0" applyNumberFormat="1" applyFont="1" applyFill="1" applyBorder="1" applyAlignment="1">
      <alignment vertical="center"/>
    </xf>
    <xf numFmtId="3" fontId="11" fillId="0" borderId="55" xfId="0" applyNumberFormat="1" applyFont="1" applyFill="1" applyBorder="1" applyAlignment="1">
      <alignment horizontal="right" vertical="center"/>
    </xf>
    <xf numFmtId="3" fontId="11" fillId="0" borderId="38" xfId="0" applyNumberFormat="1" applyFont="1" applyFill="1" applyBorder="1" applyAlignment="1">
      <alignment horizontal="right" vertical="center"/>
    </xf>
    <xf numFmtId="49" fontId="11" fillId="0" borderId="1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3" fontId="17" fillId="0" borderId="25" xfId="0" applyNumberFormat="1" applyFont="1" applyFill="1" applyBorder="1" applyAlignment="1">
      <alignment horizontal="right" vertical="center"/>
    </xf>
    <xf numFmtId="3" fontId="16" fillId="0" borderId="23" xfId="0" applyNumberFormat="1" applyFont="1" applyFill="1" applyBorder="1" applyAlignment="1">
      <alignment horizontal="right" vertical="center"/>
    </xf>
    <xf numFmtId="3" fontId="16" fillId="0" borderId="58" xfId="0" applyNumberFormat="1" applyFont="1" applyFill="1" applyBorder="1" applyAlignment="1">
      <alignment horizontal="right" vertical="center"/>
    </xf>
    <xf numFmtId="3" fontId="16" fillId="0" borderId="27" xfId="0" applyNumberFormat="1" applyFont="1" applyFill="1" applyBorder="1" applyAlignment="1">
      <alignment horizontal="right" vertical="center"/>
    </xf>
    <xf numFmtId="3" fontId="13" fillId="5" borderId="20" xfId="0" applyNumberFormat="1" applyFont="1" applyFill="1" applyBorder="1" applyAlignment="1">
      <alignment horizontal="right" vertical="center"/>
    </xf>
    <xf numFmtId="3" fontId="13" fillId="5" borderId="47" xfId="0" applyNumberFormat="1" applyFont="1" applyFill="1" applyBorder="1" applyAlignment="1">
      <alignment vertical="center"/>
    </xf>
    <xf numFmtId="3" fontId="13" fillId="5" borderId="20" xfId="0" applyNumberFormat="1" applyFont="1" applyFill="1" applyBorder="1" applyAlignment="1">
      <alignment vertical="center"/>
    </xf>
    <xf numFmtId="3" fontId="13" fillId="5" borderId="44" xfId="0" applyNumberFormat="1" applyFont="1" applyFill="1" applyBorder="1" applyAlignment="1">
      <alignment vertical="center"/>
    </xf>
    <xf numFmtId="49" fontId="9" fillId="5" borderId="25" xfId="0" applyNumberFormat="1" applyFont="1" applyFill="1" applyBorder="1" applyAlignment="1">
      <alignment horizontal="center" vertical="center" wrapText="1"/>
    </xf>
    <xf numFmtId="0" fontId="7" fillId="5" borderId="31" xfId="0" applyFont="1" applyFill="1" applyBorder="1" applyAlignment="1">
      <alignment horizontal="center" wrapText="1"/>
    </xf>
    <xf numFmtId="3" fontId="9" fillId="5" borderId="37" xfId="0" applyNumberFormat="1" applyFont="1" applyFill="1" applyBorder="1" applyAlignment="1">
      <alignment horizontal="right" vertical="center"/>
    </xf>
    <xf numFmtId="3" fontId="7" fillId="5" borderId="26" xfId="0" applyNumberFormat="1" applyFont="1" applyFill="1" applyBorder="1" applyAlignment="1">
      <alignment horizontal="right" vertical="center" wrapText="1"/>
    </xf>
    <xf numFmtId="3" fontId="7" fillId="5" borderId="37" xfId="0" applyNumberFormat="1" applyFont="1" applyFill="1" applyBorder="1" applyAlignment="1">
      <alignment horizontal="right" vertical="center" wrapText="1"/>
    </xf>
    <xf numFmtId="3" fontId="7" fillId="5" borderId="47" xfId="0" applyNumberFormat="1" applyFont="1" applyFill="1" applyBorder="1" applyAlignment="1">
      <alignment vertical="center"/>
    </xf>
    <xf numFmtId="0" fontId="7" fillId="5" borderId="36" xfId="0" applyFont="1" applyFill="1" applyBorder="1" applyAlignment="1">
      <alignment horizontal="center" vertical="center" wrapText="1"/>
    </xf>
    <xf numFmtId="49" fontId="12" fillId="5" borderId="25" xfId="0" applyNumberFormat="1" applyFont="1" applyFill="1" applyBorder="1" applyAlignment="1">
      <alignment horizontal="center" vertical="center" wrapText="1"/>
    </xf>
    <xf numFmtId="3" fontId="12" fillId="5" borderId="37" xfId="0" applyNumberFormat="1" applyFont="1" applyFill="1" applyBorder="1" applyAlignment="1">
      <alignment horizontal="right" vertical="center"/>
    </xf>
    <xf numFmtId="3" fontId="11" fillId="5" borderId="37" xfId="0" applyNumberFormat="1" applyFont="1" applyFill="1" applyBorder="1" applyAlignment="1">
      <alignment horizontal="right" vertical="center" wrapText="1"/>
    </xf>
    <xf numFmtId="3" fontId="11" fillId="5" borderId="37" xfId="0" applyNumberFormat="1" applyFont="1" applyFill="1" applyBorder="1" applyAlignment="1">
      <alignment horizontal="right" vertical="center"/>
    </xf>
    <xf numFmtId="3" fontId="11" fillId="5" borderId="47" xfId="0" applyNumberFormat="1" applyFont="1" applyFill="1" applyBorder="1" applyAlignment="1">
      <alignment horizontal="right" vertical="center"/>
    </xf>
    <xf numFmtId="3" fontId="11" fillId="5" borderId="20" xfId="0" applyNumberFormat="1" applyFont="1" applyFill="1" applyBorder="1" applyAlignment="1">
      <alignment horizontal="right" vertical="center"/>
    </xf>
    <xf numFmtId="3" fontId="11" fillId="5" borderId="47" xfId="0" applyNumberFormat="1" applyFont="1" applyFill="1" applyBorder="1" applyAlignment="1">
      <alignment vertical="center"/>
    </xf>
    <xf numFmtId="3" fontId="11" fillId="5" borderId="44" xfId="0" applyNumberFormat="1" applyFont="1" applyFill="1" applyBorder="1" applyAlignment="1">
      <alignment vertical="center"/>
    </xf>
    <xf numFmtId="49" fontId="11" fillId="5" borderId="37" xfId="0" applyNumberFormat="1" applyFont="1" applyFill="1" applyBorder="1" applyAlignment="1">
      <alignment horizontal="center" vertical="center" wrapText="1"/>
    </xf>
    <xf numFmtId="0" fontId="11" fillId="5" borderId="36" xfId="0" applyFont="1" applyFill="1" applyBorder="1" applyAlignment="1">
      <alignment horizontal="center" vertical="center" wrapText="1"/>
    </xf>
    <xf numFmtId="3" fontId="14" fillId="5" borderId="37" xfId="0" applyNumberFormat="1" applyFont="1" applyFill="1" applyBorder="1" applyAlignment="1">
      <alignment horizontal="right" vertical="center"/>
    </xf>
    <xf numFmtId="49" fontId="9" fillId="11" borderId="25" xfId="0" applyNumberFormat="1" applyFont="1" applyFill="1" applyBorder="1" applyAlignment="1">
      <alignment horizontal="center" vertical="center" wrapText="1"/>
    </xf>
    <xf numFmtId="0" fontId="8" fillId="11" borderId="26" xfId="0" applyFont="1" applyFill="1" applyBorder="1" applyAlignment="1">
      <alignment horizontal="center" vertical="center" wrapText="1"/>
    </xf>
    <xf numFmtId="3" fontId="9" fillId="11" borderId="37" xfId="0" applyNumberFormat="1" applyFont="1" applyFill="1" applyBorder="1" applyAlignment="1">
      <alignment horizontal="right" vertical="center"/>
    </xf>
    <xf numFmtId="3" fontId="9" fillId="11" borderId="26" xfId="0" applyNumberFormat="1" applyFont="1" applyFill="1" applyBorder="1" applyAlignment="1">
      <alignment horizontal="right" vertical="center" wrapText="1"/>
    </xf>
    <xf numFmtId="3" fontId="7" fillId="11" borderId="26" xfId="0" applyNumberFormat="1" applyFont="1" applyFill="1" applyBorder="1" applyAlignment="1">
      <alignment horizontal="right" vertical="center"/>
    </xf>
    <xf numFmtId="3" fontId="7" fillId="11" borderId="37" xfId="0" applyNumberFormat="1" applyFont="1" applyFill="1" applyBorder="1" applyAlignment="1">
      <alignment horizontal="right" vertical="center"/>
    </xf>
    <xf numFmtId="3" fontId="7" fillId="11" borderId="47" xfId="0" applyNumberFormat="1" applyFont="1" applyFill="1" applyBorder="1" applyAlignment="1">
      <alignment horizontal="right" vertical="center"/>
    </xf>
    <xf numFmtId="3" fontId="7" fillId="11" borderId="20" xfId="0" applyNumberFormat="1" applyFont="1" applyFill="1" applyBorder="1" applyAlignment="1">
      <alignment horizontal="right" vertical="center"/>
    </xf>
    <xf numFmtId="3" fontId="7" fillId="11" borderId="44" xfId="0" applyNumberFormat="1" applyFont="1" applyFill="1" applyBorder="1" applyAlignment="1">
      <alignment horizontal="right" vertical="center"/>
    </xf>
    <xf numFmtId="3" fontId="7" fillId="11" borderId="36" xfId="0" applyNumberFormat="1" applyFont="1" applyFill="1" applyBorder="1" applyAlignment="1">
      <alignment horizontal="right" vertical="center"/>
    </xf>
    <xf numFmtId="0" fontId="7" fillId="11" borderId="25" xfId="0" applyFont="1" applyFill="1" applyBorder="1" applyAlignment="1">
      <alignment horizontal="center" vertical="center" wrapText="1"/>
    </xf>
    <xf numFmtId="0" fontId="8" fillId="11" borderId="23" xfId="0" applyFont="1" applyFill="1" applyBorder="1" applyAlignment="1">
      <alignment horizontal="center" vertical="center" wrapText="1"/>
    </xf>
    <xf numFmtId="3" fontId="9" fillId="11" borderId="27" xfId="0" applyNumberFormat="1" applyFont="1" applyFill="1" applyBorder="1" applyAlignment="1">
      <alignment horizontal="right" vertical="center"/>
    </xf>
    <xf numFmtId="3" fontId="9" fillId="11" borderId="23" xfId="0" applyNumberFormat="1" applyFont="1" applyFill="1" applyBorder="1" applyAlignment="1">
      <alignment horizontal="right" vertical="center" wrapText="1"/>
    </xf>
    <xf numFmtId="3" fontId="7" fillId="11" borderId="27" xfId="0" applyNumberFormat="1" applyFont="1" applyFill="1" applyBorder="1" applyAlignment="1">
      <alignment horizontal="right" vertical="center"/>
    </xf>
    <xf numFmtId="3" fontId="7" fillId="11" borderId="58" xfId="0" applyNumberFormat="1" applyFont="1" applyFill="1" applyBorder="1" applyAlignment="1">
      <alignment horizontal="right" vertical="center"/>
    </xf>
    <xf numFmtId="3" fontId="7" fillId="11" borderId="21" xfId="0" applyNumberFormat="1" applyFont="1" applyFill="1" applyBorder="1" applyAlignment="1">
      <alignment horizontal="right" vertical="center"/>
    </xf>
    <xf numFmtId="49" fontId="7" fillId="11" borderId="44" xfId="0" applyNumberFormat="1" applyFont="1" applyFill="1" applyBorder="1" applyAlignment="1">
      <alignment horizontal="center" vertical="center" wrapText="1"/>
    </xf>
    <xf numFmtId="0" fontId="7" fillId="0" borderId="15" xfId="0" applyFont="1" applyFill="1" applyBorder="1" applyAlignment="1">
      <alignment horizontal="center" wrapText="1"/>
    </xf>
    <xf numFmtId="3" fontId="9" fillId="0" borderId="19" xfId="0" applyNumberFormat="1" applyFont="1" applyFill="1" applyBorder="1" applyAlignment="1">
      <alignment horizontal="right" vertical="center"/>
    </xf>
    <xf numFmtId="3" fontId="7" fillId="23" borderId="13" xfId="0" applyNumberFormat="1" applyFont="1" applyFill="1" applyBorder="1" applyAlignment="1">
      <alignment horizontal="right" vertical="center"/>
    </xf>
    <xf numFmtId="3" fontId="7" fillId="8" borderId="19" xfId="0" applyNumberFormat="1" applyFont="1" applyFill="1" applyBorder="1" applyAlignment="1">
      <alignment horizontal="right" vertical="center" wrapText="1"/>
    </xf>
    <xf numFmtId="49" fontId="7" fillId="0" borderId="54" xfId="0" applyNumberFormat="1" applyFont="1" applyFill="1" applyBorder="1" applyAlignment="1">
      <alignment horizontal="center" vertical="center" wrapText="1"/>
    </xf>
    <xf numFmtId="0" fontId="59" fillId="0" borderId="26" xfId="1" applyFont="1" applyFill="1" applyBorder="1" applyAlignment="1">
      <alignment horizontal="center" vertical="center" wrapText="1"/>
    </xf>
    <xf numFmtId="3" fontId="12" fillId="0" borderId="23" xfId="1" applyNumberFormat="1" applyFont="1" applyFill="1" applyBorder="1" applyAlignment="1">
      <alignment horizontal="right" vertical="center" wrapText="1"/>
    </xf>
    <xf numFmtId="3" fontId="11" fillId="0" borderId="63" xfId="0" applyNumberFormat="1" applyFont="1" applyFill="1" applyBorder="1" applyAlignment="1">
      <alignment vertical="center" wrapText="1"/>
    </xf>
    <xf numFmtId="3" fontId="11" fillId="0" borderId="50" xfId="0" applyNumberFormat="1" applyFont="1" applyFill="1" applyBorder="1" applyAlignment="1">
      <alignment vertical="center" wrapText="1"/>
    </xf>
    <xf numFmtId="3" fontId="11" fillId="0" borderId="64" xfId="0" applyNumberFormat="1" applyFont="1" applyFill="1" applyBorder="1" applyAlignment="1">
      <alignment vertical="center" wrapText="1"/>
    </xf>
    <xf numFmtId="3" fontId="11" fillId="0" borderId="46" xfId="0" applyNumberFormat="1" applyFont="1" applyFill="1" applyBorder="1" applyAlignment="1">
      <alignment vertical="center" wrapText="1"/>
    </xf>
    <xf numFmtId="3" fontId="11" fillId="23" borderId="2" xfId="0" applyNumberFormat="1" applyFont="1" applyFill="1" applyBorder="1" applyAlignment="1">
      <alignment horizontal="right" vertical="center" wrapText="1"/>
    </xf>
    <xf numFmtId="3" fontId="11" fillId="0" borderId="2" xfId="0" applyNumberFormat="1" applyFont="1" applyFill="1" applyBorder="1" applyAlignment="1">
      <alignment horizontal="right" vertical="center" wrapText="1"/>
    </xf>
    <xf numFmtId="3" fontId="11" fillId="0" borderId="50" xfId="0" applyNumberFormat="1" applyFont="1" applyFill="1" applyBorder="1" applyAlignment="1">
      <alignment horizontal="right" vertical="center" wrapText="1"/>
    </xf>
    <xf numFmtId="3" fontId="11" fillId="0" borderId="53" xfId="0" applyNumberFormat="1" applyFont="1" applyFill="1" applyBorder="1" applyAlignment="1">
      <alignment horizontal="right" vertical="center" wrapText="1"/>
    </xf>
    <xf numFmtId="3" fontId="11" fillId="0" borderId="9" xfId="0" applyNumberFormat="1" applyFont="1" applyFill="1" applyBorder="1" applyAlignment="1">
      <alignment horizontal="right" vertical="center" wrapText="1"/>
    </xf>
    <xf numFmtId="0" fontId="11" fillId="0" borderId="20" xfId="0"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0" fontId="47" fillId="5" borderId="24" xfId="0" applyFont="1" applyFill="1" applyBorder="1" applyAlignment="1">
      <alignment horizontal="center" vertical="center" wrapText="1"/>
    </xf>
    <xf numFmtId="3" fontId="7" fillId="5" borderId="47" xfId="0" applyNumberFormat="1" applyFont="1" applyFill="1" applyBorder="1" applyAlignment="1">
      <alignment horizontal="center" vertical="center" wrapText="1"/>
    </xf>
    <xf numFmtId="3" fontId="7" fillId="5" borderId="42" xfId="0" applyNumberFormat="1" applyFont="1" applyFill="1" applyBorder="1" applyAlignment="1">
      <alignment horizontal="right" vertical="center" wrapText="1"/>
    </xf>
    <xf numFmtId="3" fontId="7" fillId="5" borderId="41" xfId="0" applyNumberFormat="1" applyFont="1" applyFill="1" applyBorder="1" applyAlignment="1">
      <alignment vertical="center" wrapText="1"/>
    </xf>
    <xf numFmtId="49" fontId="7" fillId="5" borderId="20" xfId="0" applyNumberFormat="1" applyFont="1" applyFill="1" applyBorder="1" applyAlignment="1">
      <alignment horizontal="center" vertical="center" wrapText="1"/>
    </xf>
    <xf numFmtId="3" fontId="9" fillId="5" borderId="36" xfId="1" applyNumberFormat="1" applyFont="1" applyFill="1" applyBorder="1" applyAlignment="1">
      <alignment vertical="center" wrapText="1"/>
    </xf>
    <xf numFmtId="3" fontId="9" fillId="5" borderId="20" xfId="0" applyNumberFormat="1" applyFont="1" applyFill="1" applyBorder="1" applyAlignment="1">
      <alignment horizontal="right" vertical="center" wrapText="1"/>
    </xf>
    <xf numFmtId="0" fontId="40" fillId="0" borderId="45" xfId="0" applyFont="1" applyFill="1" applyBorder="1" applyAlignment="1">
      <alignment horizontal="center" vertical="center" wrapText="1"/>
    </xf>
    <xf numFmtId="0" fontId="46" fillId="0" borderId="13" xfId="1" applyFont="1" applyFill="1" applyBorder="1" applyAlignment="1">
      <alignment horizontal="center" vertical="center" wrapText="1"/>
    </xf>
    <xf numFmtId="3" fontId="15" fillId="0" borderId="17" xfId="0" applyNumberFormat="1" applyFont="1" applyFill="1" applyBorder="1" applyAlignment="1">
      <alignment vertical="center" wrapText="1"/>
    </xf>
    <xf numFmtId="3" fontId="15" fillId="23" borderId="14" xfId="0" applyNumberFormat="1" applyFont="1" applyFill="1" applyBorder="1" applyAlignment="1">
      <alignment horizontal="right" vertical="center" wrapText="1"/>
    </xf>
    <xf numFmtId="3" fontId="29" fillId="8" borderId="14" xfId="0" applyNumberFormat="1" applyFont="1" applyFill="1" applyBorder="1" applyAlignment="1">
      <alignment horizontal="right" vertical="center" wrapText="1"/>
    </xf>
    <xf numFmtId="3" fontId="15" fillId="0" borderId="15" xfId="0" applyNumberFormat="1" applyFont="1" applyFill="1" applyBorder="1" applyAlignment="1">
      <alignment vertical="center" wrapText="1"/>
    </xf>
    <xf numFmtId="3" fontId="15" fillId="0" borderId="62" xfId="0" applyNumberFormat="1" applyFont="1" applyFill="1" applyBorder="1" applyAlignment="1">
      <alignment horizontal="right" vertical="center" wrapText="1"/>
    </xf>
    <xf numFmtId="3" fontId="15" fillId="0" borderId="48" xfId="0" applyNumberFormat="1" applyFont="1" applyFill="1" applyBorder="1" applyAlignment="1">
      <alignment horizontal="right" vertical="center" wrapText="1"/>
    </xf>
    <xf numFmtId="3" fontId="15" fillId="0" borderId="54" xfId="0" applyNumberFormat="1" applyFont="1" applyFill="1" applyBorder="1" applyAlignment="1">
      <alignment horizontal="right" vertical="center" wrapText="1"/>
    </xf>
    <xf numFmtId="4" fontId="15" fillId="0" borderId="45" xfId="0" applyNumberFormat="1" applyFont="1" applyFill="1" applyBorder="1" applyAlignment="1">
      <alignment horizontal="center" vertical="center" wrapText="1"/>
    </xf>
    <xf numFmtId="3" fontId="7" fillId="5" borderId="51" xfId="0" applyNumberFormat="1" applyFont="1" applyFill="1" applyBorder="1" applyAlignment="1">
      <alignment horizontal="right" vertical="center" wrapText="1"/>
    </xf>
    <xf numFmtId="0" fontId="7" fillId="5" borderId="27" xfId="1" applyFont="1" applyFill="1" applyBorder="1" applyAlignment="1">
      <alignment horizontal="center" vertical="center" wrapText="1"/>
    </xf>
    <xf numFmtId="3" fontId="9" fillId="5" borderId="63" xfId="1" applyNumberFormat="1" applyFont="1" applyFill="1" applyBorder="1" applyAlignment="1">
      <alignment vertical="center" wrapText="1"/>
    </xf>
    <xf numFmtId="3" fontId="7" fillId="5" borderId="63" xfId="0" applyNumberFormat="1" applyFont="1" applyFill="1" applyBorder="1" applyAlignment="1">
      <alignment vertical="center" wrapText="1"/>
    </xf>
    <xf numFmtId="3" fontId="7" fillId="5" borderId="64" xfId="0" applyNumberFormat="1" applyFont="1" applyFill="1" applyBorder="1" applyAlignment="1">
      <alignment vertical="center" wrapText="1"/>
    </xf>
    <xf numFmtId="3" fontId="7" fillId="5" borderId="9" xfId="0" applyNumberFormat="1" applyFont="1" applyFill="1" applyBorder="1" applyAlignment="1">
      <alignment vertical="center" wrapText="1"/>
    </xf>
    <xf numFmtId="3" fontId="7" fillId="5" borderId="53" xfId="0" applyNumberFormat="1" applyFont="1" applyFill="1" applyBorder="1" applyAlignment="1">
      <alignment horizontal="right" vertical="center" wrapText="1"/>
    </xf>
    <xf numFmtId="0" fontId="11" fillId="0" borderId="37" xfId="1" applyFont="1" applyFill="1" applyBorder="1" applyAlignment="1">
      <alignment horizontal="center" vertical="center" wrapText="1"/>
    </xf>
    <xf numFmtId="3" fontId="11" fillId="23" borderId="24" xfId="0" applyNumberFormat="1" applyFont="1" applyFill="1" applyBorder="1" applyAlignment="1">
      <alignment horizontal="right" vertical="center" wrapText="1"/>
    </xf>
    <xf numFmtId="3" fontId="12" fillId="0" borderId="20" xfId="0" applyNumberFormat="1" applyFont="1" applyFill="1" applyBorder="1" applyAlignment="1">
      <alignment vertical="center" wrapText="1"/>
    </xf>
    <xf numFmtId="3" fontId="12" fillId="0" borderId="47" xfId="0" applyNumberFormat="1" applyFont="1" applyFill="1" applyBorder="1" applyAlignment="1">
      <alignment horizontal="right" vertical="center" wrapText="1"/>
    </xf>
    <xf numFmtId="3" fontId="12" fillId="0" borderId="21" xfId="0" applyNumberFormat="1" applyFont="1" applyFill="1" applyBorder="1" applyAlignment="1">
      <alignment horizontal="right" vertical="center" wrapText="1"/>
    </xf>
    <xf numFmtId="3" fontId="12" fillId="0" borderId="36" xfId="0" applyNumberFormat="1" applyFont="1" applyFill="1" applyBorder="1" applyAlignment="1">
      <alignment horizontal="right" vertical="center" wrapText="1"/>
    </xf>
    <xf numFmtId="3" fontId="12" fillId="0" borderId="32" xfId="0" applyNumberFormat="1" applyFont="1" applyFill="1" applyBorder="1" applyAlignment="1">
      <alignment horizontal="right" vertical="center" wrapText="1"/>
    </xf>
    <xf numFmtId="3" fontId="9" fillId="0" borderId="70" xfId="1" applyNumberFormat="1" applyFont="1" applyFill="1" applyBorder="1" applyAlignment="1">
      <alignment vertical="center" wrapText="1"/>
    </xf>
    <xf numFmtId="49" fontId="12" fillId="0" borderId="33" xfId="0" applyNumberFormat="1" applyFont="1" applyFill="1" applyBorder="1" applyAlignment="1">
      <alignment horizontal="center" vertical="center" wrapText="1" shrinkToFit="1"/>
    </xf>
    <xf numFmtId="49" fontId="12" fillId="0" borderId="13" xfId="0" applyNumberFormat="1" applyFont="1" applyFill="1" applyBorder="1" applyAlignment="1">
      <alignment horizontal="center" vertical="center" wrapText="1"/>
    </xf>
    <xf numFmtId="49" fontId="12" fillId="0" borderId="45" xfId="0" applyNumberFormat="1" applyFont="1" applyFill="1" applyBorder="1" applyAlignment="1">
      <alignment horizontal="center" vertical="center" wrapText="1" shrinkToFit="1"/>
    </xf>
    <xf numFmtId="0" fontId="11" fillId="0" borderId="45" xfId="1" applyFont="1" applyFill="1" applyBorder="1" applyAlignment="1">
      <alignment horizontal="center" vertical="center" wrapText="1"/>
    </xf>
    <xf numFmtId="0" fontId="59" fillId="0" borderId="19" xfId="0" applyFont="1" applyFill="1" applyBorder="1" applyAlignment="1">
      <alignment horizontal="center" vertical="center" wrapText="1"/>
    </xf>
    <xf numFmtId="3" fontId="12" fillId="0" borderId="60" xfId="1" applyNumberFormat="1" applyFont="1" applyFill="1" applyBorder="1" applyAlignment="1">
      <alignment vertical="center" wrapText="1"/>
    </xf>
    <xf numFmtId="3" fontId="11" fillId="0" borderId="60" xfId="0" applyNumberFormat="1" applyFont="1" applyFill="1" applyBorder="1" applyAlignment="1">
      <alignment vertical="center" wrapText="1"/>
    </xf>
    <xf numFmtId="3" fontId="11" fillId="23" borderId="45" xfId="0" applyNumberFormat="1" applyFont="1" applyFill="1" applyBorder="1" applyAlignment="1">
      <alignment horizontal="right" vertical="center" wrapText="1"/>
    </xf>
    <xf numFmtId="3" fontId="12" fillId="8" borderId="13" xfId="0" applyNumberFormat="1" applyFont="1" applyFill="1" applyBorder="1" applyAlignment="1">
      <alignment horizontal="right" vertical="center" wrapText="1"/>
    </xf>
    <xf numFmtId="3" fontId="11" fillId="0" borderId="13" xfId="0" applyNumberFormat="1" applyFont="1" applyFill="1" applyBorder="1" applyAlignment="1">
      <alignment vertical="center" wrapText="1"/>
    </xf>
    <xf numFmtId="3" fontId="11" fillId="0" borderId="19" xfId="0" applyNumberFormat="1" applyFont="1" applyFill="1" applyBorder="1" applyAlignment="1">
      <alignment vertical="center" wrapText="1"/>
    </xf>
    <xf numFmtId="3" fontId="12" fillId="0" borderId="60" xfId="0" applyNumberFormat="1" applyFont="1" applyFill="1" applyBorder="1" applyAlignment="1">
      <alignment horizontal="right" vertical="center" wrapText="1"/>
    </xf>
    <xf numFmtId="3" fontId="12" fillId="0" borderId="48" xfId="0" applyNumberFormat="1" applyFont="1" applyFill="1" applyBorder="1" applyAlignment="1">
      <alignment horizontal="right" vertical="center" wrapText="1"/>
    </xf>
    <xf numFmtId="3" fontId="11" fillId="0" borderId="48" xfId="0" applyNumberFormat="1" applyFont="1" applyFill="1" applyBorder="1" applyAlignment="1">
      <alignment horizontal="right" vertical="center" wrapText="1"/>
    </xf>
    <xf numFmtId="3" fontId="12" fillId="0" borderId="54" xfId="0" applyNumberFormat="1" applyFont="1" applyFill="1" applyBorder="1" applyAlignment="1">
      <alignment horizontal="right" vertical="center" wrapText="1"/>
    </xf>
    <xf numFmtId="3" fontId="12" fillId="0" borderId="45" xfId="0" applyNumberFormat="1" applyFont="1" applyFill="1" applyBorder="1" applyAlignment="1">
      <alignment horizontal="right" vertical="center" wrapText="1"/>
    </xf>
    <xf numFmtId="3" fontId="11" fillId="0" borderId="45"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3" fontId="9" fillId="0" borderId="68" xfId="1" applyNumberFormat="1" applyFont="1" applyFill="1" applyBorder="1" applyAlignment="1">
      <alignment vertical="center" wrapText="1"/>
    </xf>
    <xf numFmtId="49" fontId="29" fillId="0" borderId="45" xfId="0" applyNumberFormat="1" applyFont="1" applyFill="1" applyBorder="1" applyAlignment="1">
      <alignment horizontal="center" vertical="center" wrapText="1" shrinkToFit="1"/>
    </xf>
    <xf numFmtId="0" fontId="40" fillId="0" borderId="13" xfId="0" applyFont="1" applyFill="1" applyBorder="1" applyAlignment="1">
      <alignment horizontal="center" vertical="center" wrapText="1"/>
    </xf>
    <xf numFmtId="0" fontId="46" fillId="0" borderId="19" xfId="0" applyFont="1" applyFill="1" applyBorder="1" applyAlignment="1">
      <alignment horizontal="center" vertical="center" wrapText="1"/>
    </xf>
    <xf numFmtId="3" fontId="29" fillId="0" borderId="60" xfId="1" applyNumberFormat="1" applyFont="1" applyFill="1" applyBorder="1" applyAlignment="1">
      <alignment vertical="center" wrapText="1"/>
    </xf>
    <xf numFmtId="3" fontId="15" fillId="23" borderId="45" xfId="0" applyNumberFormat="1" applyFont="1" applyFill="1" applyBorder="1" applyAlignment="1">
      <alignment horizontal="right" vertical="center" wrapText="1"/>
    </xf>
    <xf numFmtId="3" fontId="29" fillId="8" borderId="13" xfId="0" applyNumberFormat="1" applyFont="1" applyFill="1" applyBorder="1" applyAlignment="1">
      <alignment horizontal="right" vertical="center" wrapText="1"/>
    </xf>
    <xf numFmtId="3" fontId="29" fillId="23" borderId="13" xfId="0" applyNumberFormat="1" applyFont="1" applyFill="1" applyBorder="1" applyAlignment="1">
      <alignment horizontal="right" vertical="center" wrapText="1"/>
    </xf>
    <xf numFmtId="3" fontId="29" fillId="0" borderId="60" xfId="0" applyNumberFormat="1" applyFont="1" applyFill="1" applyBorder="1" applyAlignment="1">
      <alignment horizontal="right" vertical="center" wrapText="1"/>
    </xf>
    <xf numFmtId="3" fontId="29" fillId="0" borderId="66" xfId="0" applyNumberFormat="1" applyFont="1" applyFill="1" applyBorder="1" applyAlignment="1">
      <alignment horizontal="right" vertical="center" wrapText="1"/>
    </xf>
    <xf numFmtId="3" fontId="15" fillId="0" borderId="66" xfId="0" applyNumberFormat="1" applyFont="1" applyFill="1" applyBorder="1" applyAlignment="1">
      <alignment horizontal="right" vertical="center" wrapText="1"/>
    </xf>
    <xf numFmtId="3" fontId="29" fillId="0" borderId="73" xfId="0" applyNumberFormat="1" applyFont="1" applyFill="1" applyBorder="1" applyAlignment="1">
      <alignment horizontal="right" vertical="center" wrapText="1"/>
    </xf>
    <xf numFmtId="3" fontId="29" fillId="0" borderId="35" xfId="0" applyNumberFormat="1" applyFont="1" applyFill="1" applyBorder="1" applyAlignment="1">
      <alignment horizontal="right" vertical="center" wrapText="1"/>
    </xf>
    <xf numFmtId="49" fontId="29" fillId="0" borderId="6" xfId="0" applyNumberFormat="1" applyFont="1" applyFill="1" applyBorder="1" applyAlignment="1">
      <alignment horizontal="center" vertical="center" wrapText="1" shrinkToFit="1"/>
    </xf>
    <xf numFmtId="0" fontId="40" fillId="0" borderId="18" xfId="0" applyFont="1" applyFill="1" applyBorder="1" applyAlignment="1">
      <alignment horizontal="center" vertical="center" wrapText="1"/>
    </xf>
    <xf numFmtId="0" fontId="46" fillId="0" borderId="5" xfId="0" applyFont="1" applyFill="1" applyBorder="1" applyAlignment="1">
      <alignment horizontal="center" vertical="center" wrapText="1"/>
    </xf>
    <xf numFmtId="3" fontId="29" fillId="0" borderId="55" xfId="1" applyNumberFormat="1" applyFont="1" applyFill="1" applyBorder="1" applyAlignment="1">
      <alignment vertical="center" wrapText="1"/>
    </xf>
    <xf numFmtId="3" fontId="15" fillId="0" borderId="55" xfId="0" applyNumberFormat="1" applyFont="1" applyFill="1" applyBorder="1" applyAlignment="1">
      <alignment vertical="center" wrapText="1"/>
    </xf>
    <xf numFmtId="3" fontId="15" fillId="23" borderId="6" xfId="0" applyNumberFormat="1" applyFont="1" applyFill="1" applyBorder="1" applyAlignment="1">
      <alignment horizontal="right" vertical="center" wrapText="1"/>
    </xf>
    <xf numFmtId="3" fontId="29" fillId="8" borderId="18" xfId="0" applyNumberFormat="1" applyFont="1" applyFill="1" applyBorder="1" applyAlignment="1">
      <alignment horizontal="right" vertical="center" wrapText="1"/>
    </xf>
    <xf numFmtId="3" fontId="29" fillId="0" borderId="55" xfId="0" applyNumberFormat="1" applyFont="1" applyFill="1" applyBorder="1" applyAlignment="1">
      <alignment horizontal="right" vertical="center" wrapText="1"/>
    </xf>
    <xf numFmtId="3" fontId="29" fillId="0" borderId="61" xfId="0" applyNumberFormat="1" applyFont="1" applyFill="1" applyBorder="1" applyAlignment="1">
      <alignment horizontal="right" vertical="center" wrapText="1"/>
    </xf>
    <xf numFmtId="3" fontId="15" fillId="0" borderId="61" xfId="0" applyNumberFormat="1" applyFont="1" applyFill="1" applyBorder="1" applyAlignment="1">
      <alignment horizontal="right" vertical="center" wrapText="1"/>
    </xf>
    <xf numFmtId="3" fontId="29" fillId="0" borderId="38" xfId="0" applyNumberFormat="1" applyFont="1" applyFill="1" applyBorder="1" applyAlignment="1">
      <alignment horizontal="right" vertical="center" wrapText="1"/>
    </xf>
    <xf numFmtId="3" fontId="29" fillId="0" borderId="6" xfId="0" applyNumberFormat="1" applyFont="1" applyFill="1" applyBorder="1" applyAlignment="1">
      <alignment horizontal="right" vertical="center" wrapText="1"/>
    </xf>
    <xf numFmtId="3" fontId="15" fillId="0" borderId="6" xfId="0" applyNumberFormat="1" applyFont="1" applyFill="1" applyBorder="1" applyAlignment="1">
      <alignment horizontal="center" vertical="center" wrapText="1"/>
    </xf>
    <xf numFmtId="3" fontId="9" fillId="0" borderId="55" xfId="1" applyNumberFormat="1" applyFont="1" applyFill="1" applyBorder="1" applyAlignment="1">
      <alignment horizontal="right" vertical="center" wrapText="1"/>
    </xf>
    <xf numFmtId="49" fontId="12" fillId="0" borderId="25"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shrinkToFit="1"/>
    </xf>
    <xf numFmtId="0" fontId="11" fillId="0" borderId="2" xfId="1" applyFont="1" applyFill="1" applyBorder="1" applyAlignment="1">
      <alignment horizontal="center" vertical="center" wrapText="1"/>
    </xf>
    <xf numFmtId="0" fontId="59" fillId="0" borderId="2" xfId="0" applyFont="1" applyFill="1" applyBorder="1" applyAlignment="1">
      <alignment horizontal="center" vertical="center" wrapText="1"/>
    </xf>
    <xf numFmtId="3" fontId="12" fillId="0" borderId="63" xfId="1" applyNumberFormat="1" applyFont="1" applyFill="1" applyBorder="1" applyAlignment="1">
      <alignment horizontal="right" vertical="center" wrapText="1"/>
    </xf>
    <xf numFmtId="3" fontId="11" fillId="0" borderId="63" xfId="0" applyNumberFormat="1" applyFont="1" applyFill="1" applyBorder="1" applyAlignment="1">
      <alignment horizontal="right" vertical="center" wrapText="1"/>
    </xf>
    <xf numFmtId="3" fontId="11" fillId="0" borderId="64" xfId="0" applyNumberFormat="1" applyFont="1" applyFill="1" applyBorder="1" applyAlignment="1">
      <alignment horizontal="right" vertical="center" wrapText="1"/>
    </xf>
    <xf numFmtId="3" fontId="11" fillId="0" borderId="46" xfId="0" applyNumberFormat="1" applyFont="1" applyFill="1" applyBorder="1" applyAlignment="1">
      <alignment horizontal="right" vertical="center" wrapText="1"/>
    </xf>
    <xf numFmtId="3" fontId="12" fillId="8" borderId="2" xfId="0" applyNumberFormat="1" applyFont="1" applyFill="1" applyBorder="1" applyAlignment="1">
      <alignment horizontal="right" vertical="center" wrapText="1"/>
    </xf>
    <xf numFmtId="3" fontId="12" fillId="0" borderId="63" xfId="0" applyNumberFormat="1" applyFont="1" applyFill="1" applyBorder="1" applyAlignment="1">
      <alignment horizontal="right" vertical="center" wrapText="1"/>
    </xf>
    <xf numFmtId="3" fontId="12" fillId="0" borderId="64" xfId="0" applyNumberFormat="1" applyFont="1" applyFill="1" applyBorder="1" applyAlignment="1">
      <alignment horizontal="right" vertical="center" wrapText="1"/>
    </xf>
    <xf numFmtId="3" fontId="12" fillId="0" borderId="53" xfId="0" applyNumberFormat="1" applyFont="1" applyFill="1" applyBorder="1" applyAlignment="1">
      <alignment horizontal="right" vertical="center" wrapText="1"/>
    </xf>
    <xf numFmtId="3" fontId="12" fillId="0" borderId="9" xfId="0" applyNumberFormat="1" applyFont="1" applyFill="1" applyBorder="1" applyAlignment="1">
      <alignment horizontal="right" vertical="center" wrapText="1"/>
    </xf>
    <xf numFmtId="3" fontId="11" fillId="0" borderId="9" xfId="0" applyNumberFormat="1" applyFont="1" applyFill="1" applyBorder="1" applyAlignment="1">
      <alignment horizontal="center" vertical="center" wrapText="1"/>
    </xf>
    <xf numFmtId="3" fontId="9" fillId="0" borderId="47" xfId="1" applyNumberFormat="1" applyFont="1" applyFill="1" applyBorder="1" applyAlignment="1">
      <alignment horizontal="right" vertical="center" wrapText="1"/>
    </xf>
    <xf numFmtId="3" fontId="9" fillId="0" borderId="60" xfId="1" applyNumberFormat="1" applyFont="1" applyFill="1" applyBorder="1" applyAlignment="1">
      <alignment horizontal="right" vertical="center" wrapText="1"/>
    </xf>
    <xf numFmtId="3" fontId="9" fillId="0" borderId="58" xfId="1" applyNumberFormat="1" applyFont="1" applyFill="1" applyBorder="1" applyAlignment="1">
      <alignment horizontal="right" vertical="center" wrapText="1"/>
    </xf>
    <xf numFmtId="0" fontId="8" fillId="5" borderId="4" xfId="1" applyFont="1" applyFill="1" applyBorder="1" applyAlignment="1">
      <alignment horizontal="center" vertical="center" wrapText="1"/>
    </xf>
    <xf numFmtId="3" fontId="7" fillId="5" borderId="33" xfId="0" applyNumberFormat="1" applyFont="1" applyFill="1" applyBorder="1" applyAlignment="1">
      <alignment horizontal="right" vertical="center" wrapText="1"/>
    </xf>
    <xf numFmtId="3" fontId="9" fillId="5" borderId="64" xfId="0" applyNumberFormat="1" applyFont="1" applyFill="1" applyBorder="1" applyAlignment="1">
      <alignment vertical="center" wrapText="1"/>
    </xf>
    <xf numFmtId="3" fontId="7" fillId="5" borderId="11" xfId="0" applyNumberFormat="1" applyFont="1" applyFill="1" applyBorder="1" applyAlignment="1">
      <alignment vertical="center" wrapText="1"/>
    </xf>
    <xf numFmtId="3" fontId="7" fillId="5" borderId="40" xfId="0" applyNumberFormat="1" applyFont="1" applyFill="1" applyBorder="1" applyAlignment="1">
      <alignment horizontal="right" vertical="center" wrapText="1"/>
    </xf>
    <xf numFmtId="3" fontId="7" fillId="5" borderId="73" xfId="0" applyNumberFormat="1" applyFont="1" applyFill="1" applyBorder="1" applyAlignment="1">
      <alignment horizontal="right" vertical="center" wrapText="1"/>
    </xf>
    <xf numFmtId="3" fontId="9" fillId="5" borderId="58" xfId="1" applyNumberFormat="1" applyFont="1" applyFill="1" applyBorder="1" applyAlignment="1">
      <alignment vertical="center" wrapText="1"/>
    </xf>
    <xf numFmtId="3" fontId="9" fillId="5" borderId="20" xfId="0" applyNumberFormat="1" applyFont="1" applyFill="1" applyBorder="1" applyAlignment="1">
      <alignment vertical="center" wrapText="1"/>
    </xf>
    <xf numFmtId="49" fontId="9" fillId="5" borderId="2" xfId="0" applyNumberFormat="1" applyFont="1" applyFill="1" applyBorder="1" applyAlignment="1">
      <alignment horizontal="center" vertical="center" wrapText="1" shrinkToFit="1"/>
    </xf>
    <xf numFmtId="0" fontId="7" fillId="5" borderId="9" xfId="1" applyFont="1" applyFill="1" applyBorder="1" applyAlignment="1">
      <alignment horizontal="center" vertical="center" wrapText="1"/>
    </xf>
    <xf numFmtId="3" fontId="9" fillId="5" borderId="2" xfId="0" applyNumberFormat="1" applyFont="1" applyFill="1" applyBorder="1" applyAlignment="1">
      <alignment horizontal="right" vertical="center" wrapText="1"/>
    </xf>
    <xf numFmtId="3" fontId="7" fillId="5" borderId="8" xfId="0" applyNumberFormat="1" applyFont="1" applyFill="1" applyBorder="1" applyAlignment="1">
      <alignment horizontal="right" vertical="center" wrapText="1"/>
    </xf>
    <xf numFmtId="3" fontId="7" fillId="5" borderId="2" xfId="0" applyNumberFormat="1" applyFont="1" applyFill="1" applyBorder="1" applyAlignment="1">
      <alignment horizontal="right" vertical="center" wrapText="1"/>
    </xf>
    <xf numFmtId="0" fontId="7" fillId="5" borderId="4" xfId="0" applyNumberFormat="1" applyFont="1" applyFill="1" applyBorder="1" applyAlignment="1">
      <alignment horizontal="center" vertical="center" wrapText="1"/>
    </xf>
    <xf numFmtId="0" fontId="7" fillId="5" borderId="2" xfId="0" applyNumberFormat="1" applyFont="1" applyFill="1" applyBorder="1" applyAlignment="1">
      <alignment horizontal="center" vertical="center" wrapText="1"/>
    </xf>
    <xf numFmtId="3" fontId="9" fillId="0" borderId="60" xfId="1" applyNumberFormat="1" applyFont="1" applyFill="1" applyBorder="1" applyAlignment="1">
      <alignment vertical="center" wrapText="1"/>
    </xf>
    <xf numFmtId="49" fontId="12" fillId="5" borderId="13" xfId="0" applyNumberFormat="1" applyFont="1" applyFill="1" applyBorder="1" applyAlignment="1">
      <alignment horizontal="center" vertical="center" wrapText="1"/>
    </xf>
    <xf numFmtId="49" fontId="12" fillId="5" borderId="13" xfId="0" applyNumberFormat="1" applyFont="1" applyFill="1" applyBorder="1" applyAlignment="1">
      <alignment horizontal="center" vertical="center" wrapText="1" shrinkToFit="1"/>
    </xf>
    <xf numFmtId="0" fontId="11" fillId="5" borderId="14" xfId="0" applyFont="1" applyFill="1" applyBorder="1" applyAlignment="1">
      <alignment horizontal="center" vertical="center" wrapText="1"/>
    </xf>
    <xf numFmtId="0" fontId="11" fillId="5" borderId="13" xfId="1" applyFont="1" applyFill="1" applyBorder="1" applyAlignment="1">
      <alignment horizontal="center" vertical="center" wrapText="1"/>
    </xf>
    <xf numFmtId="0" fontId="11" fillId="5" borderId="45" xfId="1" applyFont="1" applyFill="1" applyBorder="1" applyAlignment="1">
      <alignment horizontal="center" vertical="center" wrapText="1"/>
    </xf>
    <xf numFmtId="0" fontId="59" fillId="5" borderId="15" xfId="1" applyFont="1" applyFill="1" applyBorder="1" applyAlignment="1">
      <alignment horizontal="center" vertical="center" wrapText="1"/>
    </xf>
    <xf numFmtId="3" fontId="12" fillId="5" borderId="13" xfId="1" applyNumberFormat="1" applyFont="1" applyFill="1" applyBorder="1" applyAlignment="1">
      <alignment vertical="center" wrapText="1"/>
    </xf>
    <xf numFmtId="3" fontId="12" fillId="5" borderId="70" xfId="1" applyNumberFormat="1" applyFont="1" applyFill="1" applyBorder="1" applyAlignment="1">
      <alignment vertical="center" wrapText="1"/>
    </xf>
    <xf numFmtId="3" fontId="11" fillId="5" borderId="16" xfId="0" applyNumberFormat="1" applyFont="1" applyFill="1" applyBorder="1" applyAlignment="1">
      <alignment horizontal="right" vertical="center" wrapText="1"/>
    </xf>
    <xf numFmtId="3" fontId="12" fillId="5" borderId="14" xfId="0" applyNumberFormat="1" applyFont="1" applyFill="1" applyBorder="1" applyAlignment="1">
      <alignment horizontal="right" vertical="center" wrapText="1"/>
    </xf>
    <xf numFmtId="3" fontId="12" fillId="5" borderId="13" xfId="0" applyNumberFormat="1" applyFont="1" applyFill="1" applyBorder="1" applyAlignment="1">
      <alignment horizontal="right" vertical="center" wrapText="1"/>
    </xf>
    <xf numFmtId="3" fontId="11" fillId="5" borderId="19" xfId="0" applyNumberFormat="1" applyFont="1" applyFill="1" applyBorder="1" applyAlignment="1">
      <alignment horizontal="right" vertical="center" wrapText="1"/>
    </xf>
    <xf numFmtId="3" fontId="11" fillId="5" borderId="13" xfId="0" applyNumberFormat="1" applyFont="1" applyFill="1" applyBorder="1" applyAlignment="1">
      <alignment horizontal="right" vertical="center" wrapText="1"/>
    </xf>
    <xf numFmtId="3" fontId="11" fillId="5" borderId="48" xfId="0" applyNumberFormat="1" applyFont="1" applyFill="1" applyBorder="1" applyAlignment="1">
      <alignment horizontal="right" vertical="center" wrapText="1"/>
    </xf>
    <xf numFmtId="3" fontId="11" fillId="5" borderId="54" xfId="0" applyNumberFormat="1" applyFont="1" applyFill="1" applyBorder="1" applyAlignment="1">
      <alignment horizontal="right" vertical="center" wrapText="1"/>
    </xf>
    <xf numFmtId="3" fontId="11" fillId="5" borderId="45" xfId="0" applyNumberFormat="1" applyFont="1" applyFill="1" applyBorder="1" applyAlignment="1">
      <alignment horizontal="right" vertical="center" wrapText="1"/>
    </xf>
    <xf numFmtId="0" fontId="11" fillId="5" borderId="45" xfId="0" applyFont="1" applyFill="1" applyBorder="1" applyAlignment="1">
      <alignment horizontal="center" vertical="center" wrapText="1"/>
    </xf>
    <xf numFmtId="49" fontId="11" fillId="5" borderId="15" xfId="0" applyNumberFormat="1" applyFont="1" applyFill="1" applyBorder="1" applyAlignment="1">
      <alignment horizontal="center" vertical="center" wrapText="1"/>
    </xf>
    <xf numFmtId="0" fontId="11" fillId="5" borderId="30" xfId="0" applyNumberFormat="1" applyFont="1" applyFill="1" applyBorder="1" applyAlignment="1">
      <alignment horizontal="center" vertical="center" wrapText="1"/>
    </xf>
    <xf numFmtId="49" fontId="11" fillId="5" borderId="13" xfId="0" applyNumberFormat="1" applyFont="1" applyFill="1" applyBorder="1" applyAlignment="1">
      <alignment horizontal="center" vertical="center" wrapText="1"/>
    </xf>
    <xf numFmtId="3" fontId="14" fillId="0" borderId="58" xfId="1" applyNumberFormat="1" applyFont="1" applyFill="1" applyBorder="1" applyAlignment="1">
      <alignment vertical="center" wrapText="1"/>
    </xf>
    <xf numFmtId="3" fontId="9" fillId="0" borderId="58" xfId="1" applyNumberFormat="1" applyFont="1" applyFill="1" applyBorder="1" applyAlignment="1">
      <alignment vertical="center"/>
    </xf>
    <xf numFmtId="3" fontId="9" fillId="0" borderId="47" xfId="1" applyNumberFormat="1" applyFont="1" applyFill="1" applyBorder="1" applyAlignment="1">
      <alignment vertical="center"/>
    </xf>
    <xf numFmtId="3" fontId="9" fillId="0" borderId="70" xfId="1" applyNumberFormat="1" applyFont="1" applyFill="1" applyBorder="1" applyAlignment="1">
      <alignment vertical="center"/>
    </xf>
    <xf numFmtId="3" fontId="9" fillId="0" borderId="63" xfId="1" applyNumberFormat="1" applyFont="1" applyFill="1" applyBorder="1" applyAlignment="1">
      <alignment vertical="center"/>
    </xf>
    <xf numFmtId="49" fontId="14" fillId="0" borderId="23" xfId="0" applyNumberFormat="1" applyFont="1" applyFill="1" applyBorder="1" applyAlignment="1">
      <alignment horizontal="center" vertical="center" shrinkToFit="1"/>
    </xf>
    <xf numFmtId="0" fontId="51" fillId="0" borderId="26" xfId="0" applyFont="1" applyFill="1" applyBorder="1" applyAlignment="1">
      <alignment horizontal="center" vertical="center" wrapText="1"/>
    </xf>
    <xf numFmtId="3" fontId="14" fillId="0" borderId="58" xfId="1" applyNumberFormat="1" applyFont="1" applyFill="1" applyBorder="1" applyAlignment="1">
      <alignment vertical="center"/>
    </xf>
    <xf numFmtId="3" fontId="13" fillId="23" borderId="24" xfId="0" applyNumberFormat="1" applyFont="1" applyFill="1" applyBorder="1" applyAlignment="1">
      <alignment horizontal="right" vertical="center"/>
    </xf>
    <xf numFmtId="3" fontId="14" fillId="23" borderId="23" xfId="0" applyNumberFormat="1" applyFont="1" applyFill="1" applyBorder="1" applyAlignment="1">
      <alignment horizontal="right" vertical="center"/>
    </xf>
    <xf numFmtId="49" fontId="13" fillId="0" borderId="27" xfId="0" applyNumberFormat="1" applyFont="1" applyFill="1" applyBorder="1" applyAlignment="1">
      <alignment horizontal="center" vertical="center"/>
    </xf>
    <xf numFmtId="49" fontId="29" fillId="0" borderId="23" xfId="0" applyNumberFormat="1" applyFont="1" applyFill="1" applyBorder="1" applyAlignment="1">
      <alignment horizontal="center" vertical="center" shrinkToFit="1"/>
    </xf>
    <xf numFmtId="0" fontId="40" fillId="0" borderId="24" xfId="0" applyFont="1" applyFill="1" applyBorder="1" applyAlignment="1">
      <alignment horizontal="center" vertical="center" wrapText="1"/>
    </xf>
    <xf numFmtId="3" fontId="29" fillId="0" borderId="58" xfId="1" applyNumberFormat="1" applyFont="1" applyFill="1" applyBorder="1" applyAlignment="1">
      <alignment vertical="center"/>
    </xf>
    <xf numFmtId="3" fontId="15" fillId="23" borderId="24" xfId="0" applyNumberFormat="1" applyFont="1" applyFill="1" applyBorder="1" applyAlignment="1">
      <alignment horizontal="right" vertical="center"/>
    </xf>
    <xf numFmtId="3" fontId="29" fillId="23" borderId="23" xfId="0" applyNumberFormat="1" applyFont="1" applyFill="1" applyBorder="1" applyAlignment="1">
      <alignment horizontal="right" vertical="center"/>
    </xf>
    <xf numFmtId="3" fontId="15" fillId="0" borderId="44" xfId="0" applyNumberFormat="1" applyFont="1" applyFill="1" applyBorder="1" applyAlignment="1">
      <alignment horizontal="right" vertical="center"/>
    </xf>
    <xf numFmtId="49" fontId="15" fillId="0" borderId="27"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3" fontId="7" fillId="0" borderId="49" xfId="0" applyNumberFormat="1" applyFont="1" applyFill="1" applyBorder="1" applyAlignment="1">
      <alignment horizontal="right" vertical="center"/>
    </xf>
    <xf numFmtId="3" fontId="7" fillId="33" borderId="24" xfId="0" applyNumberFormat="1" applyFont="1" applyFill="1" applyBorder="1" applyAlignment="1">
      <alignment horizontal="right" vertical="center" wrapText="1"/>
    </xf>
    <xf numFmtId="3" fontId="9" fillId="33" borderId="23" xfId="0" applyNumberFormat="1" applyFont="1" applyFill="1" applyBorder="1" applyAlignment="1">
      <alignment horizontal="right" vertical="center" wrapText="1"/>
    </xf>
    <xf numFmtId="3" fontId="9" fillId="5" borderId="58" xfId="1" applyNumberFormat="1" applyFont="1" applyFill="1" applyBorder="1" applyAlignment="1">
      <alignment vertical="center"/>
    </xf>
    <xf numFmtId="3" fontId="7" fillId="5" borderId="58" xfId="0" applyNumberFormat="1" applyFont="1" applyFill="1" applyBorder="1" applyAlignment="1">
      <alignment horizontal="right" vertical="center"/>
    </xf>
    <xf numFmtId="3" fontId="7" fillId="5" borderId="21" xfId="0" applyNumberFormat="1" applyFont="1" applyFill="1" applyBorder="1" applyAlignment="1">
      <alignment horizontal="right" vertical="center"/>
    </xf>
    <xf numFmtId="3" fontId="7" fillId="5" borderId="24" xfId="0" applyNumberFormat="1" applyFont="1" applyFill="1" applyBorder="1" applyAlignment="1">
      <alignment horizontal="right" vertical="center"/>
    </xf>
    <xf numFmtId="3" fontId="9" fillId="33" borderId="26" xfId="0" applyNumberFormat="1" applyFont="1" applyFill="1" applyBorder="1" applyAlignment="1">
      <alignment horizontal="right" vertical="center" wrapText="1"/>
    </xf>
    <xf numFmtId="3" fontId="7" fillId="33" borderId="16" xfId="0" applyNumberFormat="1" applyFont="1" applyFill="1" applyBorder="1" applyAlignment="1">
      <alignment horizontal="right" vertical="center" wrapText="1"/>
    </xf>
    <xf numFmtId="3" fontId="9" fillId="33" borderId="13" xfId="0" applyNumberFormat="1" applyFont="1" applyFill="1" applyBorder="1" applyAlignment="1">
      <alignment horizontal="right" vertical="center" wrapText="1"/>
    </xf>
    <xf numFmtId="3" fontId="15" fillId="0" borderId="47" xfId="0" applyNumberFormat="1" applyFont="1" applyFill="1" applyBorder="1" applyAlignment="1">
      <alignment horizontal="right" vertical="center"/>
    </xf>
    <xf numFmtId="3" fontId="15" fillId="0" borderId="21" xfId="0" applyNumberFormat="1" applyFont="1" applyFill="1" applyBorder="1" applyAlignment="1">
      <alignment horizontal="right" vertical="center"/>
    </xf>
    <xf numFmtId="3" fontId="15" fillId="0" borderId="36" xfId="0" applyNumberFormat="1" applyFont="1" applyFill="1" applyBorder="1" applyAlignment="1">
      <alignment horizontal="right" vertical="center"/>
    </xf>
    <xf numFmtId="0" fontId="40" fillId="0" borderId="22" xfId="0" applyFont="1" applyFill="1" applyBorder="1" applyAlignment="1">
      <alignment horizontal="center" vertical="center"/>
    </xf>
    <xf numFmtId="3" fontId="9" fillId="0" borderId="60" xfId="1" applyNumberFormat="1" applyFont="1" applyFill="1" applyBorder="1" applyAlignment="1">
      <alignment vertical="center"/>
    </xf>
    <xf numFmtId="3" fontId="29" fillId="0" borderId="60" xfId="1" applyNumberFormat="1" applyFont="1" applyFill="1" applyBorder="1" applyAlignment="1">
      <alignment vertical="center"/>
    </xf>
    <xf numFmtId="3" fontId="15" fillId="0" borderId="60" xfId="0" applyNumberFormat="1" applyFont="1" applyFill="1" applyBorder="1" applyAlignment="1">
      <alignment horizontal="right" vertical="center"/>
    </xf>
    <xf numFmtId="3" fontId="15" fillId="0" borderId="71" xfId="0" applyNumberFormat="1" applyFont="1" applyFill="1" applyBorder="1" applyAlignment="1">
      <alignment horizontal="right" vertical="center"/>
    </xf>
    <xf numFmtId="3" fontId="15" fillId="0" borderId="54" xfId="0" applyNumberFormat="1" applyFont="1" applyFill="1" applyBorder="1" applyAlignment="1">
      <alignment horizontal="right" vertical="center"/>
    </xf>
    <xf numFmtId="49" fontId="15" fillId="0" borderId="18" xfId="0" applyNumberFormat="1" applyFont="1" applyFill="1" applyBorder="1" applyAlignment="1">
      <alignment horizontal="center" vertical="center"/>
    </xf>
    <xf numFmtId="3" fontId="7" fillId="33" borderId="23" xfId="0" applyNumberFormat="1" applyFont="1" applyFill="1" applyBorder="1" applyAlignment="1">
      <alignment horizontal="right" vertical="center" wrapText="1"/>
    </xf>
    <xf numFmtId="0" fontId="59" fillId="5" borderId="32" xfId="0" applyFont="1" applyFill="1" applyBorder="1" applyAlignment="1">
      <alignment horizontal="center" vertical="center" wrapText="1"/>
    </xf>
    <xf numFmtId="3" fontId="12" fillId="5" borderId="23" xfId="1" applyNumberFormat="1" applyFont="1" applyFill="1" applyBorder="1" applyAlignment="1">
      <alignment vertical="center"/>
    </xf>
    <xf numFmtId="3" fontId="12" fillId="5" borderId="58" xfId="1" applyNumberFormat="1" applyFont="1" applyFill="1" applyBorder="1" applyAlignment="1">
      <alignment vertical="center"/>
    </xf>
    <xf numFmtId="3" fontId="11" fillId="5" borderId="23" xfId="0" applyNumberFormat="1" applyFont="1" applyFill="1" applyBorder="1" applyAlignment="1">
      <alignment horizontal="right" vertical="center" wrapText="1"/>
    </xf>
    <xf numFmtId="3" fontId="12" fillId="5" borderId="23" xfId="0" applyNumberFormat="1" applyFont="1" applyFill="1" applyBorder="1" applyAlignment="1">
      <alignment horizontal="right" vertical="center" wrapText="1"/>
    </xf>
    <xf numFmtId="3" fontId="11" fillId="5" borderId="31" xfId="0" applyNumberFormat="1" applyFont="1" applyFill="1" applyBorder="1" applyAlignment="1">
      <alignment horizontal="right" vertical="center"/>
    </xf>
    <xf numFmtId="3" fontId="11" fillId="5" borderId="21" xfId="0" applyNumberFormat="1" applyFont="1" applyFill="1" applyBorder="1" applyAlignment="1">
      <alignment horizontal="right" vertical="center"/>
    </xf>
    <xf numFmtId="3" fontId="11" fillId="5" borderId="36" xfId="0" applyNumberFormat="1" applyFont="1" applyFill="1" applyBorder="1" applyAlignment="1">
      <alignment horizontal="right" vertical="center"/>
    </xf>
    <xf numFmtId="3" fontId="9" fillId="0" borderId="65" xfId="1" applyNumberFormat="1" applyFont="1" applyFill="1" applyBorder="1" applyAlignment="1">
      <alignment vertical="center"/>
    </xf>
    <xf numFmtId="3" fontId="7" fillId="33" borderId="22" xfId="0" applyNumberFormat="1" applyFont="1" applyFill="1" applyBorder="1" applyAlignment="1">
      <alignment horizontal="right" vertical="center" wrapText="1"/>
    </xf>
    <xf numFmtId="3" fontId="9" fillId="8" borderId="22" xfId="0" applyNumberFormat="1" applyFont="1" applyFill="1" applyBorder="1" applyAlignment="1">
      <alignment horizontal="right" vertical="center" wrapText="1"/>
    </xf>
    <xf numFmtId="3" fontId="9" fillId="33" borderId="33" xfId="0" applyNumberFormat="1" applyFont="1" applyFill="1" applyBorder="1" applyAlignment="1">
      <alignment horizontal="right" vertical="center" wrapText="1"/>
    </xf>
    <xf numFmtId="49" fontId="32" fillId="0" borderId="13" xfId="0" applyNumberFormat="1" applyFont="1" applyFill="1" applyBorder="1" applyAlignment="1">
      <alignment horizontal="center" vertical="center"/>
    </xf>
    <xf numFmtId="0" fontId="30" fillId="0" borderId="13" xfId="1" applyFont="1" applyFill="1" applyBorder="1" applyAlignment="1">
      <alignment horizontal="center" vertical="center" wrapText="1"/>
    </xf>
    <xf numFmtId="0" fontId="48" fillId="0" borderId="13" xfId="0" applyFont="1" applyFill="1" applyBorder="1" applyAlignment="1">
      <alignment horizontal="center" vertical="center" wrapText="1"/>
    </xf>
    <xf numFmtId="3" fontId="32" fillId="0" borderId="13" xfId="1" applyNumberFormat="1" applyFont="1" applyFill="1" applyBorder="1" applyAlignment="1">
      <alignment vertical="center"/>
    </xf>
    <xf numFmtId="3" fontId="32" fillId="0" borderId="60" xfId="1" applyNumberFormat="1" applyFont="1" applyFill="1" applyBorder="1" applyAlignment="1">
      <alignment vertical="center"/>
    </xf>
    <xf numFmtId="3" fontId="30" fillId="0" borderId="60" xfId="0" applyNumberFormat="1" applyFont="1" applyFill="1" applyBorder="1" applyAlignment="1">
      <alignment vertical="center" wrapText="1"/>
    </xf>
    <xf numFmtId="3" fontId="30" fillId="0" borderId="48" xfId="0" applyNumberFormat="1" applyFont="1" applyFill="1" applyBorder="1" applyAlignment="1">
      <alignment vertical="center" wrapText="1"/>
    </xf>
    <xf numFmtId="3" fontId="30" fillId="23" borderId="13" xfId="0" applyNumberFormat="1" applyFont="1" applyFill="1" applyBorder="1" applyAlignment="1">
      <alignment horizontal="right" vertical="center" wrapText="1"/>
    </xf>
    <xf numFmtId="3" fontId="32" fillId="8" borderId="13" xfId="0" applyNumberFormat="1" applyFont="1" applyFill="1" applyBorder="1" applyAlignment="1">
      <alignment horizontal="right" vertical="center" wrapText="1"/>
    </xf>
    <xf numFmtId="3" fontId="32" fillId="23" borderId="13" xfId="0" applyNumberFormat="1" applyFont="1" applyFill="1" applyBorder="1" applyAlignment="1">
      <alignment horizontal="right" vertical="center" wrapText="1"/>
    </xf>
    <xf numFmtId="3" fontId="30" fillId="0" borderId="15" xfId="0" applyNumberFormat="1" applyFont="1" applyFill="1" applyBorder="1" applyAlignment="1">
      <alignment horizontal="right" vertical="center"/>
    </xf>
    <xf numFmtId="3" fontId="30" fillId="0" borderId="13" xfId="0" applyNumberFormat="1" applyFont="1" applyFill="1" applyBorder="1" applyAlignment="1">
      <alignment horizontal="right" vertical="center"/>
    </xf>
    <xf numFmtId="3" fontId="30" fillId="0" borderId="19" xfId="0" applyNumberFormat="1" applyFont="1" applyFill="1" applyBorder="1" applyAlignment="1">
      <alignment vertical="center"/>
    </xf>
    <xf numFmtId="3" fontId="30" fillId="0" borderId="48" xfId="0" applyNumberFormat="1" applyFont="1" applyFill="1" applyBorder="1" applyAlignment="1">
      <alignment vertical="center"/>
    </xf>
    <xf numFmtId="3" fontId="30" fillId="0" borderId="60" xfId="0" applyNumberFormat="1" applyFont="1" applyFill="1" applyBorder="1" applyAlignment="1">
      <alignment horizontal="right" vertical="center"/>
    </xf>
    <xf numFmtId="3" fontId="30" fillId="0" borderId="48" xfId="0" applyNumberFormat="1" applyFont="1" applyFill="1" applyBorder="1" applyAlignment="1">
      <alignment horizontal="right" vertical="center"/>
    </xf>
    <xf numFmtId="3" fontId="30" fillId="0" borderId="54" xfId="0" applyNumberFormat="1" applyFont="1" applyFill="1" applyBorder="1" applyAlignment="1">
      <alignment horizontal="right" vertical="center"/>
    </xf>
    <xf numFmtId="3" fontId="30" fillId="0" borderId="45" xfId="0" applyNumberFormat="1" applyFont="1" applyFill="1" applyBorder="1" applyAlignment="1">
      <alignment horizontal="right" vertical="center"/>
    </xf>
    <xf numFmtId="3" fontId="14" fillId="0" borderId="58" xfId="0" applyNumberFormat="1" applyFont="1" applyFill="1" applyBorder="1" applyAlignment="1">
      <alignment horizontal="right" vertical="center"/>
    </xf>
    <xf numFmtId="3" fontId="13" fillId="33" borderId="24" xfId="0" applyNumberFormat="1" applyFont="1" applyFill="1" applyBorder="1" applyAlignment="1">
      <alignment horizontal="right" vertical="center" wrapText="1"/>
    </xf>
    <xf numFmtId="3" fontId="14" fillId="33" borderId="23" xfId="0" applyNumberFormat="1" applyFont="1" applyFill="1" applyBorder="1" applyAlignment="1">
      <alignment horizontal="right" vertical="center" wrapText="1"/>
    </xf>
    <xf numFmtId="0" fontId="47" fillId="5" borderId="23" xfId="0" applyFont="1" applyFill="1" applyBorder="1" applyAlignment="1">
      <alignment horizontal="center" vertical="center" wrapText="1"/>
    </xf>
    <xf numFmtId="0" fontId="8" fillId="5" borderId="24" xfId="0" applyFont="1" applyFill="1" applyBorder="1" applyAlignment="1">
      <alignment horizontal="center" vertical="center" wrapText="1"/>
    </xf>
    <xf numFmtId="3" fontId="7" fillId="5" borderId="23" xfId="0" applyNumberFormat="1" applyFont="1" applyFill="1" applyBorder="1" applyAlignment="1">
      <alignment horizontal="right" vertical="center"/>
    </xf>
    <xf numFmtId="3" fontId="9" fillId="5" borderId="58" xfId="0" applyNumberFormat="1" applyFont="1" applyFill="1" applyBorder="1" applyAlignment="1">
      <alignment horizontal="right" vertical="center"/>
    </xf>
    <xf numFmtId="49" fontId="7" fillId="5" borderId="25" xfId="0" applyNumberFormat="1" applyFont="1" applyFill="1" applyBorder="1" applyAlignment="1">
      <alignment horizontal="center" vertical="center"/>
    </xf>
    <xf numFmtId="3" fontId="9" fillId="0" borderId="58" xfId="0" applyNumberFormat="1" applyFont="1" applyFill="1" applyBorder="1" applyAlignment="1">
      <alignment horizontal="right" vertical="center"/>
    </xf>
    <xf numFmtId="3" fontId="9" fillId="0" borderId="49" xfId="0" applyNumberFormat="1" applyFont="1" applyFill="1" applyBorder="1" applyAlignment="1">
      <alignment horizontal="right" vertical="center"/>
    </xf>
    <xf numFmtId="3" fontId="7" fillId="33" borderId="40" xfId="0" applyNumberFormat="1" applyFont="1" applyFill="1" applyBorder="1" applyAlignment="1">
      <alignment horizontal="right" vertical="center" wrapText="1"/>
    </xf>
    <xf numFmtId="3" fontId="9" fillId="0" borderId="60" xfId="0" applyNumberFormat="1" applyFont="1" applyFill="1" applyBorder="1" applyAlignment="1">
      <alignment horizontal="right" vertical="center"/>
    </xf>
    <xf numFmtId="3" fontId="7" fillId="23" borderId="19" xfId="0" applyNumberFormat="1" applyFont="1" applyFill="1" applyBorder="1" applyAlignment="1">
      <alignment horizontal="right" vertical="center" wrapText="1"/>
    </xf>
    <xf numFmtId="3" fontId="9" fillId="8" borderId="15" xfId="0" applyNumberFormat="1" applyFont="1" applyFill="1" applyBorder="1" applyAlignment="1">
      <alignment horizontal="right" vertical="center" wrapText="1"/>
    </xf>
    <xf numFmtId="0" fontId="7" fillId="0" borderId="15" xfId="0" applyFont="1" applyFill="1" applyBorder="1" applyAlignment="1">
      <alignment horizontal="center" vertical="center"/>
    </xf>
    <xf numFmtId="3" fontId="7" fillId="11" borderId="22" xfId="0" applyNumberFormat="1" applyFont="1" applyFill="1" applyBorder="1" applyAlignment="1">
      <alignment horizontal="right" vertical="center"/>
    </xf>
    <xf numFmtId="3" fontId="9" fillId="11" borderId="65" xfId="0" applyNumberFormat="1" applyFont="1" applyFill="1" applyBorder="1" applyAlignment="1">
      <alignment horizontal="right" vertical="center"/>
    </xf>
    <xf numFmtId="3" fontId="7" fillId="11" borderId="65" xfId="0" applyNumberFormat="1" applyFont="1" applyFill="1" applyBorder="1" applyAlignment="1">
      <alignment horizontal="right" vertical="center" wrapText="1"/>
    </xf>
    <xf numFmtId="3" fontId="7" fillId="11" borderId="66" xfId="0" applyNumberFormat="1" applyFont="1" applyFill="1" applyBorder="1" applyAlignment="1">
      <alignment horizontal="right" vertical="center" wrapText="1"/>
    </xf>
    <xf numFmtId="3" fontId="7" fillId="11" borderId="29" xfId="0" applyNumberFormat="1" applyFont="1" applyFill="1" applyBorder="1" applyAlignment="1">
      <alignment horizontal="right" vertical="center" wrapText="1"/>
    </xf>
    <xf numFmtId="3" fontId="7" fillId="11" borderId="0" xfId="0" applyNumberFormat="1" applyFont="1" applyFill="1" applyBorder="1" applyAlignment="1">
      <alignment horizontal="right" vertical="center" wrapText="1"/>
    </xf>
    <xf numFmtId="0" fontId="7" fillId="11" borderId="22" xfId="0" applyFont="1" applyFill="1" applyBorder="1" applyAlignment="1">
      <alignment horizontal="center" vertical="center"/>
    </xf>
    <xf numFmtId="49" fontId="7" fillId="11" borderId="28" xfId="0" applyNumberFormat="1" applyFont="1" applyFill="1" applyBorder="1" applyAlignment="1">
      <alignment horizontal="center" vertical="center"/>
    </xf>
    <xf numFmtId="0" fontId="7" fillId="11" borderId="28" xfId="0" applyFont="1" applyFill="1" applyBorder="1" applyAlignment="1">
      <alignment horizontal="center" vertical="center"/>
    </xf>
    <xf numFmtId="3" fontId="14" fillId="0" borderId="63" xfId="1" applyNumberFormat="1" applyFont="1" applyFill="1" applyBorder="1" applyAlignment="1">
      <alignment horizontal="right" vertical="center" wrapText="1"/>
    </xf>
    <xf numFmtId="3" fontId="9" fillId="36" borderId="26" xfId="0" applyNumberFormat="1" applyFont="1" applyFill="1" applyBorder="1" applyAlignment="1">
      <alignment horizontal="right" vertical="center" wrapText="1"/>
    </xf>
    <xf numFmtId="49" fontId="9" fillId="5" borderId="14" xfId="0" applyNumberFormat="1" applyFont="1" applyFill="1" applyBorder="1" applyAlignment="1">
      <alignment horizontal="center" vertical="center"/>
    </xf>
    <xf numFmtId="49" fontId="9" fillId="5" borderId="14" xfId="0" applyNumberFormat="1" applyFont="1" applyFill="1" applyBorder="1" applyAlignment="1">
      <alignment horizontal="center" vertical="center" wrapText="1" shrinkToFit="1"/>
    </xf>
    <xf numFmtId="3" fontId="9" fillId="5" borderId="70" xfId="1" applyNumberFormat="1" applyFont="1" applyFill="1" applyBorder="1" applyAlignment="1">
      <alignment horizontal="right" vertical="center" wrapText="1"/>
    </xf>
    <xf numFmtId="3" fontId="7" fillId="5" borderId="30" xfId="0" applyNumberFormat="1" applyFont="1" applyFill="1" applyBorder="1" applyAlignment="1">
      <alignment horizontal="right" vertical="center" wrapText="1"/>
    </xf>
    <xf numFmtId="3" fontId="9" fillId="5" borderId="70" xfId="0" applyNumberFormat="1" applyFont="1" applyFill="1" applyBorder="1" applyAlignment="1">
      <alignment horizontal="right" vertical="center" wrapText="1"/>
    </xf>
    <xf numFmtId="49" fontId="9" fillId="11" borderId="2" xfId="0" applyNumberFormat="1" applyFont="1" applyFill="1" applyBorder="1" applyAlignment="1">
      <alignment horizontal="center" vertical="center"/>
    </xf>
    <xf numFmtId="0" fontId="8" fillId="11" borderId="2" xfId="0" applyFont="1" applyFill="1" applyBorder="1" applyAlignment="1">
      <alignment horizontal="center" vertical="center" wrapText="1"/>
    </xf>
    <xf numFmtId="3" fontId="9" fillId="11" borderId="53" xfId="1" applyNumberFormat="1" applyFont="1" applyFill="1" applyBorder="1" applyAlignment="1">
      <alignment vertical="center" wrapText="1"/>
    </xf>
    <xf numFmtId="3" fontId="7" fillId="11" borderId="2" xfId="0" applyNumberFormat="1" applyFont="1" applyFill="1" applyBorder="1" applyAlignment="1">
      <alignment horizontal="right" vertical="center" wrapText="1"/>
    </xf>
    <xf numFmtId="3" fontId="9" fillId="11" borderId="4" xfId="0" applyNumberFormat="1" applyFont="1" applyFill="1" applyBorder="1" applyAlignment="1">
      <alignment horizontal="right" vertical="center" wrapText="1"/>
    </xf>
    <xf numFmtId="49" fontId="9" fillId="11" borderId="26" xfId="0" applyNumberFormat="1" applyFont="1" applyFill="1" applyBorder="1" applyAlignment="1">
      <alignment horizontal="center" vertical="center"/>
    </xf>
    <xf numFmtId="3" fontId="9" fillId="11" borderId="36" xfId="1" applyNumberFormat="1" applyFont="1" applyFill="1" applyBorder="1" applyAlignment="1">
      <alignment vertical="center" wrapText="1"/>
    </xf>
    <xf numFmtId="3" fontId="7" fillId="11" borderId="26" xfId="0" applyNumberFormat="1" applyFont="1" applyFill="1" applyBorder="1" applyAlignment="1">
      <alignment horizontal="right" vertical="center" wrapText="1"/>
    </xf>
    <xf numFmtId="3" fontId="9" fillId="11" borderId="31" xfId="0" applyNumberFormat="1" applyFont="1" applyFill="1" applyBorder="1" applyAlignment="1">
      <alignment horizontal="right" vertical="center" wrapText="1"/>
    </xf>
    <xf numFmtId="3" fontId="9" fillId="11" borderId="47" xfId="1" applyNumberFormat="1" applyFont="1" applyFill="1" applyBorder="1" applyAlignment="1">
      <alignment vertical="center" wrapText="1"/>
    </xf>
    <xf numFmtId="3" fontId="9" fillId="12" borderId="11" xfId="1" applyNumberFormat="1" applyFont="1" applyFill="1" applyBorder="1" applyAlignment="1">
      <alignment vertical="center" wrapText="1"/>
    </xf>
    <xf numFmtId="3" fontId="9" fillId="5" borderId="58" xfId="1" applyNumberFormat="1" applyFont="1" applyFill="1" applyBorder="1" applyAlignment="1">
      <alignment horizontal="right" vertical="center" wrapText="1"/>
    </xf>
    <xf numFmtId="3" fontId="29" fillId="0" borderId="58" xfId="1" applyNumberFormat="1" applyFont="1" applyFill="1" applyBorder="1" applyAlignment="1">
      <alignment horizontal="right" vertical="center" wrapText="1"/>
    </xf>
    <xf numFmtId="3" fontId="29" fillId="0" borderId="47" xfId="1" applyNumberFormat="1" applyFont="1" applyFill="1" applyBorder="1" applyAlignment="1">
      <alignment horizontal="right" vertical="center" wrapText="1"/>
    </xf>
    <xf numFmtId="3" fontId="9" fillId="0" borderId="70" xfId="1" applyNumberFormat="1" applyFont="1" applyFill="1" applyBorder="1" applyAlignment="1">
      <alignment horizontal="right" vertical="center" wrapText="1"/>
    </xf>
    <xf numFmtId="3" fontId="14" fillId="0" borderId="58" xfId="1" applyNumberFormat="1" applyFont="1" applyFill="1" applyBorder="1" applyAlignment="1">
      <alignment horizontal="right" vertical="center" wrapText="1"/>
    </xf>
    <xf numFmtId="3" fontId="14" fillId="5" borderId="60" xfId="1" applyNumberFormat="1" applyFont="1" applyFill="1" applyBorder="1" applyAlignment="1">
      <alignment horizontal="right" vertical="center" wrapText="1"/>
    </xf>
    <xf numFmtId="3" fontId="17" fillId="5" borderId="58" xfId="1" applyNumberFormat="1" applyFont="1" applyFill="1" applyBorder="1" applyAlignment="1">
      <alignment horizontal="right" vertical="center" wrapText="1"/>
    </xf>
    <xf numFmtId="3" fontId="9" fillId="5" borderId="47" xfId="1" applyNumberFormat="1" applyFont="1" applyFill="1" applyBorder="1" applyAlignment="1">
      <alignment horizontal="right" vertical="center" wrapText="1"/>
    </xf>
    <xf numFmtId="3" fontId="14" fillId="0" borderId="60" xfId="1" applyNumberFormat="1" applyFont="1" applyFill="1" applyBorder="1" applyAlignment="1">
      <alignment horizontal="right" vertical="center" wrapText="1"/>
    </xf>
    <xf numFmtId="3" fontId="9" fillId="0" borderId="63" xfId="1" applyNumberFormat="1" applyFont="1" applyFill="1" applyBorder="1" applyAlignment="1">
      <alignment horizontal="right" vertical="center" wrapText="1"/>
    </xf>
    <xf numFmtId="3" fontId="9" fillId="11" borderId="63" xfId="1" applyNumberFormat="1" applyFont="1" applyFill="1" applyBorder="1" applyAlignment="1">
      <alignment horizontal="right" vertical="center" wrapText="1"/>
    </xf>
    <xf numFmtId="3" fontId="9" fillId="11" borderId="58" xfId="1" applyNumberFormat="1" applyFont="1" applyFill="1" applyBorder="1" applyAlignment="1">
      <alignment horizontal="right" vertical="center" wrapText="1"/>
    </xf>
    <xf numFmtId="3" fontId="9" fillId="11" borderId="47" xfId="1" applyNumberFormat="1" applyFont="1" applyFill="1" applyBorder="1" applyAlignment="1">
      <alignment horizontal="right" vertical="center" wrapText="1"/>
    </xf>
    <xf numFmtId="3" fontId="9" fillId="0" borderId="58" xfId="0" applyNumberFormat="1" applyFont="1" applyFill="1" applyBorder="1" applyAlignment="1">
      <alignment vertical="center" wrapText="1"/>
    </xf>
    <xf numFmtId="3" fontId="9" fillId="5" borderId="58" xfId="0" applyNumberFormat="1" applyFont="1" applyFill="1" applyBorder="1" applyAlignment="1">
      <alignment vertical="center" wrapText="1"/>
    </xf>
    <xf numFmtId="3" fontId="14" fillId="0" borderId="58" xfId="0" applyNumberFormat="1" applyFont="1" applyFill="1" applyBorder="1" applyAlignment="1">
      <alignment vertical="center" wrapText="1"/>
    </xf>
    <xf numFmtId="3" fontId="9" fillId="0" borderId="47" xfId="0" applyNumberFormat="1" applyFont="1" applyFill="1" applyBorder="1" applyAlignment="1">
      <alignment vertical="center" wrapText="1"/>
    </xf>
    <xf numFmtId="3" fontId="17" fillId="0" borderId="58" xfId="0" applyNumberFormat="1" applyFont="1" applyFill="1" applyBorder="1" applyAlignment="1">
      <alignment vertical="center" wrapText="1"/>
    </xf>
    <xf numFmtId="3" fontId="9" fillId="0" borderId="60" xfId="0" applyNumberFormat="1" applyFont="1" applyFill="1" applyBorder="1" applyAlignment="1">
      <alignment vertical="center" wrapText="1"/>
    </xf>
    <xf numFmtId="3" fontId="9" fillId="0" borderId="70" xfId="0" applyNumberFormat="1" applyFont="1" applyFill="1" applyBorder="1" applyAlignment="1">
      <alignment vertical="center" wrapText="1"/>
    </xf>
    <xf numFmtId="3" fontId="12" fillId="0" borderId="58" xfId="1" applyNumberFormat="1" applyFont="1" applyFill="1" applyBorder="1" applyAlignment="1">
      <alignment horizontal="right" vertical="center" wrapText="1"/>
    </xf>
    <xf numFmtId="3" fontId="9" fillId="0" borderId="49" xfId="1" applyNumberFormat="1" applyFont="1" applyFill="1" applyBorder="1" applyAlignment="1">
      <alignment vertical="center" wrapText="1"/>
    </xf>
    <xf numFmtId="3" fontId="7" fillId="5" borderId="58" xfId="1" applyNumberFormat="1" applyFont="1" applyFill="1" applyBorder="1" applyAlignment="1">
      <alignment horizontal="right" vertical="center" wrapText="1"/>
    </xf>
    <xf numFmtId="3" fontId="9" fillId="12" borderId="68" xfId="1" applyNumberFormat="1" applyFont="1" applyFill="1" applyBorder="1" applyAlignment="1">
      <alignment vertical="center" wrapText="1"/>
    </xf>
    <xf numFmtId="3" fontId="9" fillId="12" borderId="61" xfId="1" applyNumberFormat="1" applyFont="1" applyFill="1" applyBorder="1" applyAlignment="1">
      <alignment vertical="center" wrapText="1"/>
    </xf>
    <xf numFmtId="49" fontId="9" fillId="0" borderId="6" xfId="0" applyNumberFormat="1" applyFont="1" applyFill="1" applyBorder="1" applyAlignment="1">
      <alignment horizontal="center" vertical="center" wrapText="1" shrinkToFit="1"/>
    </xf>
    <xf numFmtId="0" fontId="47" fillId="0" borderId="18" xfId="0" applyFont="1" applyFill="1" applyBorder="1" applyAlignment="1">
      <alignment horizontal="center" vertical="center" wrapText="1"/>
    </xf>
    <xf numFmtId="2" fontId="8" fillId="0" borderId="18" xfId="0" applyNumberFormat="1" applyFont="1" applyFill="1" applyBorder="1" applyAlignment="1">
      <alignment horizontal="center" vertical="center" wrapText="1"/>
    </xf>
    <xf numFmtId="3" fontId="7" fillId="0" borderId="57" xfId="0" applyNumberFormat="1" applyFont="1" applyFill="1" applyBorder="1" applyAlignment="1">
      <alignment horizontal="right" vertical="center" wrapText="1"/>
    </xf>
    <xf numFmtId="1" fontId="7" fillId="0" borderId="18" xfId="0" applyNumberFormat="1" applyFont="1" applyFill="1" applyBorder="1" applyAlignment="1">
      <alignment horizontal="right" vertical="center" wrapText="1"/>
    </xf>
    <xf numFmtId="3" fontId="29" fillId="0" borderId="54" xfId="0" applyNumberFormat="1" applyFont="1" applyFill="1" applyBorder="1" applyAlignment="1">
      <alignment horizontal="right" vertical="center" wrapText="1"/>
    </xf>
    <xf numFmtId="3" fontId="15" fillId="0" borderId="58" xfId="0" applyNumberFormat="1" applyFont="1" applyFill="1" applyBorder="1" applyAlignment="1">
      <alignment horizontal="right" vertical="center"/>
    </xf>
    <xf numFmtId="3" fontId="9" fillId="23" borderId="25" xfId="0" applyNumberFormat="1" applyFont="1" applyFill="1" applyBorder="1" applyAlignment="1">
      <alignment horizontal="right" vertical="center" wrapText="1"/>
    </xf>
    <xf numFmtId="3" fontId="9" fillId="5" borderId="31" xfId="0" applyNumberFormat="1" applyFont="1" applyFill="1" applyBorder="1" applyAlignment="1">
      <alignment horizontal="right" vertical="center" wrapText="1"/>
    </xf>
    <xf numFmtId="3" fontId="12" fillId="23" borderId="31" xfId="0" applyNumberFormat="1" applyFont="1" applyFill="1" applyBorder="1" applyAlignment="1">
      <alignment horizontal="right" vertical="center" wrapText="1"/>
    </xf>
    <xf numFmtId="3" fontId="9" fillId="23" borderId="15" xfId="0" applyNumberFormat="1" applyFont="1" applyFill="1" applyBorder="1" applyAlignment="1">
      <alignment horizontal="right" vertical="center" wrapText="1"/>
    </xf>
    <xf numFmtId="3" fontId="12" fillId="23" borderId="15" xfId="0" applyNumberFormat="1" applyFont="1" applyFill="1" applyBorder="1" applyAlignment="1">
      <alignment horizontal="right" vertical="center" wrapText="1"/>
    </xf>
    <xf numFmtId="3" fontId="9" fillId="23" borderId="30" xfId="0" applyNumberFormat="1" applyFont="1" applyFill="1" applyBorder="1" applyAlignment="1">
      <alignment horizontal="right" vertical="center" wrapText="1"/>
    </xf>
    <xf numFmtId="3" fontId="29" fillId="23" borderId="15" xfId="0" applyNumberFormat="1" applyFont="1" applyFill="1" applyBorder="1" applyAlignment="1">
      <alignment horizontal="right" vertical="center" wrapText="1"/>
    </xf>
    <xf numFmtId="3" fontId="29" fillId="23" borderId="12" xfId="0" applyNumberFormat="1" applyFont="1" applyFill="1" applyBorder="1" applyAlignment="1">
      <alignment horizontal="right" vertical="center" wrapText="1"/>
    </xf>
    <xf numFmtId="3" fontId="9" fillId="23" borderId="12" xfId="0" applyNumberFormat="1" applyFont="1" applyFill="1" applyBorder="1" applyAlignment="1">
      <alignment horizontal="right" vertical="center" wrapText="1"/>
    </xf>
    <xf numFmtId="3" fontId="12" fillId="23" borderId="4" xfId="0" applyNumberFormat="1" applyFont="1" applyFill="1" applyBorder="1" applyAlignment="1">
      <alignment horizontal="right" vertical="center" wrapText="1"/>
    </xf>
    <xf numFmtId="3" fontId="9" fillId="23" borderId="31" xfId="0" applyNumberFormat="1" applyFont="1" applyFill="1" applyBorder="1" applyAlignment="1">
      <alignment horizontal="right" vertical="center" wrapText="1"/>
    </xf>
    <xf numFmtId="3" fontId="9" fillId="5" borderId="15" xfId="0" applyNumberFormat="1" applyFont="1" applyFill="1" applyBorder="1" applyAlignment="1">
      <alignment horizontal="right" vertical="center" wrapText="1"/>
    </xf>
    <xf numFmtId="3" fontId="29" fillId="23" borderId="25" xfId="0" applyNumberFormat="1" applyFont="1" applyFill="1" applyBorder="1" applyAlignment="1">
      <alignment horizontal="right" vertical="center" wrapText="1"/>
    </xf>
    <xf numFmtId="3" fontId="29" fillId="23" borderId="30" xfId="0" applyNumberFormat="1" applyFont="1" applyFill="1" applyBorder="1" applyAlignment="1">
      <alignment horizontal="right" vertical="center" wrapText="1"/>
    </xf>
    <xf numFmtId="3" fontId="9" fillId="5" borderId="25" xfId="0" applyNumberFormat="1" applyFont="1" applyFill="1" applyBorder="1" applyAlignment="1">
      <alignment horizontal="right" vertical="center" wrapText="1"/>
    </xf>
    <xf numFmtId="3" fontId="29" fillId="23" borderId="31" xfId="0" applyNumberFormat="1" applyFont="1" applyFill="1" applyBorder="1" applyAlignment="1">
      <alignment horizontal="right" vertical="center" wrapText="1"/>
    </xf>
    <xf numFmtId="3" fontId="7" fillId="5" borderId="16" xfId="0" applyNumberFormat="1" applyFont="1" applyFill="1" applyBorder="1" applyAlignment="1">
      <alignment vertical="center" wrapText="1"/>
    </xf>
    <xf numFmtId="3" fontId="15" fillId="0" borderId="16" xfId="0" applyNumberFormat="1" applyFont="1" applyFill="1" applyBorder="1" applyAlignment="1">
      <alignment vertical="center" wrapText="1"/>
    </xf>
    <xf numFmtId="49" fontId="12" fillId="5" borderId="14" xfId="0" applyNumberFormat="1" applyFont="1" applyFill="1" applyBorder="1" applyAlignment="1">
      <alignment horizontal="center" vertical="center" wrapText="1"/>
    </xf>
    <xf numFmtId="49" fontId="12" fillId="5" borderId="14" xfId="0" applyNumberFormat="1" applyFont="1" applyFill="1" applyBorder="1" applyAlignment="1">
      <alignment horizontal="center" vertical="center" wrapText="1" shrinkToFit="1"/>
    </xf>
    <xf numFmtId="0" fontId="11" fillId="5" borderId="14" xfId="1" applyFont="1" applyFill="1" applyBorder="1" applyAlignment="1">
      <alignment horizontal="center" vertical="center" wrapText="1"/>
    </xf>
    <xf numFmtId="0" fontId="59" fillId="5" borderId="14" xfId="1" applyFont="1" applyFill="1" applyBorder="1" applyAlignment="1">
      <alignment horizontal="center" vertical="center" wrapText="1"/>
    </xf>
    <xf numFmtId="3" fontId="12" fillId="5" borderId="16" xfId="1" applyNumberFormat="1" applyFont="1" applyFill="1" applyBorder="1" applyAlignment="1">
      <alignment vertical="center" wrapText="1"/>
    </xf>
    <xf numFmtId="3" fontId="12" fillId="5" borderId="14" xfId="1" applyNumberFormat="1" applyFont="1" applyFill="1" applyBorder="1" applyAlignment="1">
      <alignment horizontal="right" vertical="center" wrapText="1"/>
    </xf>
    <xf numFmtId="3" fontId="11" fillId="5" borderId="70" xfId="1" applyNumberFormat="1" applyFont="1" applyFill="1" applyBorder="1" applyAlignment="1">
      <alignment horizontal="right" vertical="center" wrapText="1"/>
    </xf>
    <xf numFmtId="3" fontId="11" fillId="5" borderId="70" xfId="0" applyNumberFormat="1" applyFont="1" applyFill="1" applyBorder="1" applyAlignment="1">
      <alignment vertical="center" wrapText="1"/>
    </xf>
    <xf numFmtId="3" fontId="11" fillId="5" borderId="71" xfId="0" applyNumberFormat="1" applyFont="1" applyFill="1" applyBorder="1" applyAlignment="1">
      <alignment vertical="center" wrapText="1"/>
    </xf>
    <xf numFmtId="3" fontId="11" fillId="5" borderId="52" xfId="0" applyNumberFormat="1" applyFont="1" applyFill="1" applyBorder="1" applyAlignment="1">
      <alignment vertical="center" wrapText="1"/>
    </xf>
    <xf numFmtId="3" fontId="12" fillId="5" borderId="18" xfId="0" applyNumberFormat="1" applyFont="1" applyFill="1" applyBorder="1" applyAlignment="1">
      <alignment horizontal="right" vertical="center" wrapText="1"/>
    </xf>
    <xf numFmtId="3" fontId="11" fillId="5" borderId="70" xfId="0" applyNumberFormat="1" applyFont="1" applyFill="1" applyBorder="1" applyAlignment="1">
      <alignment horizontal="right" vertical="center" wrapText="1"/>
    </xf>
    <xf numFmtId="3" fontId="11" fillId="5" borderId="78" xfId="0" applyNumberFormat="1" applyFont="1" applyFill="1" applyBorder="1" applyAlignment="1">
      <alignment horizontal="right" vertical="center" wrapText="1"/>
    </xf>
    <xf numFmtId="3" fontId="11" fillId="5" borderId="56" xfId="0" applyNumberFormat="1" applyFont="1" applyFill="1" applyBorder="1" applyAlignment="1">
      <alignment horizontal="right" vertical="center" wrapText="1"/>
    </xf>
    <xf numFmtId="3" fontId="11" fillId="5" borderId="38" xfId="0" applyNumberFormat="1" applyFont="1" applyFill="1" applyBorder="1" applyAlignment="1">
      <alignment horizontal="right" vertical="center" wrapText="1"/>
    </xf>
    <xf numFmtId="3" fontId="11" fillId="5" borderId="76" xfId="0" applyNumberFormat="1" applyFont="1" applyFill="1" applyBorder="1" applyAlignment="1">
      <alignment horizontal="right" vertical="center" wrapText="1"/>
    </xf>
    <xf numFmtId="49" fontId="11" fillId="5" borderId="14" xfId="0" applyNumberFormat="1" applyFont="1" applyFill="1" applyBorder="1" applyAlignment="1">
      <alignment horizontal="center" vertical="center" wrapText="1"/>
    </xf>
    <xf numFmtId="3" fontId="12" fillId="0" borderId="47" xfId="0" applyNumberFormat="1" applyFont="1" applyFill="1" applyBorder="1" applyAlignment="1">
      <alignment vertical="center" wrapText="1"/>
    </xf>
    <xf numFmtId="3" fontId="7" fillId="5" borderId="65" xfId="0" applyNumberFormat="1" applyFont="1" applyFill="1" applyBorder="1" applyAlignment="1">
      <alignment horizontal="right" vertical="center" wrapText="1"/>
    </xf>
    <xf numFmtId="3" fontId="14" fillId="0" borderId="47" xfId="1" applyNumberFormat="1" applyFont="1" applyFill="1" applyBorder="1" applyAlignment="1">
      <alignment horizontal="right" vertical="center" wrapText="1"/>
    </xf>
    <xf numFmtId="3" fontId="13" fillId="0" borderId="65" xfId="0" applyNumberFormat="1" applyFont="1" applyFill="1" applyBorder="1" applyAlignment="1">
      <alignment horizontal="right" vertical="center" wrapText="1"/>
    </xf>
    <xf numFmtId="3" fontId="7" fillId="0" borderId="60" xfId="3" applyNumberFormat="1" applyFont="1" applyFill="1" applyBorder="1" applyAlignment="1">
      <alignment vertical="center"/>
    </xf>
    <xf numFmtId="3" fontId="11" fillId="0" borderId="55" xfId="0" applyNumberFormat="1" applyFont="1" applyFill="1" applyBorder="1" applyAlignment="1">
      <alignment vertical="center" wrapText="1"/>
    </xf>
    <xf numFmtId="3" fontId="9" fillId="5" borderId="68" xfId="0" applyNumberFormat="1" applyFont="1" applyFill="1" applyBorder="1" applyAlignment="1">
      <alignment vertical="center" wrapText="1"/>
    </xf>
    <xf numFmtId="3" fontId="29" fillId="0" borderId="49" xfId="0" applyNumberFormat="1" applyFont="1" applyFill="1" applyBorder="1" applyAlignment="1">
      <alignment vertical="center" wrapText="1"/>
    </xf>
    <xf numFmtId="3" fontId="9" fillId="5" borderId="49" xfId="0" applyNumberFormat="1" applyFont="1" applyFill="1" applyBorder="1" applyAlignment="1">
      <alignment vertical="center" wrapText="1"/>
    </xf>
    <xf numFmtId="3" fontId="9" fillId="0" borderId="49" xfId="0" applyNumberFormat="1" applyFont="1" applyFill="1" applyBorder="1" applyAlignment="1">
      <alignment vertical="center" wrapText="1"/>
    </xf>
    <xf numFmtId="3" fontId="14" fillId="0" borderId="47" xfId="0" applyNumberFormat="1" applyFont="1" applyFill="1" applyBorder="1" applyAlignment="1">
      <alignment vertical="center" wrapText="1"/>
    </xf>
    <xf numFmtId="3" fontId="7" fillId="5" borderId="58" xfId="0" applyNumberFormat="1" applyFont="1" applyFill="1" applyBorder="1" applyAlignment="1">
      <alignment vertical="center"/>
    </xf>
    <xf numFmtId="3" fontId="7" fillId="0" borderId="49" xfId="0" applyNumberFormat="1" applyFont="1" applyFill="1" applyBorder="1" applyAlignment="1">
      <alignment vertical="center"/>
    </xf>
    <xf numFmtId="3" fontId="30" fillId="0" borderId="60" xfId="0" applyNumberFormat="1" applyFont="1" applyFill="1" applyBorder="1" applyAlignment="1">
      <alignment vertical="center"/>
    </xf>
    <xf numFmtId="3" fontId="7" fillId="11" borderId="58" xfId="0" applyNumberFormat="1" applyFont="1" applyFill="1" applyBorder="1" applyAlignment="1">
      <alignment vertical="center"/>
    </xf>
    <xf numFmtId="3" fontId="11" fillId="5" borderId="16" xfId="0" applyNumberFormat="1" applyFont="1" applyFill="1" applyBorder="1" applyAlignment="1">
      <alignment vertical="center" wrapText="1"/>
    </xf>
    <xf numFmtId="49" fontId="30" fillId="0" borderId="15"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xf>
    <xf numFmtId="0" fontId="11" fillId="5" borderId="16" xfId="0" applyFont="1" applyFill="1" applyBorder="1" applyAlignment="1">
      <alignment horizontal="center" vertical="center" wrapText="1"/>
    </xf>
    <xf numFmtId="4" fontId="7" fillId="5" borderId="32" xfId="0" applyNumberFormat="1" applyFont="1" applyFill="1" applyBorder="1" applyAlignment="1">
      <alignment horizontal="center" vertical="center" wrapText="1"/>
    </xf>
    <xf numFmtId="3" fontId="12" fillId="0" borderId="47" xfId="1" applyNumberFormat="1" applyFont="1" applyFill="1" applyBorder="1" applyAlignment="1">
      <alignment horizontal="right" vertical="center" wrapText="1"/>
    </xf>
    <xf numFmtId="3" fontId="11" fillId="0" borderId="20" xfId="0" applyNumberFormat="1" applyFont="1" applyFill="1" applyBorder="1" applyAlignment="1">
      <alignment horizontal="right" vertical="center" wrapText="1"/>
    </xf>
    <xf numFmtId="3" fontId="11" fillId="0" borderId="26" xfId="0" applyNumberFormat="1" applyFont="1" applyFill="1" applyBorder="1" applyAlignment="1">
      <alignment horizontal="right" vertical="center" wrapText="1"/>
    </xf>
    <xf numFmtId="3" fontId="12" fillId="8" borderId="26" xfId="0" applyNumberFormat="1" applyFont="1" applyFill="1" applyBorder="1" applyAlignment="1">
      <alignment horizontal="right" vertical="center" wrapText="1"/>
    </xf>
    <xf numFmtId="3" fontId="11" fillId="23" borderId="32" xfId="0" applyNumberFormat="1" applyFont="1" applyFill="1" applyBorder="1" applyAlignment="1">
      <alignment horizontal="right" vertical="center" wrapText="1"/>
    </xf>
    <xf numFmtId="49" fontId="9" fillId="0" borderId="0" xfId="0" applyNumberFormat="1" applyFont="1" applyFill="1" applyBorder="1" applyAlignment="1">
      <alignment vertical="center" wrapText="1"/>
    </xf>
    <xf numFmtId="3" fontId="7" fillId="0" borderId="62" xfId="0" applyNumberFormat="1" applyFont="1" applyFill="1" applyBorder="1" applyAlignment="1">
      <alignment horizontal="right" vertical="center" wrapText="1"/>
    </xf>
    <xf numFmtId="3" fontId="9" fillId="33" borderId="14" xfId="0" applyNumberFormat="1" applyFont="1" applyFill="1" applyBorder="1" applyAlignment="1">
      <alignment horizontal="right" vertical="center" wrapText="1"/>
    </xf>
    <xf numFmtId="3" fontId="7" fillId="0" borderId="30" xfId="0" applyNumberFormat="1" applyFont="1" applyFill="1" applyBorder="1" applyAlignment="1">
      <alignment horizontal="right" vertical="center"/>
    </xf>
    <xf numFmtId="3" fontId="7" fillId="0" borderId="55" xfId="0" applyNumberFormat="1" applyFont="1" applyFill="1" applyBorder="1" applyAlignment="1">
      <alignment horizontal="right" vertical="center"/>
    </xf>
    <xf numFmtId="3" fontId="7" fillId="0" borderId="56" xfId="0" applyNumberFormat="1" applyFont="1" applyFill="1" applyBorder="1" applyAlignment="1">
      <alignment horizontal="right" vertical="center"/>
    </xf>
    <xf numFmtId="3" fontId="7" fillId="0" borderId="38"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49" fontId="7" fillId="0" borderId="12" xfId="0" applyNumberFormat="1" applyFont="1" applyFill="1" applyBorder="1" applyAlignment="1">
      <alignment horizontal="center" vertical="center"/>
    </xf>
    <xf numFmtId="3" fontId="9" fillId="5" borderId="13" xfId="0" applyNumberFormat="1" applyFont="1" applyFill="1" applyBorder="1" applyAlignment="1">
      <alignment horizontal="right" vertical="center"/>
    </xf>
    <xf numFmtId="3" fontId="7" fillId="5" borderId="14" xfId="0" applyNumberFormat="1" applyFont="1" applyFill="1" applyBorder="1" applyAlignment="1">
      <alignment horizontal="right" vertical="center"/>
    </xf>
    <xf numFmtId="3" fontId="9" fillId="5" borderId="70" xfId="0" applyNumberFormat="1" applyFont="1" applyFill="1" applyBorder="1" applyAlignment="1">
      <alignment horizontal="right" vertical="center"/>
    </xf>
    <xf numFmtId="3" fontId="7" fillId="5" borderId="60" xfId="0" applyNumberFormat="1" applyFont="1" applyFill="1" applyBorder="1" applyAlignment="1">
      <alignment vertical="center"/>
    </xf>
    <xf numFmtId="3" fontId="7" fillId="5" borderId="60" xfId="0" applyNumberFormat="1" applyFont="1" applyFill="1" applyBorder="1" applyAlignment="1">
      <alignment horizontal="right" vertical="center"/>
    </xf>
    <xf numFmtId="3" fontId="7" fillId="5" borderId="48" xfId="0" applyNumberFormat="1" applyFont="1" applyFill="1" applyBorder="1" applyAlignment="1">
      <alignment horizontal="right" vertical="center"/>
    </xf>
    <xf numFmtId="3" fontId="7" fillId="5" borderId="71" xfId="0" applyNumberFormat="1" applyFont="1" applyFill="1" applyBorder="1" applyAlignment="1">
      <alignment horizontal="right" vertical="center"/>
    </xf>
    <xf numFmtId="3" fontId="7" fillId="5" borderId="54" xfId="0" applyNumberFormat="1" applyFont="1" applyFill="1" applyBorder="1" applyAlignment="1">
      <alignment horizontal="right" vertical="center"/>
    </xf>
    <xf numFmtId="3" fontId="9" fillId="0" borderId="65" xfId="0" applyNumberFormat="1" applyFont="1" applyFill="1" applyBorder="1" applyAlignment="1">
      <alignment horizontal="right" vertical="center"/>
    </xf>
    <xf numFmtId="3" fontId="7" fillId="33" borderId="0" xfId="0" applyNumberFormat="1" applyFont="1" applyFill="1" applyBorder="1" applyAlignment="1">
      <alignment horizontal="right" vertical="center" wrapText="1"/>
    </xf>
    <xf numFmtId="3" fontId="9" fillId="33" borderId="22" xfId="0" applyNumberFormat="1" applyFont="1" applyFill="1" applyBorder="1" applyAlignment="1">
      <alignment horizontal="right" vertical="center" wrapText="1"/>
    </xf>
    <xf numFmtId="3" fontId="7" fillId="0" borderId="29" xfId="0" applyNumberFormat="1" applyFont="1" applyFill="1" applyBorder="1" applyAlignment="1">
      <alignment horizontal="right" vertical="center"/>
    </xf>
    <xf numFmtId="3" fontId="9" fillId="0" borderId="63" xfId="0" applyNumberFormat="1" applyFont="1" applyFill="1" applyBorder="1" applyAlignment="1">
      <alignment horizontal="right" vertical="center"/>
    </xf>
    <xf numFmtId="3" fontId="9" fillId="8" borderId="2"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xf>
    <xf numFmtId="0" fontId="7" fillId="0" borderId="4" xfId="0" applyFont="1" applyFill="1" applyBorder="1" applyAlignment="1">
      <alignment horizontal="center" vertical="center"/>
    </xf>
    <xf numFmtId="3" fontId="7" fillId="33" borderId="19" xfId="0" applyNumberFormat="1" applyFont="1" applyFill="1" applyBorder="1" applyAlignment="1">
      <alignment horizontal="right" vertical="center" wrapText="1"/>
    </xf>
    <xf numFmtId="0" fontId="61" fillId="5" borderId="1" xfId="0" applyFont="1" applyFill="1" applyBorder="1"/>
    <xf numFmtId="3" fontId="7" fillId="5" borderId="68" xfId="0" applyNumberFormat="1" applyFont="1" applyFill="1" applyBorder="1" applyAlignment="1">
      <alignment horizontal="right" vertical="center" wrapText="1"/>
    </xf>
    <xf numFmtId="3" fontId="11" fillId="5" borderId="60" xfId="0" applyNumberFormat="1" applyFont="1" applyFill="1" applyBorder="1" applyAlignment="1">
      <alignment horizontal="right" vertical="center" wrapText="1"/>
    </xf>
    <xf numFmtId="0" fontId="11" fillId="0" borderId="13" xfId="1" applyFont="1" applyFill="1" applyBorder="1" applyAlignment="1">
      <alignment horizontal="center" vertical="center" wrapText="1"/>
    </xf>
    <xf numFmtId="0" fontId="7" fillId="12" borderId="14" xfId="1" applyFont="1" applyFill="1" applyBorder="1" applyAlignment="1">
      <alignment horizontal="center" vertical="center" wrapText="1"/>
    </xf>
    <xf numFmtId="0" fontId="15" fillId="0" borderId="33" xfId="1" applyFont="1" applyFill="1" applyBorder="1" applyAlignment="1">
      <alignment horizontal="center" vertical="center"/>
    </xf>
    <xf numFmtId="0" fontId="11" fillId="5" borderId="18" xfId="1" applyFont="1" applyFill="1" applyBorder="1" applyAlignment="1">
      <alignment horizontal="center" vertical="center" wrapText="1"/>
    </xf>
    <xf numFmtId="0" fontId="15" fillId="0" borderId="18" xfId="1" applyFont="1" applyFill="1" applyBorder="1" applyAlignment="1">
      <alignment horizontal="center" vertical="center"/>
    </xf>
    <xf numFmtId="0" fontId="30" fillId="0" borderId="13" xfId="1" applyFont="1" applyFill="1" applyBorder="1" applyAlignment="1">
      <alignment horizontal="center" vertical="center"/>
    </xf>
    <xf numFmtId="0" fontId="7" fillId="5" borderId="14" xfId="1" applyFont="1" applyFill="1" applyBorder="1" applyAlignment="1">
      <alignment horizontal="center" vertical="center"/>
    </xf>
    <xf numFmtId="0" fontId="7" fillId="0" borderId="2" xfId="1" applyFont="1" applyFill="1" applyBorder="1" applyAlignment="1">
      <alignment horizontal="center" vertical="center"/>
    </xf>
    <xf numFmtId="3" fontId="65" fillId="34" borderId="48" xfId="0" applyNumberFormat="1" applyFont="1" applyFill="1" applyBorder="1" applyAlignment="1">
      <alignment horizontal="right" vertical="center"/>
    </xf>
    <xf numFmtId="0" fontId="22" fillId="34" borderId="56" xfId="0" applyFont="1" applyFill="1" applyBorder="1" applyAlignment="1">
      <alignment horizontal="center" vertical="center" wrapText="1"/>
    </xf>
    <xf numFmtId="3" fontId="60" fillId="14" borderId="48" xfId="0" applyNumberFormat="1" applyFont="1" applyFill="1" applyBorder="1" applyAlignment="1">
      <alignment vertical="center"/>
    </xf>
    <xf numFmtId="3" fontId="60" fillId="14" borderId="17" xfId="0" applyNumberFormat="1" applyFont="1" applyFill="1" applyBorder="1" applyAlignment="1">
      <alignment vertical="center"/>
    </xf>
    <xf numFmtId="3" fontId="65" fillId="34" borderId="21" xfId="0" applyNumberFormat="1" applyFont="1" applyFill="1" applyBorder="1" applyAlignment="1">
      <alignment horizontal="right" vertical="center"/>
    </xf>
    <xf numFmtId="3" fontId="66" fillId="14" borderId="21" xfId="0" applyNumberFormat="1" applyFont="1" applyFill="1" applyBorder="1" applyAlignment="1">
      <alignment vertical="center"/>
    </xf>
    <xf numFmtId="3" fontId="66" fillId="14" borderId="79" xfId="0" applyNumberFormat="1" applyFont="1" applyFill="1" applyBorder="1" applyAlignment="1">
      <alignment vertical="center"/>
    </xf>
    <xf numFmtId="0" fontId="22" fillId="14" borderId="56" xfId="0" applyFont="1" applyFill="1" applyBorder="1" applyAlignment="1">
      <alignment horizontal="center" vertical="center" wrapText="1"/>
    </xf>
    <xf numFmtId="0" fontId="22" fillId="14" borderId="57" xfId="0" applyFont="1" applyFill="1" applyBorder="1" applyAlignment="1">
      <alignment horizontal="center" vertical="center" wrapText="1"/>
    </xf>
    <xf numFmtId="3" fontId="65" fillId="34" borderId="43" xfId="0" applyNumberFormat="1" applyFont="1" applyFill="1" applyBorder="1" applyAlignment="1">
      <alignment horizontal="right" vertical="center"/>
    </xf>
    <xf numFmtId="3" fontId="66" fillId="14" borderId="43" xfId="0" applyNumberFormat="1" applyFont="1" applyFill="1" applyBorder="1" applyAlignment="1">
      <alignment vertical="center"/>
    </xf>
    <xf numFmtId="0" fontId="66" fillId="14" borderId="80" xfId="0" applyFont="1" applyFill="1" applyBorder="1" applyAlignment="1">
      <alignment vertical="center"/>
    </xf>
    <xf numFmtId="0" fontId="22" fillId="0" borderId="21" xfId="0" applyFont="1" applyBorder="1" applyAlignment="1">
      <alignment horizontal="center" vertical="center"/>
    </xf>
    <xf numFmtId="0" fontId="0" fillId="0" borderId="21" xfId="0" applyBorder="1" applyAlignment="1"/>
    <xf numFmtId="0" fontId="22" fillId="0" borderId="79" xfId="0" applyFont="1" applyBorder="1" applyAlignment="1">
      <alignment horizontal="center" vertical="center"/>
    </xf>
    <xf numFmtId="3" fontId="65" fillId="34" borderId="56" xfId="0" applyNumberFormat="1" applyFont="1" applyFill="1" applyBorder="1" applyAlignment="1">
      <alignment horizontal="right" vertical="center"/>
    </xf>
    <xf numFmtId="3" fontId="65" fillId="14" borderId="56" xfId="0" applyNumberFormat="1" applyFont="1" applyFill="1" applyBorder="1" applyAlignment="1">
      <alignment horizontal="right" vertical="center"/>
    </xf>
    <xf numFmtId="3" fontId="65" fillId="14" borderId="57" xfId="0" applyNumberFormat="1" applyFont="1" applyFill="1" applyBorder="1" applyAlignment="1">
      <alignment horizontal="right" vertical="center"/>
    </xf>
    <xf numFmtId="166" fontId="7" fillId="0" borderId="0" xfId="0" applyNumberFormat="1" applyFont="1" applyAlignment="1">
      <alignment horizontal="center" vertical="center"/>
    </xf>
    <xf numFmtId="49" fontId="9" fillId="0" borderId="12"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3" fontId="8" fillId="0" borderId="0" xfId="0" applyNumberFormat="1" applyFont="1" applyAlignment="1">
      <alignment horizontal="center" vertical="center" wrapText="1"/>
    </xf>
    <xf numFmtId="3" fontId="9" fillId="0" borderId="2" xfId="1" applyNumberFormat="1" applyFont="1" applyFill="1" applyBorder="1" applyAlignment="1">
      <alignment horizontal="right" vertical="center" wrapText="1"/>
    </xf>
    <xf numFmtId="3" fontId="7" fillId="0" borderId="8" xfId="1" applyNumberFormat="1" applyFont="1" applyFill="1" applyBorder="1" applyAlignment="1">
      <alignment horizontal="right" vertical="center" wrapText="1"/>
    </xf>
    <xf numFmtId="3" fontId="9" fillId="36" borderId="2"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0" fontId="0" fillId="8" borderId="3" xfId="0" applyFill="1" applyBorder="1" applyAlignment="1">
      <alignment horizontal="center" vertical="center" wrapText="1"/>
    </xf>
    <xf numFmtId="0" fontId="0" fillId="8" borderId="14" xfId="0"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4" xfId="0" applyFont="1" applyFill="1" applyBorder="1" applyAlignment="1">
      <alignment horizontal="center" vertical="center" wrapText="1"/>
    </xf>
    <xf numFmtId="166" fontId="9" fillId="3" borderId="3" xfId="1" applyNumberFormat="1" applyFont="1" applyFill="1" applyBorder="1" applyAlignment="1">
      <alignment horizontal="center" vertical="center" wrapText="1"/>
    </xf>
    <xf numFmtId="166" fontId="9" fillId="3" borderId="14" xfId="1" applyNumberFormat="1" applyFont="1" applyFill="1" applyBorder="1" applyAlignment="1">
      <alignment horizontal="center" vertical="center" wrapText="1"/>
    </xf>
    <xf numFmtId="166" fontId="9" fillId="24" borderId="3" xfId="1" applyNumberFormat="1" applyFont="1" applyFill="1" applyBorder="1" applyAlignment="1">
      <alignment horizontal="center" vertical="center" wrapText="1"/>
    </xf>
    <xf numFmtId="166" fontId="9" fillId="24" borderId="14" xfId="1" applyNumberFormat="1" applyFont="1" applyFill="1" applyBorder="1" applyAlignment="1">
      <alignment horizontal="center" vertical="center" wrapText="1"/>
    </xf>
    <xf numFmtId="166" fontId="9" fillId="11" borderId="3" xfId="1" applyNumberFormat="1" applyFont="1" applyFill="1" applyBorder="1" applyAlignment="1">
      <alignment horizontal="center" vertical="center" wrapText="1"/>
    </xf>
    <xf numFmtId="166" fontId="9" fillId="11" borderId="14" xfId="1" applyNumberFormat="1" applyFont="1" applyFill="1" applyBorder="1" applyAlignment="1">
      <alignment horizontal="center" vertical="center" wrapText="1"/>
    </xf>
    <xf numFmtId="0" fontId="9" fillId="21" borderId="3" xfId="1" applyFont="1" applyFill="1" applyBorder="1" applyAlignment="1">
      <alignment horizontal="center" vertical="center" wrapText="1"/>
    </xf>
    <xf numFmtId="0" fontId="9" fillId="21" borderId="14" xfId="1" applyFont="1" applyFill="1" applyBorder="1" applyAlignment="1">
      <alignment horizontal="center" vertical="center" wrapText="1"/>
    </xf>
    <xf numFmtId="166" fontId="9" fillId="19" borderId="3" xfId="1" applyNumberFormat="1" applyFont="1" applyFill="1" applyBorder="1" applyAlignment="1">
      <alignment horizontal="center" vertical="center" wrapText="1"/>
    </xf>
    <xf numFmtId="166" fontId="9" fillId="19" borderId="14" xfId="1" applyNumberFormat="1"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25" fillId="2" borderId="12"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49" fontId="9" fillId="12" borderId="2" xfId="0" applyNumberFormat="1" applyFont="1" applyFill="1" applyBorder="1" applyAlignment="1">
      <alignment horizontal="center" vertical="center" wrapText="1"/>
    </xf>
    <xf numFmtId="49" fontId="9" fillId="12" borderId="33" xfId="0" applyNumberFormat="1"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3"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9" fillId="12" borderId="2" xfId="1" applyFont="1" applyFill="1" applyBorder="1" applyAlignment="1">
      <alignment horizontal="center" vertical="center" wrapText="1"/>
    </xf>
    <xf numFmtId="0" fontId="9" fillId="12" borderId="33" xfId="1" applyFont="1" applyFill="1" applyBorder="1" applyAlignment="1">
      <alignment horizontal="center" vertical="center" wrapText="1"/>
    </xf>
    <xf numFmtId="0" fontId="10" fillId="12" borderId="2" xfId="1" applyFont="1" applyFill="1" applyBorder="1" applyAlignment="1">
      <alignment horizontal="center" vertical="center" wrapText="1"/>
    </xf>
    <xf numFmtId="0" fontId="10" fillId="12" borderId="33" xfId="1" applyFont="1" applyFill="1" applyBorder="1" applyAlignment="1">
      <alignment horizontal="center" vertical="center" wrapText="1"/>
    </xf>
    <xf numFmtId="0" fontId="9" fillId="12" borderId="13" xfId="1" applyFont="1" applyFill="1" applyBorder="1" applyAlignment="1">
      <alignment horizontal="center" vertical="center" wrapText="1"/>
    </xf>
    <xf numFmtId="0" fontId="9" fillId="12" borderId="4" xfId="1" applyFont="1" applyFill="1" applyBorder="1" applyAlignment="1">
      <alignment horizontal="center" vertical="center" wrapText="1"/>
    </xf>
    <xf numFmtId="0" fontId="9" fillId="12" borderId="15" xfId="1" applyFont="1" applyFill="1" applyBorder="1" applyAlignment="1">
      <alignment horizontal="center" vertical="center" wrapText="1"/>
    </xf>
    <xf numFmtId="0" fontId="9" fillId="12" borderId="14" xfId="0" applyFont="1" applyFill="1" applyBorder="1" applyAlignment="1">
      <alignment horizontal="center" vertical="center" wrapText="1"/>
    </xf>
    <xf numFmtId="49" fontId="9" fillId="12" borderId="22" xfId="0" applyNumberFormat="1" applyFont="1" applyFill="1" applyBorder="1" applyAlignment="1">
      <alignment horizontal="center" vertical="center" wrapText="1"/>
    </xf>
    <xf numFmtId="49" fontId="9" fillId="12" borderId="14" xfId="0" applyNumberFormat="1" applyFont="1" applyFill="1" applyBorder="1" applyAlignment="1">
      <alignment horizontal="center" vertical="center" wrapText="1"/>
    </xf>
    <xf numFmtId="4" fontId="9" fillId="7" borderId="2" xfId="0" applyNumberFormat="1" applyFont="1" applyFill="1" applyBorder="1" applyAlignment="1">
      <alignment horizontal="right" vertical="center" wrapText="1"/>
    </xf>
    <xf numFmtId="4" fontId="9" fillId="7" borderId="13" xfId="0" applyNumberFormat="1" applyFont="1" applyFill="1" applyBorder="1" applyAlignment="1">
      <alignment horizontal="right" vertical="center" wrapText="1"/>
    </xf>
    <xf numFmtId="4" fontId="9" fillId="12" borderId="10" xfId="0" applyNumberFormat="1" applyFont="1" applyFill="1" applyBorder="1" applyAlignment="1">
      <alignment horizontal="center" vertical="center" wrapText="1"/>
    </xf>
    <xf numFmtId="4" fontId="9" fillId="12" borderId="11" xfId="0" applyNumberFormat="1" applyFont="1" applyFill="1" applyBorder="1" applyAlignment="1">
      <alignment horizontal="center" vertical="center" wrapText="1"/>
    </xf>
    <xf numFmtId="0" fontId="9" fillId="12" borderId="3" xfId="1" applyFont="1" applyFill="1" applyBorder="1" applyAlignment="1">
      <alignment horizontal="center" vertical="center" wrapText="1"/>
    </xf>
    <xf numFmtId="0" fontId="9" fillId="12" borderId="22" xfId="1" applyFont="1" applyFill="1" applyBorder="1" applyAlignment="1">
      <alignment horizontal="center" vertical="center" wrapText="1"/>
    </xf>
    <xf numFmtId="49" fontId="9" fillId="12" borderId="3" xfId="0" applyNumberFormat="1" applyFont="1" applyFill="1" applyBorder="1" applyAlignment="1">
      <alignment horizontal="center" vertical="center" wrapText="1"/>
    </xf>
    <xf numFmtId="49" fontId="9" fillId="12" borderId="10" xfId="0" applyNumberFormat="1" applyFont="1" applyFill="1" applyBorder="1" applyAlignment="1">
      <alignment horizontal="center" vertical="center" wrapText="1"/>
    </xf>
    <xf numFmtId="49" fontId="9" fillId="12" borderId="30" xfId="0" applyNumberFormat="1" applyFont="1" applyFill="1" applyBorder="1" applyAlignment="1">
      <alignment horizontal="center" vertical="center" wrapText="1"/>
    </xf>
    <xf numFmtId="4" fontId="9" fillId="7" borderId="8" xfId="0" applyNumberFormat="1" applyFont="1" applyFill="1" applyBorder="1" applyAlignment="1">
      <alignment horizontal="right" vertical="center" wrapText="1"/>
    </xf>
    <xf numFmtId="4" fontId="9" fillId="7" borderId="19" xfId="0" applyNumberFormat="1" applyFont="1" applyFill="1" applyBorder="1" applyAlignment="1">
      <alignment horizontal="right" vertical="center" wrapText="1"/>
    </xf>
    <xf numFmtId="49" fontId="19" fillId="0" borderId="10" xfId="0" applyNumberFormat="1" applyFont="1" applyBorder="1" applyAlignment="1">
      <alignment horizontal="center" vertical="center"/>
    </xf>
    <xf numFmtId="49" fontId="19" fillId="0" borderId="7" xfId="0" applyNumberFormat="1" applyFont="1" applyFill="1" applyBorder="1" applyAlignment="1">
      <alignment horizontal="center" vertical="center"/>
    </xf>
    <xf numFmtId="49" fontId="19" fillId="0" borderId="7"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9" fillId="11" borderId="47"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 fontId="9" fillId="21" borderId="12" xfId="0" applyNumberFormat="1" applyFont="1" applyFill="1" applyBorder="1" applyAlignment="1">
      <alignment horizontal="center" vertical="center" wrapText="1"/>
    </xf>
    <xf numFmtId="4" fontId="9" fillId="21" borderId="5" xfId="0" applyNumberFormat="1" applyFont="1" applyFill="1" applyBorder="1" applyAlignment="1">
      <alignment horizontal="center" vertical="center" wrapText="1"/>
    </xf>
    <xf numFmtId="4" fontId="9" fillId="21" borderId="6" xfId="0" applyNumberFormat="1" applyFont="1" applyFill="1" applyBorder="1" applyAlignment="1">
      <alignment horizontal="center" vertical="center" wrapText="1"/>
    </xf>
    <xf numFmtId="166" fontId="7" fillId="0" borderId="0" xfId="0" applyNumberFormat="1" applyFont="1" applyAlignment="1">
      <alignment horizontal="center" vertical="center"/>
    </xf>
    <xf numFmtId="3" fontId="10" fillId="12" borderId="12" xfId="0" applyNumberFormat="1" applyFont="1" applyFill="1" applyBorder="1" applyAlignment="1">
      <alignment horizontal="center" vertical="center"/>
    </xf>
    <xf numFmtId="3" fontId="10" fillId="12" borderId="6" xfId="0" applyNumberFormat="1" applyFont="1" applyFill="1" applyBorder="1" applyAlignment="1">
      <alignment horizontal="center" vertical="center"/>
    </xf>
    <xf numFmtId="4" fontId="9" fillId="13" borderId="12" xfId="0" applyNumberFormat="1" applyFont="1" applyFill="1" applyBorder="1" applyAlignment="1">
      <alignment horizontal="center" vertical="center" wrapText="1"/>
    </xf>
    <xf numFmtId="4" fontId="9" fillId="13" borderId="5" xfId="0" applyNumberFormat="1" applyFont="1" applyFill="1" applyBorder="1" applyAlignment="1">
      <alignment horizontal="center" vertical="center" wrapText="1"/>
    </xf>
    <xf numFmtId="4" fontId="9" fillId="13" borderId="6" xfId="0" applyNumberFormat="1" applyFont="1" applyFill="1" applyBorder="1" applyAlignment="1">
      <alignment horizontal="center" vertical="center" wrapText="1"/>
    </xf>
    <xf numFmtId="3" fontId="9" fillId="14" borderId="12" xfId="0" applyNumberFormat="1" applyFont="1" applyFill="1" applyBorder="1" applyAlignment="1">
      <alignment horizontal="center" vertical="center" wrapText="1"/>
    </xf>
    <xf numFmtId="3" fontId="9" fillId="14" borderId="5" xfId="0" applyNumberFormat="1" applyFont="1" applyFill="1" applyBorder="1" applyAlignment="1">
      <alignment horizontal="center" vertical="center" wrapText="1"/>
    </xf>
    <xf numFmtId="3" fontId="9" fillId="14" borderId="6"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13" xfId="0"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7" fillId="12" borderId="9" xfId="0" applyFont="1" applyFill="1" applyBorder="1" applyAlignment="1">
      <alignment horizontal="center" vertical="center" wrapText="1"/>
    </xf>
    <xf numFmtId="0" fontId="7" fillId="12" borderId="45"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8" fillId="12" borderId="3" xfId="0" applyFont="1" applyFill="1" applyBorder="1" applyAlignment="1">
      <alignment horizontal="center" vertical="center"/>
    </xf>
    <xf numFmtId="0" fontId="18" fillId="12" borderId="14" xfId="0" applyFont="1" applyFill="1" applyBorder="1" applyAlignment="1">
      <alignment horizontal="center" vertical="center"/>
    </xf>
    <xf numFmtId="49" fontId="14" fillId="0" borderId="12" xfId="2" applyNumberFormat="1" applyFont="1" applyFill="1" applyBorder="1" applyAlignment="1">
      <alignment horizontal="left" vertical="center"/>
    </xf>
    <xf numFmtId="49" fontId="14" fillId="0" borderId="5" xfId="2" applyNumberFormat="1" applyFont="1" applyFill="1" applyBorder="1" applyAlignment="1">
      <alignment horizontal="left" vertical="center"/>
    </xf>
    <xf numFmtId="49" fontId="14" fillId="0" borderId="6" xfId="2" applyNumberFormat="1" applyFont="1" applyFill="1" applyBorder="1" applyAlignment="1">
      <alignment horizontal="left" vertical="center"/>
    </xf>
    <xf numFmtId="49" fontId="12" fillId="0" borderId="47" xfId="0" applyNumberFormat="1" applyFont="1" applyBorder="1" applyAlignment="1">
      <alignment horizontal="center" vertical="center"/>
    </xf>
    <xf numFmtId="49" fontId="12" fillId="0" borderId="20" xfId="0" applyNumberFormat="1" applyFont="1" applyFill="1" applyBorder="1" applyAlignment="1">
      <alignment horizontal="center" vertical="center"/>
    </xf>
    <xf numFmtId="49" fontId="9" fillId="0" borderId="41" xfId="0" applyNumberFormat="1" applyFont="1" applyFill="1" applyBorder="1" applyAlignment="1">
      <alignment horizontal="center" vertical="center" wrapText="1"/>
    </xf>
    <xf numFmtId="49" fontId="17" fillId="0" borderId="47"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9" fillId="15" borderId="60" xfId="0" applyNumberFormat="1" applyFont="1" applyFill="1" applyBorder="1" applyAlignment="1">
      <alignment horizontal="center" vertical="center" wrapText="1"/>
    </xf>
    <xf numFmtId="49" fontId="9" fillId="15" borderId="48" xfId="0" applyNumberFormat="1" applyFont="1" applyFill="1" applyBorder="1" applyAlignment="1">
      <alignment horizontal="center" vertical="center" wrapText="1"/>
    </xf>
    <xf numFmtId="49" fontId="9" fillId="0" borderId="48"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14" fillId="0" borderId="47"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xf>
    <xf numFmtId="49" fontId="9" fillId="0" borderId="41" xfId="0" applyNumberFormat="1" applyFont="1" applyFill="1" applyBorder="1" applyAlignment="1">
      <alignment horizontal="center" vertical="center"/>
    </xf>
    <xf numFmtId="3" fontId="10" fillId="12" borderId="12" xfId="1" applyNumberFormat="1" applyFont="1" applyFill="1" applyBorder="1" applyAlignment="1">
      <alignment horizontal="center" vertical="center"/>
    </xf>
    <xf numFmtId="3" fontId="10" fillId="12" borderId="5" xfId="1" applyNumberFormat="1" applyFont="1" applyFill="1" applyBorder="1" applyAlignment="1">
      <alignment horizontal="center" vertical="center"/>
    </xf>
    <xf numFmtId="3" fontId="9" fillId="11" borderId="3" xfId="1" applyNumberFormat="1" applyFont="1" applyFill="1" applyBorder="1" applyAlignment="1">
      <alignment horizontal="center" vertical="center" wrapText="1"/>
    </xf>
    <xf numFmtId="3" fontId="9" fillId="11" borderId="14" xfId="1" applyNumberFormat="1" applyFont="1" applyFill="1" applyBorder="1" applyAlignment="1">
      <alignment horizontal="center" vertical="center" wrapText="1"/>
    </xf>
    <xf numFmtId="4" fontId="9" fillId="9" borderId="2" xfId="0" applyNumberFormat="1" applyFont="1" applyFill="1" applyBorder="1" applyAlignment="1">
      <alignment horizontal="center" vertical="center" wrapText="1"/>
    </xf>
    <xf numFmtId="4" fontId="9" fillId="9" borderId="13" xfId="0" applyNumberFormat="1" applyFont="1" applyFill="1" applyBorder="1" applyAlignment="1">
      <alignment horizontal="center" vertical="center" wrapText="1"/>
    </xf>
    <xf numFmtId="169" fontId="9" fillId="12" borderId="2" xfId="0" applyNumberFormat="1" applyFont="1" applyFill="1" applyBorder="1" applyAlignment="1">
      <alignment horizontal="center" vertical="center" wrapText="1"/>
    </xf>
    <xf numFmtId="169" fontId="9" fillId="12" borderId="13" xfId="0" applyNumberFormat="1" applyFont="1" applyFill="1" applyBorder="1" applyAlignment="1">
      <alignment horizontal="center" vertical="center" wrapText="1"/>
    </xf>
    <xf numFmtId="0" fontId="9" fillId="12" borderId="13" xfId="0" applyFont="1" applyFill="1" applyBorder="1" applyAlignment="1">
      <alignment horizontal="center" vertical="center" wrapText="1"/>
    </xf>
    <xf numFmtId="0" fontId="7" fillId="12" borderId="14" xfId="0" applyFont="1" applyFill="1" applyBorder="1" applyAlignment="1">
      <alignment horizontal="center" vertical="center" wrapText="1"/>
    </xf>
    <xf numFmtId="0" fontId="10" fillId="12" borderId="23" xfId="1" applyFont="1" applyFill="1" applyBorder="1" applyAlignment="1">
      <alignment horizontal="center" vertical="center" wrapText="1"/>
    </xf>
    <xf numFmtId="0" fontId="10" fillId="12" borderId="13" xfId="1" applyFont="1" applyFill="1" applyBorder="1" applyAlignment="1">
      <alignment horizontal="center" vertical="center" wrapText="1"/>
    </xf>
    <xf numFmtId="0" fontId="9" fillId="12" borderId="23" xfId="1" applyFont="1" applyFill="1" applyBorder="1" applyAlignment="1">
      <alignment horizontal="center" vertical="center" wrapText="1"/>
    </xf>
    <xf numFmtId="0" fontId="0" fillId="8" borderId="22" xfId="0" applyFill="1" applyBorder="1" applyAlignment="1">
      <alignment horizontal="center" vertical="center" wrapText="1"/>
    </xf>
    <xf numFmtId="4" fontId="9" fillId="13" borderId="3" xfId="0" applyNumberFormat="1" applyFont="1" applyFill="1" applyBorder="1" applyAlignment="1">
      <alignment horizontal="center" vertical="center" wrapText="1"/>
    </xf>
    <xf numFmtId="4" fontId="9" fillId="13" borderId="14" xfId="0" applyNumberFormat="1" applyFont="1" applyFill="1" applyBorder="1" applyAlignment="1">
      <alignment horizontal="center" vertical="center" wrapText="1"/>
    </xf>
    <xf numFmtId="4" fontId="9" fillId="16" borderId="3" xfId="0" applyNumberFormat="1" applyFont="1" applyFill="1" applyBorder="1" applyAlignment="1">
      <alignment horizontal="center" vertical="center" wrapText="1"/>
    </xf>
    <xf numFmtId="4" fontId="9" fillId="16" borderId="14" xfId="0" applyNumberFormat="1" applyFont="1" applyFill="1" applyBorder="1" applyAlignment="1">
      <alignment horizontal="center" vertical="center" wrapText="1"/>
    </xf>
    <xf numFmtId="4" fontId="9" fillId="12" borderId="3" xfId="0" applyNumberFormat="1" applyFont="1" applyFill="1" applyBorder="1" applyAlignment="1">
      <alignment horizontal="center" vertical="center" wrapText="1"/>
    </xf>
    <xf numFmtId="4" fontId="9" fillId="12" borderId="14" xfId="0" applyNumberFormat="1" applyFont="1" applyFill="1" applyBorder="1" applyAlignment="1">
      <alignment horizontal="center" vertical="center" wrapText="1"/>
    </xf>
    <xf numFmtId="166" fontId="9" fillId="5" borderId="3" xfId="1" applyNumberFormat="1" applyFont="1" applyFill="1" applyBorder="1" applyAlignment="1">
      <alignment horizontal="center" vertical="center" wrapText="1"/>
    </xf>
    <xf numFmtId="166" fontId="9" fillId="5" borderId="14" xfId="1" applyNumberFormat="1" applyFont="1" applyFill="1" applyBorder="1" applyAlignment="1">
      <alignment horizontal="center" vertical="center" wrapText="1"/>
    </xf>
    <xf numFmtId="166" fontId="9" fillId="8" borderId="3" xfId="1" applyNumberFormat="1" applyFont="1" applyFill="1" applyBorder="1" applyAlignment="1">
      <alignment horizontal="center" vertical="center" wrapText="1"/>
    </xf>
    <xf numFmtId="166" fontId="9" fillId="8" borderId="14" xfId="1" applyNumberFormat="1" applyFont="1" applyFill="1" applyBorder="1" applyAlignment="1">
      <alignment horizontal="center" vertical="center" wrapText="1"/>
    </xf>
    <xf numFmtId="0" fontId="9" fillId="10" borderId="3" xfId="1" applyFont="1" applyFill="1" applyBorder="1" applyAlignment="1">
      <alignment horizontal="center" vertical="center" wrapText="1"/>
    </xf>
    <xf numFmtId="0" fontId="9" fillId="10" borderId="14" xfId="1" applyFont="1" applyFill="1" applyBorder="1" applyAlignment="1">
      <alignment horizontal="center" vertical="center" wrapText="1"/>
    </xf>
    <xf numFmtId="4" fontId="9" fillId="26" borderId="12" xfId="0" applyNumberFormat="1" applyFont="1" applyFill="1" applyBorder="1" applyAlignment="1">
      <alignment horizontal="center" vertical="center" wrapText="1"/>
    </xf>
    <xf numFmtId="4" fontId="9" fillId="26" borderId="5" xfId="0" applyNumberFormat="1" applyFont="1" applyFill="1" applyBorder="1" applyAlignment="1">
      <alignment horizontal="center" vertical="center" wrapText="1"/>
    </xf>
    <xf numFmtId="4" fontId="9" fillId="26" borderId="6" xfId="0" applyNumberFormat="1" applyFont="1" applyFill="1" applyBorder="1" applyAlignment="1">
      <alignment horizontal="center" vertical="center" wrapText="1"/>
    </xf>
    <xf numFmtId="4" fontId="9" fillId="22" borderId="5" xfId="0" applyNumberFormat="1" applyFont="1" applyFill="1" applyBorder="1" applyAlignment="1">
      <alignment horizontal="center" vertical="center" wrapText="1"/>
    </xf>
    <xf numFmtId="4" fontId="9" fillId="22" borderId="6" xfId="0" applyNumberFormat="1" applyFont="1" applyFill="1" applyBorder="1" applyAlignment="1">
      <alignment horizontal="center" vertical="center" wrapText="1"/>
    </xf>
    <xf numFmtId="3" fontId="9" fillId="11" borderId="22" xfId="1" applyNumberFormat="1" applyFont="1" applyFill="1" applyBorder="1" applyAlignment="1">
      <alignment horizontal="center" vertical="center" wrapText="1"/>
    </xf>
    <xf numFmtId="0" fontId="9" fillId="12" borderId="14" xfId="1" applyFont="1" applyFill="1" applyBorder="1" applyAlignment="1">
      <alignment horizontal="center" vertical="center" wrapText="1"/>
    </xf>
    <xf numFmtId="3" fontId="9" fillId="8" borderId="10" xfId="1" applyNumberFormat="1" applyFont="1" applyFill="1" applyBorder="1" applyAlignment="1">
      <alignment horizontal="center" vertical="center" wrapText="1"/>
    </xf>
    <xf numFmtId="3" fontId="9" fillId="8" borderId="30" xfId="1" applyNumberFormat="1" applyFont="1" applyFill="1" applyBorder="1" applyAlignment="1">
      <alignment horizontal="center" vertical="center" wrapText="1"/>
    </xf>
    <xf numFmtId="0" fontId="9" fillId="12" borderId="9" xfId="0" applyFont="1" applyFill="1" applyBorder="1" applyAlignment="1">
      <alignment horizontal="center" vertical="center" wrapText="1"/>
    </xf>
    <xf numFmtId="0" fontId="9" fillId="12" borderId="45" xfId="0" applyFont="1" applyFill="1" applyBorder="1" applyAlignment="1">
      <alignment horizontal="center" vertical="center" wrapText="1"/>
    </xf>
    <xf numFmtId="0" fontId="18" fillId="0" borderId="0" xfId="0" applyFont="1" applyAlignment="1">
      <alignment horizontal="center" vertical="center" wrapText="1"/>
    </xf>
    <xf numFmtId="4" fontId="9" fillId="14" borderId="3" xfId="0" applyNumberFormat="1" applyFont="1" applyFill="1" applyBorder="1" applyAlignment="1">
      <alignment horizontal="center" vertical="center" wrapText="1"/>
    </xf>
    <xf numFmtId="4" fontId="9" fillId="14" borderId="14" xfId="0" applyNumberFormat="1" applyFont="1" applyFill="1" applyBorder="1" applyAlignment="1">
      <alignment horizontal="center" vertical="center" wrapText="1"/>
    </xf>
    <xf numFmtId="4" fontId="9" fillId="23" borderId="1" xfId="0" applyNumberFormat="1" applyFont="1" applyFill="1" applyBorder="1" applyAlignment="1">
      <alignment horizontal="center" vertical="center" wrapText="1"/>
    </xf>
    <xf numFmtId="4" fontId="9" fillId="23" borderId="16" xfId="0" applyNumberFormat="1" applyFont="1" applyFill="1" applyBorder="1" applyAlignment="1">
      <alignment horizontal="center" vertical="center" wrapText="1"/>
    </xf>
    <xf numFmtId="4" fontId="9" fillId="9" borderId="23" xfId="0" applyNumberFormat="1" applyFont="1" applyFill="1" applyBorder="1" applyAlignment="1">
      <alignment horizontal="center" vertical="center" wrapText="1"/>
    </xf>
    <xf numFmtId="4" fontId="9" fillId="22" borderId="23" xfId="0" applyNumberFormat="1" applyFont="1" applyFill="1" applyBorder="1" applyAlignment="1">
      <alignment horizontal="center" vertical="center" wrapText="1"/>
    </xf>
    <xf numFmtId="4" fontId="9" fillId="22" borderId="13" xfId="0" applyNumberFormat="1" applyFont="1" applyFill="1" applyBorder="1" applyAlignment="1">
      <alignment horizontal="center" vertical="center" wrapText="1"/>
    </xf>
    <xf numFmtId="4" fontId="9" fillId="12" borderId="28" xfId="0" applyNumberFormat="1" applyFont="1" applyFill="1" applyBorder="1" applyAlignment="1">
      <alignment horizontal="center" vertical="center" wrapText="1"/>
    </xf>
    <xf numFmtId="4" fontId="9" fillId="12" borderId="29" xfId="0" applyNumberFormat="1" applyFont="1" applyFill="1" applyBorder="1" applyAlignment="1">
      <alignment horizontal="center" vertical="center" wrapText="1"/>
    </xf>
    <xf numFmtId="4" fontId="9" fillId="22" borderId="12" xfId="0" applyNumberFormat="1"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2" fillId="12" borderId="22" xfId="0"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49" fontId="9" fillId="3" borderId="22" xfId="0" applyNumberFormat="1" applyFont="1" applyFill="1" applyBorder="1" applyAlignment="1">
      <alignment horizontal="center" vertical="center" wrapText="1"/>
    </xf>
    <xf numFmtId="0" fontId="9" fillId="25" borderId="3" xfId="1" applyFont="1" applyFill="1" applyBorder="1" applyAlignment="1">
      <alignment horizontal="center" vertical="center" wrapText="1"/>
    </xf>
    <xf numFmtId="0" fontId="9" fillId="25" borderId="14" xfId="1" applyFont="1" applyFill="1" applyBorder="1" applyAlignment="1">
      <alignment horizontal="center" vertical="center" wrapText="1"/>
    </xf>
    <xf numFmtId="0" fontId="7" fillId="9" borderId="12"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9" fillId="32" borderId="22" xfId="1" applyFont="1" applyFill="1" applyBorder="1" applyAlignment="1">
      <alignment horizontal="center" vertical="center" wrapText="1"/>
    </xf>
    <xf numFmtId="0" fontId="9" fillId="32" borderId="14" xfId="1" applyFont="1" applyFill="1" applyBorder="1" applyAlignment="1">
      <alignment horizontal="center" vertical="center" wrapText="1"/>
    </xf>
    <xf numFmtId="4" fontId="9" fillId="26" borderId="30" xfId="0" applyNumberFormat="1" applyFont="1" applyFill="1" applyBorder="1" applyAlignment="1">
      <alignment horizontal="center" vertical="center" wrapText="1"/>
    </xf>
    <xf numFmtId="4" fontId="9" fillId="26" borderId="1" xfId="0" applyNumberFormat="1" applyFont="1" applyFill="1" applyBorder="1" applyAlignment="1">
      <alignment horizontal="center" vertical="center" wrapText="1"/>
    </xf>
    <xf numFmtId="4" fontId="9" fillId="26" borderId="16" xfId="0" applyNumberFormat="1" applyFont="1" applyFill="1" applyBorder="1" applyAlignment="1">
      <alignment horizontal="center" vertical="center" wrapText="1"/>
    </xf>
    <xf numFmtId="0" fontId="7" fillId="12" borderId="23" xfId="0" applyFont="1" applyFill="1" applyBorder="1" applyAlignment="1">
      <alignment horizontal="center" vertical="center" wrapText="1"/>
    </xf>
    <xf numFmtId="0" fontId="9" fillId="12" borderId="22" xfId="0" applyFont="1" applyFill="1" applyBorder="1" applyAlignment="1">
      <alignment horizontal="center" vertical="center" wrapText="1"/>
    </xf>
    <xf numFmtId="49" fontId="9" fillId="12" borderId="28" xfId="0" applyNumberFormat="1" applyFont="1" applyFill="1" applyBorder="1" applyAlignment="1">
      <alignment horizontal="center" vertical="center" wrapText="1"/>
    </xf>
    <xf numFmtId="0" fontId="64" fillId="34" borderId="55" xfId="0" applyFont="1" applyFill="1" applyBorder="1" applyAlignment="1">
      <alignment horizontal="left" vertical="center"/>
    </xf>
    <xf numFmtId="0" fontId="64" fillId="34" borderId="56" xfId="0" applyFont="1" applyFill="1" applyBorder="1" applyAlignment="1">
      <alignment horizontal="left" vertical="center"/>
    </xf>
    <xf numFmtId="0" fontId="22" fillId="0" borderId="25" xfId="0" applyFont="1" applyBorder="1" applyAlignment="1">
      <alignment horizontal="center" vertical="center"/>
    </xf>
    <xf numFmtId="0" fontId="0" fillId="0" borderId="27" xfId="0" applyBorder="1" applyAlignment="1">
      <alignment horizontal="center" vertical="center"/>
    </xf>
    <xf numFmtId="0" fontId="0" fillId="0" borderId="44" xfId="0" applyBorder="1" applyAlignment="1">
      <alignment horizontal="center" vertical="center"/>
    </xf>
    <xf numFmtId="0" fontId="64" fillId="34" borderId="60" xfId="0" applyFont="1" applyFill="1" applyBorder="1" applyAlignment="1">
      <alignment horizontal="left" vertical="center"/>
    </xf>
    <xf numFmtId="0" fontId="64" fillId="34" borderId="48" xfId="0" applyFont="1" applyFill="1" applyBorder="1" applyAlignment="1">
      <alignment horizontal="left" vertical="center"/>
    </xf>
    <xf numFmtId="49" fontId="9" fillId="5" borderId="15" xfId="0" applyNumberFormat="1" applyFont="1" applyFill="1" applyBorder="1" applyAlignment="1">
      <alignment horizontal="center" vertical="center" wrapText="1"/>
    </xf>
    <xf numFmtId="49" fontId="9" fillId="5" borderId="45" xfId="0" applyNumberFormat="1" applyFont="1" applyFill="1" applyBorder="1" applyAlignment="1">
      <alignment horizontal="center" vertical="center" wrapText="1"/>
    </xf>
    <xf numFmtId="0" fontId="64" fillId="34" borderId="12" xfId="0" applyFont="1" applyFill="1" applyBorder="1" applyAlignment="1">
      <alignment vertical="center"/>
    </xf>
    <xf numFmtId="0" fontId="0" fillId="0" borderId="5" xfId="0" applyBorder="1" applyAlignment="1">
      <alignment vertical="center"/>
    </xf>
    <xf numFmtId="0" fontId="0" fillId="0" borderId="38" xfId="0" applyBorder="1" applyAlignment="1">
      <alignment vertical="center"/>
    </xf>
    <xf numFmtId="0" fontId="18" fillId="34" borderId="58" xfId="0" applyFont="1" applyFill="1" applyBorder="1" applyAlignment="1">
      <alignment horizontal="left" vertical="center"/>
    </xf>
    <xf numFmtId="0" fontId="18" fillId="34" borderId="21" xfId="0" applyFont="1" applyFill="1" applyBorder="1" applyAlignment="1">
      <alignment horizontal="left" vertical="center"/>
    </xf>
    <xf numFmtId="0" fontId="18" fillId="34" borderId="49" xfId="0" applyFont="1" applyFill="1" applyBorder="1" applyAlignment="1">
      <alignment horizontal="left" vertical="center" wrapText="1"/>
    </xf>
    <xf numFmtId="0" fontId="18" fillId="34" borderId="43" xfId="0" applyFont="1" applyFill="1" applyBorder="1" applyAlignment="1">
      <alignment horizontal="left" vertical="center" wrapText="1"/>
    </xf>
    <xf numFmtId="49" fontId="12" fillId="0" borderId="31"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9" fillId="0" borderId="3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xf>
    <xf numFmtId="49" fontId="17" fillId="0" borderId="32"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wrapText="1"/>
    </xf>
    <xf numFmtId="49" fontId="14" fillId="0" borderId="32" xfId="0" applyNumberFormat="1" applyFont="1" applyFill="1" applyBorder="1" applyAlignment="1">
      <alignment horizontal="center" vertical="center" wrapText="1"/>
    </xf>
    <xf numFmtId="3" fontId="10" fillId="12" borderId="6" xfId="1" applyNumberFormat="1" applyFont="1" applyFill="1" applyBorder="1" applyAlignment="1">
      <alignment horizontal="center" vertical="center"/>
    </xf>
    <xf numFmtId="0" fontId="67" fillId="0" borderId="12"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6" xfId="0" applyFont="1" applyFill="1" applyBorder="1" applyAlignment="1">
      <alignment horizontal="center" vertical="center"/>
    </xf>
    <xf numFmtId="169" fontId="45" fillId="0" borderId="4" xfId="0" applyNumberFormat="1" applyFont="1" applyBorder="1" applyAlignment="1">
      <alignment horizontal="center" vertical="center"/>
    </xf>
    <xf numFmtId="169" fontId="45" fillId="0" borderId="9" xfId="0" applyNumberFormat="1" applyFont="1" applyBorder="1" applyAlignment="1">
      <alignment horizontal="center" vertical="center"/>
    </xf>
    <xf numFmtId="3" fontId="8" fillId="0" borderId="0" xfId="0" applyNumberFormat="1" applyFont="1" applyAlignment="1">
      <alignment horizontal="center" vertical="center" wrapText="1"/>
    </xf>
    <xf numFmtId="49" fontId="9" fillId="11" borderId="31" xfId="0" applyNumberFormat="1" applyFont="1" applyFill="1" applyBorder="1" applyAlignment="1">
      <alignment horizontal="center" vertical="center" wrapText="1"/>
    </xf>
    <xf numFmtId="49" fontId="9" fillId="11" borderId="32" xfId="0" applyNumberFormat="1" applyFont="1" applyFill="1" applyBorder="1" applyAlignment="1">
      <alignment horizontal="center" vertical="center" wrapText="1"/>
    </xf>
    <xf numFmtId="49" fontId="9" fillId="11" borderId="31" xfId="0" applyNumberFormat="1" applyFont="1" applyFill="1" applyBorder="1" applyAlignment="1">
      <alignment horizontal="center" vertical="center"/>
    </xf>
    <xf numFmtId="49" fontId="9" fillId="11" borderId="32" xfId="0" applyNumberFormat="1" applyFont="1" applyFill="1" applyBorder="1" applyAlignment="1">
      <alignment horizontal="center" vertical="center"/>
    </xf>
    <xf numFmtId="4" fontId="9" fillId="22" borderId="2" xfId="0" applyNumberFormat="1" applyFont="1" applyFill="1" applyBorder="1" applyAlignment="1">
      <alignment horizontal="center" vertical="center" wrapText="1"/>
    </xf>
    <xf numFmtId="4" fontId="9" fillId="35" borderId="10" xfId="0" applyNumberFormat="1" applyFont="1" applyFill="1" applyBorder="1" applyAlignment="1">
      <alignment horizontal="center" vertical="center" wrapText="1"/>
    </xf>
    <xf numFmtId="4" fontId="9" fillId="35" borderId="7" xfId="0" applyNumberFormat="1" applyFont="1" applyFill="1" applyBorder="1" applyAlignment="1">
      <alignment horizontal="center" vertical="center" wrapText="1"/>
    </xf>
    <xf numFmtId="4" fontId="9" fillId="35" borderId="11" xfId="0" applyNumberFormat="1" applyFont="1" applyFill="1" applyBorder="1" applyAlignment="1">
      <alignment horizontal="center" vertical="center" wrapText="1"/>
    </xf>
    <xf numFmtId="4" fontId="9" fillId="30" borderId="12" xfId="0" applyNumberFormat="1" applyFont="1" applyFill="1" applyBorder="1" applyAlignment="1">
      <alignment horizontal="center" vertical="center" wrapText="1"/>
    </xf>
    <xf numFmtId="4" fontId="9" fillId="30" borderId="5" xfId="0" applyNumberFormat="1" applyFont="1" applyFill="1" applyBorder="1" applyAlignment="1">
      <alignment horizontal="center" vertical="center" wrapText="1"/>
    </xf>
    <xf numFmtId="4" fontId="9" fillId="30" borderId="6" xfId="0" applyNumberFormat="1" applyFont="1" applyFill="1" applyBorder="1" applyAlignment="1">
      <alignment horizontal="center" vertical="center" wrapText="1"/>
    </xf>
    <xf numFmtId="4" fontId="9" fillId="22" borderId="10" xfId="0" applyNumberFormat="1" applyFont="1" applyFill="1" applyBorder="1" applyAlignment="1">
      <alignment horizontal="center" vertical="center" wrapText="1"/>
    </xf>
    <xf numFmtId="4" fontId="9" fillId="22" borderId="30" xfId="0" applyNumberFormat="1" applyFont="1" applyFill="1" applyBorder="1" applyAlignment="1">
      <alignment horizontal="center" vertical="center" wrapText="1"/>
    </xf>
    <xf numFmtId="169" fontId="9" fillId="12" borderId="3" xfId="0" applyNumberFormat="1" applyFont="1" applyFill="1" applyBorder="1" applyAlignment="1">
      <alignment horizontal="center" vertical="center" wrapText="1"/>
    </xf>
    <xf numFmtId="169" fontId="9" fillId="12" borderId="14" xfId="0" applyNumberFormat="1" applyFont="1" applyFill="1" applyBorder="1" applyAlignment="1">
      <alignment horizontal="center" vertical="center" wrapText="1"/>
    </xf>
    <xf numFmtId="0" fontId="9" fillId="35" borderId="2" xfId="1" applyFont="1" applyFill="1" applyBorder="1" applyAlignment="1">
      <alignment horizontal="center" vertical="center" wrapText="1"/>
    </xf>
    <xf numFmtId="0" fontId="9" fillId="35" borderId="13" xfId="1" applyFont="1" applyFill="1" applyBorder="1" applyAlignment="1">
      <alignment horizontal="center" vertical="center" wrapText="1"/>
    </xf>
    <xf numFmtId="0" fontId="9" fillId="31" borderId="3" xfId="1" applyFont="1" applyFill="1" applyBorder="1" applyAlignment="1">
      <alignment horizontal="center" vertical="center" wrapText="1"/>
    </xf>
    <xf numFmtId="0" fontId="9" fillId="31" borderId="14" xfId="1" applyFont="1" applyFill="1" applyBorder="1" applyAlignment="1">
      <alignment horizontal="center" vertical="center" wrapText="1"/>
    </xf>
    <xf numFmtId="0" fontId="9" fillId="11" borderId="3" xfId="1" applyFont="1" applyFill="1" applyBorder="1" applyAlignment="1">
      <alignment horizontal="center" vertical="center" wrapText="1"/>
    </xf>
    <xf numFmtId="0" fontId="9" fillId="11" borderId="14" xfId="1" applyFont="1" applyFill="1" applyBorder="1" applyAlignment="1">
      <alignment horizontal="center" vertical="center" wrapText="1"/>
    </xf>
    <xf numFmtId="3" fontId="9" fillId="8" borderId="12" xfId="0" applyNumberFormat="1" applyFont="1" applyFill="1" applyBorder="1" applyAlignment="1">
      <alignment horizontal="center" vertical="center" wrapText="1"/>
    </xf>
    <xf numFmtId="3" fontId="9" fillId="8" borderId="5" xfId="0" applyNumberFormat="1" applyFont="1" applyFill="1" applyBorder="1" applyAlignment="1">
      <alignment horizontal="center" vertical="center" wrapText="1"/>
    </xf>
    <xf numFmtId="3" fontId="9" fillId="8" borderId="6" xfId="0" applyNumberFormat="1" applyFont="1" applyFill="1" applyBorder="1" applyAlignment="1">
      <alignment horizontal="center" vertical="center" wrapText="1"/>
    </xf>
  </cellXfs>
  <cellStyles count="45">
    <cellStyle name="Čárka 2" xfId="11" xr:uid="{00000000-0005-0000-0000-000000000000}"/>
    <cellStyle name="Čárka 2 2" xfId="16" xr:uid="{00000000-0005-0000-0000-000001000000}"/>
    <cellStyle name="Čárka 2 2 2" xfId="25" xr:uid="{00000000-0005-0000-0000-000002000000}"/>
    <cellStyle name="Čárka 2 2 2 2" xfId="43" xr:uid="{00000000-0005-0000-0000-000003000000}"/>
    <cellStyle name="Čárka 2 2 3" xfId="34" xr:uid="{00000000-0005-0000-0000-000004000000}"/>
    <cellStyle name="Čárka 2 3" xfId="10" xr:uid="{00000000-0005-0000-0000-000005000000}"/>
    <cellStyle name="Čárka 2 3 2" xfId="20" xr:uid="{00000000-0005-0000-0000-000006000000}"/>
    <cellStyle name="Čárka 2 3 2 2" xfId="38" xr:uid="{00000000-0005-0000-0000-000007000000}"/>
    <cellStyle name="Čárka 2 3 3" xfId="29" xr:uid="{00000000-0005-0000-0000-000008000000}"/>
    <cellStyle name="Čárka 2 4" xfId="21" xr:uid="{00000000-0005-0000-0000-000009000000}"/>
    <cellStyle name="Čárka 2 4 2" xfId="39" xr:uid="{00000000-0005-0000-0000-00000A000000}"/>
    <cellStyle name="Čárka 2 5" xfId="30" xr:uid="{00000000-0005-0000-0000-00000B000000}"/>
    <cellStyle name="Header" xfId="13" xr:uid="{00000000-0005-0000-0000-00000C000000}"/>
    <cellStyle name="Normální" xfId="0" builtinId="0"/>
    <cellStyle name="Normální 10" xfId="4" xr:uid="{00000000-0005-0000-0000-00000E000000}"/>
    <cellStyle name="Normální 10 2" xfId="14" xr:uid="{00000000-0005-0000-0000-00000F000000}"/>
    <cellStyle name="Normální 10 2 2" xfId="23" xr:uid="{00000000-0005-0000-0000-000010000000}"/>
    <cellStyle name="Normální 10 2 2 2" xfId="41" xr:uid="{00000000-0005-0000-0000-000011000000}"/>
    <cellStyle name="Normální 10 2 3" xfId="32" xr:uid="{00000000-0005-0000-0000-000012000000}"/>
    <cellStyle name="Normální 10 3" xfId="18" xr:uid="{00000000-0005-0000-0000-000013000000}"/>
    <cellStyle name="Normální 10 3 2" xfId="36" xr:uid="{00000000-0005-0000-0000-000014000000}"/>
    <cellStyle name="Normální 10 4" xfId="27" xr:uid="{00000000-0005-0000-0000-000015000000}"/>
    <cellStyle name="Normální 2" xfId="2" xr:uid="{00000000-0005-0000-0000-000016000000}"/>
    <cellStyle name="Normální 2 123 2" xfId="8" xr:uid="{00000000-0005-0000-0000-000017000000}"/>
    <cellStyle name="Normální 2 123 2 2" xfId="15" xr:uid="{00000000-0005-0000-0000-000018000000}"/>
    <cellStyle name="Normální 2 123 2 2 2" xfId="24" xr:uid="{00000000-0005-0000-0000-000019000000}"/>
    <cellStyle name="Normální 2 123 2 2 2 2" xfId="42" xr:uid="{00000000-0005-0000-0000-00001A000000}"/>
    <cellStyle name="Normální 2 123 2 2 3" xfId="33" xr:uid="{00000000-0005-0000-0000-00001B000000}"/>
    <cellStyle name="Normální 2 123 2 3" xfId="19" xr:uid="{00000000-0005-0000-0000-00001C000000}"/>
    <cellStyle name="Normální 2 123 2 3 2" xfId="37" xr:uid="{00000000-0005-0000-0000-00001D000000}"/>
    <cellStyle name="Normální 2 123 2 4" xfId="28" xr:uid="{00000000-0005-0000-0000-00001E000000}"/>
    <cellStyle name="Normální 2 2" xfId="9" xr:uid="{00000000-0005-0000-0000-00001F000000}"/>
    <cellStyle name="Normální 3" xfId="12" xr:uid="{00000000-0005-0000-0000-000020000000}"/>
    <cellStyle name="Normální 3 2" xfId="17" xr:uid="{00000000-0005-0000-0000-000021000000}"/>
    <cellStyle name="Normální 3 2 2" xfId="26" xr:uid="{00000000-0005-0000-0000-000022000000}"/>
    <cellStyle name="Normální 3 2 2 2" xfId="44" xr:uid="{00000000-0005-0000-0000-000023000000}"/>
    <cellStyle name="Normální 3 2 3" xfId="35" xr:uid="{00000000-0005-0000-0000-000024000000}"/>
    <cellStyle name="Normální 3 3" xfId="22" xr:uid="{00000000-0005-0000-0000-000025000000}"/>
    <cellStyle name="Normální 3 3 2" xfId="40" xr:uid="{00000000-0005-0000-0000-000026000000}"/>
    <cellStyle name="Normální 3 4" xfId="31" xr:uid="{00000000-0005-0000-0000-000027000000}"/>
    <cellStyle name="Normální 31" xfId="7" xr:uid="{00000000-0005-0000-0000-000028000000}"/>
    <cellStyle name="Normální 5" xfId="6" xr:uid="{00000000-0005-0000-0000-000029000000}"/>
    <cellStyle name="normální_dle škol" xfId="5" xr:uid="{00000000-0005-0000-0000-00002A000000}"/>
    <cellStyle name="normální_List1" xfId="1" xr:uid="{00000000-0005-0000-0000-00002B000000}"/>
    <cellStyle name="normální_t 01" xfId="3" xr:uid="{00000000-0005-0000-0000-00002C000000}"/>
  </cellStyles>
  <dxfs count="60">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
      <font>
        <strike val="0"/>
        <color auto="1"/>
      </font>
      <fill>
        <patternFill>
          <bgColor rgb="FFFFFF00"/>
        </patternFill>
      </fill>
    </dxf>
    <dxf>
      <font>
        <strike val="0"/>
        <color auto="1"/>
      </font>
      <fill>
        <patternFill>
          <bgColor rgb="FFFFC000"/>
        </patternFill>
      </fill>
    </dxf>
  </dxfs>
  <tableStyles count="0" defaultTableStyle="TableStyleMedium2" defaultPivotStyle="PivotStyleLight16"/>
  <colors>
    <mruColors>
      <color rgb="FFF385C6"/>
      <color rgb="FF0000FB"/>
      <color rgb="FFFFFFCC"/>
      <color rgb="FFFFFF66"/>
      <color rgb="FFFFFF99"/>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L289"/>
  <sheetViews>
    <sheetView zoomScale="90" zoomScaleNormal="90" workbookViewId="0">
      <pane ySplit="4" topLeftCell="A19" activePane="bottomLeft" state="frozen"/>
      <selection activeCell="F1" sqref="F1"/>
      <selection pane="bottomLeft" activeCell="E41" sqref="E41"/>
    </sheetView>
  </sheetViews>
  <sheetFormatPr defaultColWidth="9.140625" defaultRowHeight="15.75" x14ac:dyDescent="0.25"/>
  <cols>
    <col min="1" max="1" width="13.85546875" style="216" customWidth="1"/>
    <col min="2" max="2" width="9.42578125" style="199" customWidth="1"/>
    <col min="3" max="3" width="8.28515625" style="199" customWidth="1"/>
    <col min="4" max="4" width="32.140625" style="199" customWidth="1"/>
    <col min="5" max="5" width="38.42578125" style="199" customWidth="1"/>
    <col min="6" max="6" width="38.28515625" style="199" customWidth="1"/>
    <col min="7" max="7" width="51.85546875" style="239" customWidth="1"/>
    <col min="8" max="9" width="10.5703125" style="176" customWidth="1"/>
    <col min="10" max="10" width="9.42578125" style="176" customWidth="1"/>
    <col min="11" max="11" width="8.5703125" style="176" customWidth="1"/>
    <col min="12" max="12" width="10" style="176" customWidth="1"/>
    <col min="13" max="13" width="9.85546875" style="176" customWidth="1"/>
    <col min="14" max="14" width="10.140625" style="176" customWidth="1"/>
    <col min="15" max="15" width="10.5703125" style="176" customWidth="1"/>
    <col min="16" max="16" width="10.28515625" style="19" customWidth="1"/>
    <col min="17" max="17" width="8.5703125" style="176" customWidth="1"/>
    <col min="18" max="18" width="12.42578125" style="176" customWidth="1"/>
    <col min="19" max="20" width="10.28515625" style="176" customWidth="1"/>
    <col min="21" max="23" width="10.5703125" style="176" customWidth="1"/>
    <col min="24" max="24" width="12.5703125" style="176" customWidth="1"/>
    <col min="25" max="26" width="12.7109375" style="208" customWidth="1"/>
    <col min="27" max="27" width="52.7109375" style="182" customWidth="1"/>
    <col min="28" max="28" width="20.5703125" style="182" customWidth="1"/>
    <col min="29" max="31" width="13.42578125" style="183" customWidth="1"/>
    <col min="32" max="32" width="4.85546875" style="183" customWidth="1"/>
    <col min="33" max="33" width="2.42578125" customWidth="1"/>
    <col min="34" max="34" width="10.5703125" style="176" customWidth="1"/>
    <col min="35" max="38" width="9.140625" style="176"/>
    <col min="39" max="39" width="5" style="176" customWidth="1"/>
    <col min="40" max="40" width="6.140625" style="176" customWidth="1"/>
    <col min="41" max="41" width="5.85546875" style="176" customWidth="1"/>
    <col min="42" max="43" width="5.42578125" style="176" customWidth="1"/>
    <col min="44" max="44" width="4.42578125" style="176" customWidth="1"/>
    <col min="45" max="45" width="2.42578125" style="176" customWidth="1"/>
    <col min="46" max="47" width="41.5703125" style="176" customWidth="1"/>
    <col min="48" max="48" width="26.85546875" style="176" customWidth="1"/>
    <col min="49" max="49" width="31.28515625" style="176" customWidth="1"/>
    <col min="50" max="50" width="26.85546875" style="176" customWidth="1"/>
    <col min="51" max="51" width="7.28515625" style="182" customWidth="1"/>
    <col min="52" max="52" width="7.140625" style="182" customWidth="1"/>
    <col min="53" max="53" width="11.85546875" style="176" customWidth="1"/>
    <col min="54" max="54" width="5.42578125" style="177" customWidth="1"/>
    <col min="55" max="57" width="2.7109375" style="177" customWidth="1"/>
    <col min="58" max="58" width="6.28515625" style="177" customWidth="1"/>
    <col min="59" max="61" width="11.85546875" style="176" customWidth="1"/>
    <col min="62" max="62" width="9.140625" style="176"/>
    <col min="63" max="63" width="7.7109375" style="176" customWidth="1"/>
    <col min="64" max="64" width="8.85546875" customWidth="1"/>
    <col min="65" max="16384" width="9.140625" style="176"/>
  </cols>
  <sheetData>
    <row r="1" spans="1:63" ht="27.75" thickBot="1" x14ac:dyDescent="0.3">
      <c r="A1" s="4471" t="s">
        <v>1231</v>
      </c>
      <c r="B1" s="4472"/>
      <c r="C1" s="4472"/>
      <c r="D1" s="4472"/>
      <c r="E1" s="4472"/>
      <c r="F1" s="4472"/>
      <c r="G1" s="4472"/>
      <c r="H1" s="4472"/>
      <c r="I1" s="4472"/>
      <c r="J1" s="4472"/>
      <c r="K1" s="4472"/>
      <c r="L1" s="4472"/>
      <c r="M1" s="4472"/>
      <c r="N1" s="4472"/>
      <c r="O1" s="4472"/>
      <c r="P1" s="4472"/>
      <c r="Q1" s="4472"/>
      <c r="R1" s="4472"/>
      <c r="S1" s="4472"/>
      <c r="T1" s="4472"/>
      <c r="U1" s="4472"/>
      <c r="V1" s="4472"/>
      <c r="W1" s="4472"/>
      <c r="X1" s="4472"/>
      <c r="Y1" s="4472"/>
      <c r="Z1" s="4472"/>
      <c r="AA1" s="4472"/>
      <c r="AB1" s="4472"/>
      <c r="AC1" s="4473"/>
      <c r="AD1" s="345"/>
      <c r="AE1" s="345"/>
      <c r="AF1" s="345"/>
      <c r="AH1" s="1"/>
      <c r="AI1" s="1"/>
      <c r="AJ1" s="1"/>
      <c r="AK1" s="1"/>
      <c r="AL1" s="1"/>
      <c r="AM1" s="135"/>
      <c r="AN1" s="136"/>
      <c r="AO1" s="136"/>
      <c r="AP1" s="136"/>
      <c r="AQ1" s="136"/>
      <c r="AS1" s="137"/>
      <c r="BB1" s="1134"/>
      <c r="BC1" s="1134"/>
      <c r="BD1" s="1134"/>
      <c r="BE1" s="1134"/>
      <c r="BF1" s="1134"/>
    </row>
    <row r="2" spans="1:63" ht="39" customHeight="1" thickBot="1" x14ac:dyDescent="0.3">
      <c r="A2" s="4474" t="s">
        <v>1</v>
      </c>
      <c r="B2" s="4476" t="s">
        <v>2</v>
      </c>
      <c r="C2" s="4476" t="s">
        <v>844</v>
      </c>
      <c r="D2" s="4478" t="s">
        <v>3</v>
      </c>
      <c r="E2" s="4480" t="s">
        <v>4</v>
      </c>
      <c r="F2" s="4480" t="s">
        <v>5</v>
      </c>
      <c r="G2" s="4482" t="s">
        <v>6</v>
      </c>
      <c r="H2" s="4480" t="s">
        <v>7</v>
      </c>
      <c r="I2" s="2640" t="s">
        <v>2595</v>
      </c>
      <c r="J2" s="4485" t="s">
        <v>843</v>
      </c>
      <c r="K2" s="4494" t="s">
        <v>2581</v>
      </c>
      <c r="L2" s="4513" t="s">
        <v>2582</v>
      </c>
      <c r="M2" s="4514"/>
      <c r="N2" s="4514"/>
      <c r="O2" s="4515"/>
      <c r="P2" s="4516" t="s">
        <v>2583</v>
      </c>
      <c r="Q2" s="4517"/>
      <c r="R2" s="4517"/>
      <c r="S2" s="4518"/>
      <c r="T2" s="4492" t="s">
        <v>8</v>
      </c>
      <c r="U2" s="4493"/>
      <c r="V2" s="4507" t="s">
        <v>9</v>
      </c>
      <c r="W2" s="4508"/>
      <c r="X2" s="4509"/>
      <c r="Y2" s="4490" t="s">
        <v>1482</v>
      </c>
      <c r="Z2" s="4499" t="s">
        <v>1483</v>
      </c>
      <c r="AA2" s="4519" t="s">
        <v>10</v>
      </c>
      <c r="AB2" s="4478" t="s">
        <v>1204</v>
      </c>
      <c r="AC2" s="4488" t="s">
        <v>1229</v>
      </c>
      <c r="AD2" s="4496" t="s">
        <v>1259</v>
      </c>
      <c r="AE2" s="4497" t="s">
        <v>1260</v>
      </c>
      <c r="AF2" s="4496" t="s">
        <v>1261</v>
      </c>
      <c r="AH2" s="4526" t="s">
        <v>11</v>
      </c>
      <c r="AI2" s="4527"/>
      <c r="AJ2" s="4527"/>
      <c r="AK2" s="4528"/>
      <c r="AL2" s="1137"/>
      <c r="AM2" s="4468" t="s">
        <v>12</v>
      </c>
      <c r="AN2" s="4469"/>
      <c r="AO2" s="4469"/>
      <c r="AP2" s="4469"/>
      <c r="AQ2" s="4469"/>
      <c r="AR2" s="4470"/>
      <c r="AS2" s="3"/>
      <c r="AT2" s="4529" t="s">
        <v>1488</v>
      </c>
      <c r="AU2" s="4454" t="s">
        <v>2187</v>
      </c>
      <c r="AV2" s="4454" t="s">
        <v>1915</v>
      </c>
      <c r="AW2" s="4524" t="s">
        <v>2244</v>
      </c>
      <c r="AX2" s="4524" t="s">
        <v>1430</v>
      </c>
      <c r="BA2" s="457"/>
      <c r="BB2" s="4456" t="s">
        <v>1382</v>
      </c>
      <c r="BC2" s="4458" t="s">
        <v>2214</v>
      </c>
      <c r="BD2" s="4460" t="s">
        <v>2211</v>
      </c>
      <c r="BE2" s="4462" t="s">
        <v>2213</v>
      </c>
      <c r="BF2" s="4466" t="s">
        <v>1949</v>
      </c>
      <c r="BG2" s="4464" t="s">
        <v>1865</v>
      </c>
      <c r="BH2" s="4464" t="s">
        <v>1930</v>
      </c>
      <c r="BI2" s="4464" t="s">
        <v>1725</v>
      </c>
      <c r="BJ2" s="4464" t="s">
        <v>1481</v>
      </c>
      <c r="BK2" s="4452" t="s">
        <v>2245</v>
      </c>
    </row>
    <row r="3" spans="1:63" ht="90" thickBot="1" x14ac:dyDescent="0.3">
      <c r="A3" s="4475"/>
      <c r="B3" s="4477"/>
      <c r="C3" s="4477"/>
      <c r="D3" s="4479"/>
      <c r="E3" s="4481"/>
      <c r="F3" s="4481"/>
      <c r="G3" s="4483"/>
      <c r="H3" s="4484"/>
      <c r="I3" s="2641" t="s">
        <v>2597</v>
      </c>
      <c r="J3" s="4486"/>
      <c r="K3" s="4495"/>
      <c r="L3" s="125" t="s">
        <v>13</v>
      </c>
      <c r="M3" s="102" t="s">
        <v>14</v>
      </c>
      <c r="N3" s="102" t="s">
        <v>15</v>
      </c>
      <c r="O3" s="115" t="s">
        <v>16</v>
      </c>
      <c r="P3" s="124" t="s">
        <v>2584</v>
      </c>
      <c r="Q3" s="118" t="s">
        <v>2585</v>
      </c>
      <c r="R3" s="119" t="s">
        <v>2586</v>
      </c>
      <c r="S3" s="119" t="s">
        <v>18</v>
      </c>
      <c r="T3" s="313" t="s">
        <v>1726</v>
      </c>
      <c r="U3" s="313" t="s">
        <v>1727</v>
      </c>
      <c r="V3" s="1133" t="s">
        <v>1932</v>
      </c>
      <c r="W3" s="1133" t="s">
        <v>1933</v>
      </c>
      <c r="X3" s="1133" t="s">
        <v>1934</v>
      </c>
      <c r="Y3" s="4491"/>
      <c r="Z3" s="4500"/>
      <c r="AA3" s="4520"/>
      <c r="AB3" s="4487"/>
      <c r="AC3" s="4489"/>
      <c r="AD3" s="4489"/>
      <c r="AE3" s="4498"/>
      <c r="AF3" s="4489"/>
      <c r="AH3" s="343" t="s">
        <v>19</v>
      </c>
      <c r="AI3" s="344" t="s">
        <v>20</v>
      </c>
      <c r="AJ3" s="552" t="s">
        <v>1473</v>
      </c>
      <c r="AK3" s="440" t="s">
        <v>1258</v>
      </c>
      <c r="AL3" s="1169"/>
      <c r="AM3" s="1173" t="s">
        <v>21</v>
      </c>
      <c r="AN3" s="138" t="s">
        <v>22</v>
      </c>
      <c r="AO3" s="138" t="s">
        <v>23</v>
      </c>
      <c r="AP3" s="1159" t="s">
        <v>1262</v>
      </c>
      <c r="AQ3" s="1160" t="s">
        <v>1263</v>
      </c>
      <c r="AR3" s="1158" t="s">
        <v>1453</v>
      </c>
      <c r="AS3" s="148"/>
      <c r="AT3" s="4530"/>
      <c r="AU3" s="4455"/>
      <c r="AV3" s="4455"/>
      <c r="AW3" s="4525"/>
      <c r="AX3" s="4525"/>
      <c r="AY3" s="245" t="s">
        <v>1254</v>
      </c>
      <c r="AZ3" s="245" t="s">
        <v>1255</v>
      </c>
      <c r="BA3" s="458" t="s">
        <v>1429</v>
      </c>
      <c r="BB3" s="4457"/>
      <c r="BC3" s="4459"/>
      <c r="BD3" s="4461"/>
      <c r="BE3" s="4463"/>
      <c r="BF3" s="4467"/>
      <c r="BG3" s="4465"/>
      <c r="BH3" s="4465"/>
      <c r="BI3" s="4465"/>
      <c r="BJ3" s="4465"/>
      <c r="BK3" s="4453"/>
    </row>
    <row r="4" spans="1:63" s="177" customFormat="1" ht="16.5" thickBot="1" x14ac:dyDescent="0.25">
      <c r="A4" s="122"/>
      <c r="B4" s="114"/>
      <c r="C4" s="114"/>
      <c r="D4" s="140"/>
      <c r="E4" s="305"/>
      <c r="F4" s="306"/>
      <c r="G4" s="218"/>
      <c r="H4" s="305"/>
      <c r="I4" s="307"/>
      <c r="J4" s="307"/>
      <c r="K4" s="586"/>
      <c r="L4" s="140"/>
      <c r="M4" s="308"/>
      <c r="N4" s="308"/>
      <c r="O4" s="309"/>
      <c r="P4" s="310"/>
      <c r="Q4" s="311"/>
      <c r="R4" s="311"/>
      <c r="S4" s="312"/>
      <c r="T4" s="312"/>
      <c r="U4" s="313"/>
      <c r="V4" s="313"/>
      <c r="W4" s="313"/>
      <c r="X4" s="313"/>
      <c r="Y4" s="314"/>
      <c r="Z4" s="314"/>
      <c r="AA4" s="165"/>
      <c r="AB4" s="114"/>
      <c r="AC4" s="122"/>
      <c r="AD4" s="346"/>
      <c r="AE4" s="346"/>
      <c r="AF4" s="346"/>
      <c r="AH4" s="630"/>
      <c r="AI4" s="631"/>
      <c r="AJ4" s="631"/>
      <c r="AK4" s="632"/>
      <c r="AL4" s="1170"/>
      <c r="AM4" s="1174"/>
      <c r="AN4" s="164"/>
      <c r="AO4" s="164"/>
      <c r="AP4" s="164"/>
      <c r="AQ4" s="108"/>
      <c r="AR4" s="1099"/>
      <c r="AS4" s="148"/>
      <c r="AY4" s="246"/>
      <c r="AZ4" s="246"/>
      <c r="BB4" s="1156"/>
      <c r="BC4" s="1156"/>
      <c r="BD4" s="1156"/>
      <c r="BE4" s="1156"/>
      <c r="BF4" s="1156"/>
      <c r="BJ4" s="863"/>
    </row>
    <row r="5" spans="1:63" s="177" customFormat="1" ht="15" hidden="1" x14ac:dyDescent="0.2">
      <c r="A5" s="69"/>
      <c r="B5" s="145"/>
      <c r="C5" s="7"/>
      <c r="D5" s="7"/>
      <c r="E5" s="70"/>
      <c r="F5" s="101"/>
      <c r="G5" s="217"/>
      <c r="H5" s="4"/>
      <c r="I5" s="4"/>
      <c r="J5" s="4"/>
      <c r="K5" s="133"/>
      <c r="L5" s="5"/>
      <c r="M5" s="6"/>
      <c r="N5" s="6"/>
      <c r="O5" s="47"/>
      <c r="P5" s="22"/>
      <c r="Q5" s="1168"/>
      <c r="R5" s="22"/>
      <c r="S5" s="31"/>
      <c r="T5" s="31"/>
      <c r="U5" s="6"/>
      <c r="V5" s="6"/>
      <c r="W5" s="6"/>
      <c r="X5" s="6"/>
      <c r="Y5" s="48"/>
      <c r="Z5" s="48"/>
      <c r="AA5" s="151"/>
      <c r="AB5" s="7"/>
      <c r="AC5" s="126"/>
      <c r="AD5" s="347"/>
      <c r="AE5" s="347"/>
      <c r="AF5" s="347"/>
      <c r="AH5" s="633">
        <f t="shared" ref="AH5:AH36" si="0">H5-J5-R5-S5-T5-U5-X5-Y5-Z5</f>
        <v>0</v>
      </c>
      <c r="AI5" s="605">
        <f t="shared" ref="AI5:AI108" si="1">R5-P5-Q5</f>
        <v>0</v>
      </c>
      <c r="AJ5" s="120">
        <f t="shared" ref="AJ5:AJ12" si="2">K5-R5</f>
        <v>0</v>
      </c>
      <c r="AK5" s="634">
        <f>R5+S5-L5-M5-N5-O5</f>
        <v>0</v>
      </c>
      <c r="AL5" s="120"/>
      <c r="AM5" s="338"/>
      <c r="AN5" s="248" t="s">
        <v>29</v>
      </c>
      <c r="AO5" s="248">
        <v>1</v>
      </c>
      <c r="AP5" s="248"/>
      <c r="AQ5" s="248"/>
      <c r="AR5" s="1175"/>
      <c r="AS5" s="148"/>
      <c r="AY5" s="66"/>
      <c r="AZ5" s="66"/>
      <c r="BB5" s="1134"/>
      <c r="BC5" s="1134"/>
      <c r="BD5" s="1134"/>
      <c r="BE5" s="1134"/>
      <c r="BF5" s="1134"/>
    </row>
    <row r="6" spans="1:63" s="177" customFormat="1" ht="15" hidden="1" x14ac:dyDescent="0.2">
      <c r="A6" s="94"/>
      <c r="B6" s="105"/>
      <c r="C6" s="14"/>
      <c r="D6" s="14"/>
      <c r="E6" s="98"/>
      <c r="F6" s="97"/>
      <c r="G6" s="333"/>
      <c r="H6" s="9"/>
      <c r="I6" s="9"/>
      <c r="J6" s="9"/>
      <c r="K6" s="318"/>
      <c r="L6" s="10"/>
      <c r="M6" s="11"/>
      <c r="N6" s="11"/>
      <c r="O6" s="34"/>
      <c r="P6" s="11"/>
      <c r="Q6" s="19"/>
      <c r="R6" s="11"/>
      <c r="S6" s="19"/>
      <c r="T6" s="19"/>
      <c r="U6" s="11"/>
      <c r="V6" s="11"/>
      <c r="W6" s="11"/>
      <c r="X6" s="11"/>
      <c r="Y6" s="334"/>
      <c r="Z6" s="334"/>
      <c r="AA6" s="58"/>
      <c r="AB6" s="14"/>
      <c r="AC6" s="789"/>
      <c r="AD6" s="347"/>
      <c r="AE6" s="347"/>
      <c r="AF6" s="347"/>
      <c r="AH6" s="633">
        <f t="shared" si="0"/>
        <v>0</v>
      </c>
      <c r="AI6" s="605"/>
      <c r="AJ6" s="120"/>
      <c r="AK6" s="634"/>
      <c r="AL6" s="120"/>
      <c r="AM6" s="338"/>
      <c r="AN6" s="248"/>
      <c r="AO6" s="248"/>
      <c r="AP6" s="248"/>
      <c r="AQ6" s="248"/>
      <c r="AR6" s="1175"/>
      <c r="AS6" s="148"/>
      <c r="AY6" s="66"/>
      <c r="AZ6" s="66"/>
      <c r="BB6" s="1134"/>
      <c r="BC6" s="1134"/>
      <c r="BD6" s="1134"/>
      <c r="BE6" s="1134"/>
      <c r="BF6" s="1134"/>
    </row>
    <row r="7" spans="1:63" ht="16.5" hidden="1" thickBot="1" x14ac:dyDescent="0.3">
      <c r="A7" s="596" t="s">
        <v>1209</v>
      </c>
      <c r="B7" s="597" t="s">
        <v>1209</v>
      </c>
      <c r="C7" s="140" t="s">
        <v>1209</v>
      </c>
      <c r="D7" s="140" t="s">
        <v>1209</v>
      </c>
      <c r="E7" s="210" t="s">
        <v>1209</v>
      </c>
      <c r="F7" s="211" t="s">
        <v>1209</v>
      </c>
      <c r="G7" s="218" t="s">
        <v>1468</v>
      </c>
      <c r="H7" s="113">
        <f>SUM(H5:H6)</f>
        <v>0</v>
      </c>
      <c r="I7" s="113"/>
      <c r="J7" s="113">
        <f t="shared" ref="J7:Z7" si="3">SUM(J5:J6)</f>
        <v>0</v>
      </c>
      <c r="K7" s="113">
        <f t="shared" si="3"/>
        <v>0</v>
      </c>
      <c r="L7" s="113">
        <f t="shared" si="3"/>
        <v>0</v>
      </c>
      <c r="M7" s="113">
        <f t="shared" si="3"/>
        <v>0</v>
      </c>
      <c r="N7" s="113">
        <f t="shared" si="3"/>
        <v>0</v>
      </c>
      <c r="O7" s="113">
        <f t="shared" si="3"/>
        <v>0</v>
      </c>
      <c r="P7" s="113">
        <f t="shared" si="3"/>
        <v>0</v>
      </c>
      <c r="Q7" s="113">
        <f t="shared" si="3"/>
        <v>0</v>
      </c>
      <c r="R7" s="113">
        <f t="shared" si="3"/>
        <v>0</v>
      </c>
      <c r="S7" s="113">
        <f t="shared" si="3"/>
        <v>0</v>
      </c>
      <c r="T7" s="113">
        <f t="shared" si="3"/>
        <v>0</v>
      </c>
      <c r="U7" s="113">
        <f t="shared" si="3"/>
        <v>0</v>
      </c>
      <c r="V7" s="113"/>
      <c r="W7" s="113"/>
      <c r="X7" s="113">
        <f t="shared" si="3"/>
        <v>0</v>
      </c>
      <c r="Y7" s="113">
        <f t="shared" si="3"/>
        <v>0</v>
      </c>
      <c r="Z7" s="113">
        <f t="shared" si="3"/>
        <v>0</v>
      </c>
      <c r="AA7" s="165" t="s">
        <v>1209</v>
      </c>
      <c r="AB7" s="114" t="s">
        <v>1209</v>
      </c>
      <c r="AC7" s="165" t="s">
        <v>1209</v>
      </c>
      <c r="AD7" s="114" t="s">
        <v>1209</v>
      </c>
      <c r="AE7" s="165" t="s">
        <v>1209</v>
      </c>
      <c r="AF7" s="114" t="s">
        <v>1209</v>
      </c>
      <c r="AH7" s="633">
        <f t="shared" si="0"/>
        <v>0</v>
      </c>
      <c r="AI7" s="605">
        <f t="shared" si="1"/>
        <v>0</v>
      </c>
      <c r="AJ7" s="120">
        <f t="shared" si="2"/>
        <v>0</v>
      </c>
      <c r="AK7" s="634">
        <f t="shared" ref="AK7:AK109" si="4">R7+S7-L7-M7-N7-O7</f>
        <v>0</v>
      </c>
      <c r="AL7" s="120"/>
      <c r="AM7" s="1176">
        <v>1</v>
      </c>
      <c r="AN7" s="248" t="s">
        <v>29</v>
      </c>
      <c r="AO7" s="248">
        <v>1</v>
      </c>
      <c r="AP7" s="248"/>
      <c r="AQ7" s="248"/>
      <c r="AR7" s="1175"/>
      <c r="AS7" s="148"/>
      <c r="AY7" s="66"/>
      <c r="AZ7" s="66"/>
      <c r="BB7" s="1134"/>
      <c r="BC7" s="1134"/>
      <c r="BD7" s="1134"/>
      <c r="BE7" s="1134"/>
      <c r="BF7" s="1134"/>
    </row>
    <row r="8" spans="1:63" s="177" customFormat="1" hidden="1" thickBot="1" x14ac:dyDescent="0.25">
      <c r="A8" s="254"/>
      <c r="B8" s="255"/>
      <c r="C8" s="256"/>
      <c r="D8" s="257"/>
      <c r="E8" s="258"/>
      <c r="F8" s="142"/>
      <c r="G8" s="219"/>
      <c r="H8" s="249"/>
      <c r="I8" s="249"/>
      <c r="J8" s="54"/>
      <c r="K8" s="249"/>
      <c r="L8" s="850"/>
      <c r="M8" s="18"/>
      <c r="N8" s="18"/>
      <c r="O8" s="56"/>
      <c r="P8" s="18"/>
      <c r="Q8" s="1164"/>
      <c r="R8" s="18"/>
      <c r="S8" s="250"/>
      <c r="T8" s="117"/>
      <c r="U8" s="251"/>
      <c r="V8" s="252"/>
      <c r="W8" s="252"/>
      <c r="X8" s="252"/>
      <c r="Y8" s="252"/>
      <c r="Z8" s="252"/>
      <c r="AA8" s="168"/>
      <c r="AB8" s="59"/>
      <c r="AC8" s="128"/>
      <c r="AD8" s="347"/>
      <c r="AE8" s="347"/>
      <c r="AF8" s="347"/>
      <c r="AH8" s="633">
        <f t="shared" si="0"/>
        <v>0</v>
      </c>
      <c r="AI8" s="605">
        <f t="shared" si="1"/>
        <v>0</v>
      </c>
      <c r="AJ8" s="120">
        <f t="shared" si="2"/>
        <v>0</v>
      </c>
      <c r="AK8" s="634">
        <f t="shared" si="4"/>
        <v>0</v>
      </c>
      <c r="AL8" s="120"/>
      <c r="AM8" s="338"/>
      <c r="AN8" s="248" t="s">
        <v>35</v>
      </c>
      <c r="AO8" s="248">
        <v>2</v>
      </c>
      <c r="AP8" s="248"/>
      <c r="AQ8" s="248"/>
      <c r="AR8" s="1175"/>
      <c r="AS8" s="148"/>
      <c r="AY8" s="66"/>
      <c r="AZ8" s="66"/>
      <c r="BB8" s="1134"/>
      <c r="BC8" s="1134"/>
      <c r="BD8" s="1134"/>
      <c r="BE8" s="1134"/>
      <c r="BF8" s="1134"/>
    </row>
    <row r="9" spans="1:63" s="177" customFormat="1" hidden="1" thickBot="1" x14ac:dyDescent="0.25">
      <c r="A9" s="254"/>
      <c r="B9" s="276"/>
      <c r="C9" s="329"/>
      <c r="D9" s="257"/>
      <c r="E9" s="258"/>
      <c r="F9" s="330"/>
      <c r="G9" s="865"/>
      <c r="H9" s="319"/>
      <c r="I9" s="319"/>
      <c r="J9" s="259"/>
      <c r="K9" s="319"/>
      <c r="L9" s="260"/>
      <c r="M9" s="12"/>
      <c r="N9" s="12"/>
      <c r="O9" s="261"/>
      <c r="P9" s="12"/>
      <c r="Q9" s="13"/>
      <c r="R9" s="12"/>
      <c r="S9" s="323"/>
      <c r="T9" s="323"/>
      <c r="U9" s="278"/>
      <c r="V9" s="331"/>
      <c r="W9" s="331"/>
      <c r="X9" s="331"/>
      <c r="Y9" s="331"/>
      <c r="Z9" s="331"/>
      <c r="AA9" s="277"/>
      <c r="AB9" s="60"/>
      <c r="AC9" s="789"/>
      <c r="AD9" s="347"/>
      <c r="AE9" s="347"/>
      <c r="AF9" s="347"/>
      <c r="AH9" s="633">
        <f t="shared" si="0"/>
        <v>0</v>
      </c>
      <c r="AI9" s="605"/>
      <c r="AJ9" s="120"/>
      <c r="AK9" s="634"/>
      <c r="AL9" s="120"/>
      <c r="AM9" s="338"/>
      <c r="AN9" s="248"/>
      <c r="AO9" s="248"/>
      <c r="AP9" s="248"/>
      <c r="AQ9" s="248"/>
      <c r="AR9" s="1175"/>
      <c r="AS9" s="148"/>
      <c r="AY9" s="66"/>
      <c r="AZ9" s="66"/>
      <c r="BB9" s="1134"/>
      <c r="BC9" s="1134"/>
      <c r="BD9" s="1134"/>
      <c r="BE9" s="1134"/>
      <c r="BF9" s="1134"/>
    </row>
    <row r="10" spans="1:63" ht="32.25" hidden="1" thickBot="1" x14ac:dyDescent="0.3">
      <c r="A10" s="598" t="s">
        <v>1209</v>
      </c>
      <c r="B10" s="597" t="s">
        <v>1209</v>
      </c>
      <c r="C10" s="140" t="s">
        <v>1209</v>
      </c>
      <c r="D10" s="140" t="s">
        <v>1209</v>
      </c>
      <c r="E10" s="210" t="s">
        <v>1209</v>
      </c>
      <c r="F10" s="211" t="s">
        <v>1209</v>
      </c>
      <c r="G10" s="220" t="s">
        <v>1467</v>
      </c>
      <c r="H10" s="113">
        <f t="shared" ref="H10:X10" si="5">SUM(H8:H9)</f>
        <v>0</v>
      </c>
      <c r="I10" s="113"/>
      <c r="J10" s="113">
        <f t="shared" si="5"/>
        <v>0</v>
      </c>
      <c r="K10" s="113">
        <f t="shared" si="5"/>
        <v>0</v>
      </c>
      <c r="L10" s="113">
        <f t="shared" si="5"/>
        <v>0</v>
      </c>
      <c r="M10" s="113">
        <f t="shared" si="5"/>
        <v>0</v>
      </c>
      <c r="N10" s="113">
        <f t="shared" si="5"/>
        <v>0</v>
      </c>
      <c r="O10" s="113">
        <f t="shared" si="5"/>
        <v>0</v>
      </c>
      <c r="P10" s="113">
        <f t="shared" si="5"/>
        <v>0</v>
      </c>
      <c r="Q10" s="113">
        <f t="shared" si="5"/>
        <v>0</v>
      </c>
      <c r="R10" s="113">
        <f t="shared" si="5"/>
        <v>0</v>
      </c>
      <c r="S10" s="113">
        <f t="shared" si="5"/>
        <v>0</v>
      </c>
      <c r="T10" s="113">
        <f t="shared" si="5"/>
        <v>0</v>
      </c>
      <c r="U10" s="113">
        <f t="shared" si="5"/>
        <v>0</v>
      </c>
      <c r="V10" s="113"/>
      <c r="W10" s="113"/>
      <c r="X10" s="113">
        <f t="shared" si="5"/>
        <v>0</v>
      </c>
      <c r="Y10" s="113">
        <f>SUM(Y8:Y9)</f>
        <v>0</v>
      </c>
      <c r="Z10" s="113">
        <f>SUM(Z8:Z9)</f>
        <v>0</v>
      </c>
      <c r="AA10" s="165" t="s">
        <v>1209</v>
      </c>
      <c r="AB10" s="114" t="s">
        <v>1209</v>
      </c>
      <c r="AC10" s="165" t="s">
        <v>1209</v>
      </c>
      <c r="AD10" s="114" t="s">
        <v>1209</v>
      </c>
      <c r="AE10" s="165" t="s">
        <v>1209</v>
      </c>
      <c r="AF10" s="114" t="s">
        <v>1209</v>
      </c>
      <c r="AH10" s="633">
        <f t="shared" si="0"/>
        <v>0</v>
      </c>
      <c r="AI10" s="605">
        <f t="shared" si="1"/>
        <v>0</v>
      </c>
      <c r="AJ10" s="120">
        <f t="shared" si="2"/>
        <v>0</v>
      </c>
      <c r="AK10" s="634">
        <f t="shared" si="4"/>
        <v>0</v>
      </c>
      <c r="AL10" s="120"/>
      <c r="AM10" s="1176">
        <v>1</v>
      </c>
      <c r="AN10" s="248" t="s">
        <v>35</v>
      </c>
      <c r="AO10" s="248">
        <v>2</v>
      </c>
      <c r="AP10" s="248"/>
      <c r="AQ10" s="248"/>
      <c r="AR10" s="1175"/>
      <c r="AS10" s="148"/>
      <c r="AY10" s="66"/>
      <c r="AZ10" s="66"/>
      <c r="BB10" s="1134"/>
      <c r="BC10" s="1134"/>
      <c r="BD10" s="1134"/>
      <c r="BE10" s="1134"/>
      <c r="BF10" s="1134"/>
    </row>
    <row r="11" spans="1:63" s="206" customFormat="1" ht="25.5" x14ac:dyDescent="0.2">
      <c r="A11" s="82" t="s">
        <v>51</v>
      </c>
      <c r="B11" s="283" t="s">
        <v>52</v>
      </c>
      <c r="C11" s="78">
        <v>2013</v>
      </c>
      <c r="D11" s="78" t="s">
        <v>49</v>
      </c>
      <c r="E11" s="79" t="s">
        <v>26</v>
      </c>
      <c r="F11" s="88" t="s">
        <v>26</v>
      </c>
      <c r="G11" s="284" t="s">
        <v>53</v>
      </c>
      <c r="H11" s="42">
        <f>2220.9441-36.663</f>
        <v>2184.2811000000002</v>
      </c>
      <c r="I11" s="42"/>
      <c r="J11" s="42">
        <f>2220.9441-36.663</f>
        <v>2184.2811000000002</v>
      </c>
      <c r="K11" s="42"/>
      <c r="L11" s="24">
        <v>0</v>
      </c>
      <c r="M11" s="24">
        <v>0</v>
      </c>
      <c r="N11" s="27">
        <v>0</v>
      </c>
      <c r="O11" s="24">
        <v>0</v>
      </c>
      <c r="P11" s="27">
        <v>115.129</v>
      </c>
      <c r="Q11" s="1117">
        <v>-115.129</v>
      </c>
      <c r="R11" s="280">
        <f>P11+Q11</f>
        <v>0</v>
      </c>
      <c r="S11" s="24">
        <v>0</v>
      </c>
      <c r="T11" s="23"/>
      <c r="U11" s="23">
        <v>0</v>
      </c>
      <c r="V11" s="23"/>
      <c r="W11" s="23"/>
      <c r="X11" s="24">
        <v>0</v>
      </c>
      <c r="Y11" s="23">
        <v>0</v>
      </c>
      <c r="Z11" s="530"/>
      <c r="AA11" s="150" t="s">
        <v>1196</v>
      </c>
      <c r="AB11" s="191" t="s">
        <v>1256</v>
      </c>
      <c r="AC11" s="285" t="s">
        <v>1209</v>
      </c>
      <c r="AD11" s="583"/>
      <c r="AE11" s="583"/>
      <c r="AF11" s="583"/>
      <c r="AH11" s="633">
        <f t="shared" si="0"/>
        <v>0</v>
      </c>
      <c r="AI11" s="605">
        <f t="shared" si="1"/>
        <v>0</v>
      </c>
      <c r="AJ11" s="120">
        <f t="shared" si="2"/>
        <v>0</v>
      </c>
      <c r="AK11" s="634">
        <f t="shared" si="4"/>
        <v>0</v>
      </c>
      <c r="AL11" s="120"/>
      <c r="AM11" s="496"/>
      <c r="AN11" s="175" t="s">
        <v>44</v>
      </c>
      <c r="AO11" s="175">
        <v>3</v>
      </c>
      <c r="AP11" s="175"/>
      <c r="AQ11" s="175">
        <v>1</v>
      </c>
      <c r="AR11" s="1175"/>
      <c r="AS11" s="148"/>
      <c r="AY11" s="66"/>
      <c r="AZ11" s="66"/>
      <c r="BB11" s="1134"/>
      <c r="BC11" s="1134"/>
      <c r="BD11" s="1134"/>
      <c r="BE11" s="1134"/>
      <c r="BF11" s="1134"/>
    </row>
    <row r="12" spans="1:63" s="179" customFormat="1" ht="30" x14ac:dyDescent="0.2">
      <c r="A12" s="89" t="s">
        <v>58</v>
      </c>
      <c r="B12" s="190" t="s">
        <v>59</v>
      </c>
      <c r="C12" s="75">
        <v>2018</v>
      </c>
      <c r="D12" s="8" t="s">
        <v>1234</v>
      </c>
      <c r="E12" s="76" t="s">
        <v>26</v>
      </c>
      <c r="F12" s="77" t="s">
        <v>26</v>
      </c>
      <c r="G12" s="221" t="s">
        <v>60</v>
      </c>
      <c r="H12" s="25">
        <v>847</v>
      </c>
      <c r="I12" s="25"/>
      <c r="J12" s="25">
        <v>847</v>
      </c>
      <c r="K12" s="25"/>
      <c r="L12" s="27">
        <v>0</v>
      </c>
      <c r="M12" s="27">
        <v>0</v>
      </c>
      <c r="N12" s="27">
        <v>0</v>
      </c>
      <c r="O12" s="27">
        <v>0</v>
      </c>
      <c r="P12" s="27">
        <v>0</v>
      </c>
      <c r="Q12" s="1117">
        <v>0</v>
      </c>
      <c r="R12" s="27">
        <v>0</v>
      </c>
      <c r="S12" s="27">
        <v>0</v>
      </c>
      <c r="T12" s="27"/>
      <c r="U12" s="27">
        <v>0</v>
      </c>
      <c r="V12" s="27"/>
      <c r="W12" s="27"/>
      <c r="X12" s="27">
        <v>0</v>
      </c>
      <c r="Y12" s="26">
        <v>0</v>
      </c>
      <c r="Z12" s="26"/>
      <c r="AA12" s="143" t="s">
        <v>61</v>
      </c>
      <c r="AB12" s="191" t="s">
        <v>1256</v>
      </c>
      <c r="AC12" s="285" t="s">
        <v>1209</v>
      </c>
      <c r="AD12" s="583"/>
      <c r="AE12" s="583"/>
      <c r="AF12" s="583"/>
      <c r="AH12" s="633">
        <f t="shared" si="0"/>
        <v>0</v>
      </c>
      <c r="AI12" s="605">
        <f t="shared" si="1"/>
        <v>0</v>
      </c>
      <c r="AJ12" s="120">
        <f t="shared" si="2"/>
        <v>0</v>
      </c>
      <c r="AK12" s="634">
        <f t="shared" si="4"/>
        <v>0</v>
      </c>
      <c r="AL12" s="120"/>
      <c r="AM12" s="496"/>
      <c r="AN12" s="175" t="s">
        <v>44</v>
      </c>
      <c r="AO12" s="175">
        <v>3</v>
      </c>
      <c r="AP12" s="175"/>
      <c r="AQ12" s="175">
        <v>1</v>
      </c>
      <c r="AR12" s="1175"/>
      <c r="AS12" s="148"/>
      <c r="AY12" s="66"/>
      <c r="AZ12" s="66"/>
      <c r="BB12" s="1134"/>
      <c r="BC12" s="1134"/>
      <c r="BD12" s="1134"/>
      <c r="BE12" s="1134"/>
      <c r="BF12" s="1134"/>
    </row>
    <row r="13" spans="1:63" s="179" customFormat="1" ht="15" hidden="1" x14ac:dyDescent="0.2">
      <c r="A13" s="89"/>
      <c r="B13" s="608"/>
      <c r="C13" s="588"/>
      <c r="D13" s="14"/>
      <c r="E13" s="302"/>
      <c r="F13" s="609"/>
      <c r="G13" s="610"/>
      <c r="H13" s="590"/>
      <c r="I13" s="590"/>
      <c r="J13" s="590"/>
      <c r="K13" s="590"/>
      <c r="L13" s="280"/>
      <c r="M13" s="280"/>
      <c r="N13" s="280"/>
      <c r="O13" s="280"/>
      <c r="P13" s="280"/>
      <c r="Q13" s="11"/>
      <c r="R13" s="280"/>
      <c r="S13" s="280"/>
      <c r="T13" s="280"/>
      <c r="U13" s="280"/>
      <c r="V13" s="280"/>
      <c r="W13" s="280"/>
      <c r="X13" s="280"/>
      <c r="Y13" s="530"/>
      <c r="Z13" s="530"/>
      <c r="AA13" s="594"/>
      <c r="AB13" s="496"/>
      <c r="AC13" s="611"/>
      <c r="AD13" s="583"/>
      <c r="AE13" s="583"/>
      <c r="AF13" s="583"/>
      <c r="AH13" s="633">
        <f t="shared" si="0"/>
        <v>0</v>
      </c>
      <c r="AI13" s="605"/>
      <c r="AJ13" s="120"/>
      <c r="AK13" s="634"/>
      <c r="AL13" s="120"/>
      <c r="AM13" s="496"/>
      <c r="AN13" s="175" t="s">
        <v>44</v>
      </c>
      <c r="AO13" s="175">
        <v>3</v>
      </c>
      <c r="AP13" s="175"/>
      <c r="AQ13" s="175"/>
      <c r="AR13" s="1175"/>
      <c r="AS13" s="148"/>
      <c r="AY13" s="66"/>
      <c r="AZ13" s="66"/>
      <c r="BB13" s="1134"/>
      <c r="BC13" s="1134"/>
      <c r="BD13" s="1134"/>
      <c r="BE13" s="1134"/>
      <c r="BF13" s="1134"/>
    </row>
    <row r="14" spans="1:63" ht="16.5" hidden="1" thickBot="1" x14ac:dyDescent="0.3">
      <c r="A14" s="598" t="s">
        <v>1209</v>
      </c>
      <c r="B14" s="597" t="s">
        <v>1209</v>
      </c>
      <c r="C14" s="140" t="s">
        <v>1209</v>
      </c>
      <c r="D14" s="140" t="s">
        <v>1209</v>
      </c>
      <c r="E14" s="140" t="s">
        <v>1209</v>
      </c>
      <c r="F14" s="599" t="s">
        <v>1209</v>
      </c>
      <c r="G14" s="600" t="s">
        <v>1466</v>
      </c>
      <c r="H14" s="113">
        <f>SUM(H11:H13)</f>
        <v>3031.2811000000002</v>
      </c>
      <c r="I14" s="113"/>
      <c r="J14" s="113">
        <f t="shared" ref="J14:Z14" si="6">SUM(J11:J13)</f>
        <v>3031.2811000000002</v>
      </c>
      <c r="K14" s="113">
        <f t="shared" si="6"/>
        <v>0</v>
      </c>
      <c r="L14" s="113">
        <f t="shared" si="6"/>
        <v>0</v>
      </c>
      <c r="M14" s="113">
        <f t="shared" si="6"/>
        <v>0</v>
      </c>
      <c r="N14" s="113">
        <f t="shared" si="6"/>
        <v>0</v>
      </c>
      <c r="O14" s="113">
        <f t="shared" si="6"/>
        <v>0</v>
      </c>
      <c r="P14" s="113">
        <f t="shared" si="6"/>
        <v>115.129</v>
      </c>
      <c r="Q14" s="113">
        <f t="shared" si="6"/>
        <v>-115.129</v>
      </c>
      <c r="R14" s="113">
        <f t="shared" si="6"/>
        <v>0</v>
      </c>
      <c r="S14" s="113">
        <f t="shared" si="6"/>
        <v>0</v>
      </c>
      <c r="T14" s="113">
        <f t="shared" si="6"/>
        <v>0</v>
      </c>
      <c r="U14" s="113">
        <f t="shared" si="6"/>
        <v>0</v>
      </c>
      <c r="V14" s="113"/>
      <c r="W14" s="113"/>
      <c r="X14" s="113">
        <f t="shared" si="6"/>
        <v>0</v>
      </c>
      <c r="Y14" s="113">
        <f t="shared" si="6"/>
        <v>0</v>
      </c>
      <c r="Z14" s="113">
        <f t="shared" si="6"/>
        <v>0</v>
      </c>
      <c r="AA14" s="165" t="s">
        <v>1209</v>
      </c>
      <c r="AB14" s="114" t="s">
        <v>1209</v>
      </c>
      <c r="AC14" s="114" t="s">
        <v>1209</v>
      </c>
      <c r="AD14" s="114" t="s">
        <v>1209</v>
      </c>
      <c r="AE14" s="114" t="s">
        <v>1209</v>
      </c>
      <c r="AF14" s="114" t="s">
        <v>1209</v>
      </c>
      <c r="AH14" s="633">
        <f t="shared" si="0"/>
        <v>0</v>
      </c>
      <c r="AI14" s="605">
        <f t="shared" si="1"/>
        <v>0</v>
      </c>
      <c r="AJ14" s="120">
        <f t="shared" ref="AJ14:AJ24" si="7">K14-R14</f>
        <v>0</v>
      </c>
      <c r="AK14" s="634">
        <f t="shared" si="4"/>
        <v>0</v>
      </c>
      <c r="AL14" s="120"/>
      <c r="AM14" s="1176">
        <v>1</v>
      </c>
      <c r="AN14" s="248" t="s">
        <v>44</v>
      </c>
      <c r="AO14" s="248">
        <v>3</v>
      </c>
      <c r="AP14" s="248"/>
      <c r="AQ14" s="175"/>
      <c r="AR14" s="1175"/>
      <c r="AS14" s="148"/>
      <c r="AY14" s="66"/>
      <c r="AZ14" s="66"/>
      <c r="BB14" s="1134"/>
      <c r="BC14" s="1134"/>
      <c r="BD14" s="1134"/>
      <c r="BE14" s="1134"/>
      <c r="BF14" s="1134"/>
    </row>
    <row r="15" spans="1:63" s="179" customFormat="1" ht="25.5" x14ac:dyDescent="0.2">
      <c r="A15" s="82" t="s">
        <v>85</v>
      </c>
      <c r="B15" s="144" t="s">
        <v>86</v>
      </c>
      <c r="C15" s="75">
        <v>2017</v>
      </c>
      <c r="D15" s="75" t="s">
        <v>79</v>
      </c>
      <c r="E15" s="75" t="s">
        <v>80</v>
      </c>
      <c r="F15" s="84" t="s">
        <v>80</v>
      </c>
      <c r="G15" s="227" t="s">
        <v>87</v>
      </c>
      <c r="H15" s="25">
        <v>11719.817999999999</v>
      </c>
      <c r="I15" s="172"/>
      <c r="J15" s="172">
        <v>11719.817999999999</v>
      </c>
      <c r="K15" s="172"/>
      <c r="L15" s="27">
        <v>0</v>
      </c>
      <c r="M15" s="27">
        <v>0</v>
      </c>
      <c r="N15" s="27">
        <v>0</v>
      </c>
      <c r="O15" s="27">
        <v>0</v>
      </c>
      <c r="P15" s="26">
        <v>0</v>
      </c>
      <c r="Q15" s="1167">
        <v>0</v>
      </c>
      <c r="R15" s="27">
        <v>0</v>
      </c>
      <c r="S15" s="23">
        <v>0</v>
      </c>
      <c r="T15" s="23"/>
      <c r="U15" s="23">
        <v>0</v>
      </c>
      <c r="V15" s="87"/>
      <c r="W15" s="87"/>
      <c r="X15" s="87">
        <v>0</v>
      </c>
      <c r="Y15" s="24">
        <v>0</v>
      </c>
      <c r="Z15" s="24"/>
      <c r="AA15" s="75" t="s">
        <v>1209</v>
      </c>
      <c r="AB15" s="191" t="s">
        <v>1256</v>
      </c>
      <c r="AC15" s="74" t="s">
        <v>1209</v>
      </c>
      <c r="AD15" s="584"/>
      <c r="AE15" s="584"/>
      <c r="AF15" s="584"/>
      <c r="AH15" s="633">
        <f t="shared" si="0"/>
        <v>0</v>
      </c>
      <c r="AI15" s="605">
        <f t="shared" si="1"/>
        <v>0</v>
      </c>
      <c r="AJ15" s="120">
        <f t="shared" si="7"/>
        <v>0</v>
      </c>
      <c r="AK15" s="634">
        <f t="shared" si="4"/>
        <v>0</v>
      </c>
      <c r="AL15" s="120"/>
      <c r="AM15" s="496"/>
      <c r="AN15" s="175" t="s">
        <v>74</v>
      </c>
      <c r="AO15" s="175">
        <v>4</v>
      </c>
      <c r="AP15" s="175"/>
      <c r="AQ15" s="175">
        <v>1</v>
      </c>
      <c r="AR15" s="1175"/>
      <c r="AS15" s="148"/>
      <c r="AY15" s="66"/>
      <c r="AZ15" s="66"/>
      <c r="BB15" s="1134"/>
      <c r="BC15" s="1134"/>
      <c r="BD15" s="1134"/>
      <c r="BE15" s="1134"/>
      <c r="BF15" s="1134"/>
    </row>
    <row r="16" spans="1:63" s="179" customFormat="1" ht="25.5" x14ac:dyDescent="0.2">
      <c r="A16" s="82" t="s">
        <v>105</v>
      </c>
      <c r="B16" s="147" t="s">
        <v>1212</v>
      </c>
      <c r="C16" s="78">
        <v>2018</v>
      </c>
      <c r="D16" s="78" t="s">
        <v>101</v>
      </c>
      <c r="E16" s="79" t="s">
        <v>80</v>
      </c>
      <c r="F16" s="88" t="s">
        <v>80</v>
      </c>
      <c r="G16" s="223" t="s">
        <v>106</v>
      </c>
      <c r="H16" s="42">
        <v>5244.66</v>
      </c>
      <c r="I16" s="134"/>
      <c r="J16" s="134">
        <v>5244.6630100000002</v>
      </c>
      <c r="K16" s="172"/>
      <c r="L16" s="24">
        <v>0</v>
      </c>
      <c r="M16" s="24">
        <v>0</v>
      </c>
      <c r="N16" s="24">
        <v>0</v>
      </c>
      <c r="O16" s="24">
        <v>0</v>
      </c>
      <c r="P16" s="26">
        <v>-3.0100000003585592E-3</v>
      </c>
      <c r="Q16" s="1167">
        <v>0</v>
      </c>
      <c r="R16" s="27">
        <f t="shared" ref="R16:R24" si="8">P16+Q16</f>
        <v>-3.0100000003585592E-3</v>
      </c>
      <c r="S16" s="23">
        <v>0</v>
      </c>
      <c r="T16" s="23"/>
      <c r="U16" s="23">
        <v>0</v>
      </c>
      <c r="V16" s="87"/>
      <c r="W16" s="87"/>
      <c r="X16" s="87">
        <v>0</v>
      </c>
      <c r="Y16" s="24">
        <v>0</v>
      </c>
      <c r="Z16" s="530"/>
      <c r="AA16" s="150" t="s">
        <v>1209</v>
      </c>
      <c r="AB16" s="191" t="s">
        <v>1256</v>
      </c>
      <c r="AC16" s="74" t="s">
        <v>1209</v>
      </c>
      <c r="AD16" s="584"/>
      <c r="AE16" s="584"/>
      <c r="AF16" s="584"/>
      <c r="AH16" s="633">
        <f t="shared" si="0"/>
        <v>0</v>
      </c>
      <c r="AI16" s="605">
        <f t="shared" si="1"/>
        <v>0</v>
      </c>
      <c r="AJ16" s="120">
        <f t="shared" si="7"/>
        <v>3.0100000003585592E-3</v>
      </c>
      <c r="AK16" s="634">
        <f t="shared" si="4"/>
        <v>-3.0100000003585592E-3</v>
      </c>
      <c r="AL16" s="120"/>
      <c r="AM16" s="496"/>
      <c r="AN16" s="175" t="s">
        <v>74</v>
      </c>
      <c r="AO16" s="175">
        <v>4</v>
      </c>
      <c r="AP16" s="175"/>
      <c r="AQ16" s="175">
        <v>1</v>
      </c>
      <c r="AR16" s="1175"/>
      <c r="AS16" s="148"/>
      <c r="AY16" s="66"/>
      <c r="AZ16" s="66"/>
      <c r="BB16" s="1134"/>
      <c r="BC16" s="1134"/>
      <c r="BD16" s="1134"/>
      <c r="BE16" s="1134"/>
      <c r="BF16" s="1134"/>
    </row>
    <row r="17" spans="1:62" s="179" customFormat="1" ht="25.5" x14ac:dyDescent="0.2">
      <c r="A17" s="82" t="s">
        <v>126</v>
      </c>
      <c r="B17" s="147" t="s">
        <v>1172</v>
      </c>
      <c r="C17" s="78">
        <v>2018</v>
      </c>
      <c r="D17" s="78" t="s">
        <v>101</v>
      </c>
      <c r="E17" s="79" t="s">
        <v>80</v>
      </c>
      <c r="F17" s="88" t="s">
        <v>80</v>
      </c>
      <c r="G17" s="224" t="s">
        <v>127</v>
      </c>
      <c r="H17" s="42">
        <v>1539.41</v>
      </c>
      <c r="I17" s="134"/>
      <c r="J17" s="134">
        <v>1539.4138700000001</v>
      </c>
      <c r="K17" s="172"/>
      <c r="L17" s="24">
        <v>0</v>
      </c>
      <c r="M17" s="132">
        <v>-3.8700000000062573E-3</v>
      </c>
      <c r="N17" s="24">
        <v>0</v>
      </c>
      <c r="O17" s="24">
        <v>0</v>
      </c>
      <c r="P17" s="26">
        <v>-3.8700000000062573E-3</v>
      </c>
      <c r="Q17" s="1167">
        <v>0</v>
      </c>
      <c r="R17" s="27">
        <f t="shared" si="8"/>
        <v>-3.8700000000062573E-3</v>
      </c>
      <c r="S17" s="23">
        <v>0</v>
      </c>
      <c r="T17" s="23"/>
      <c r="U17" s="23">
        <v>0</v>
      </c>
      <c r="V17" s="87"/>
      <c r="W17" s="87"/>
      <c r="X17" s="87">
        <v>0</v>
      </c>
      <c r="Y17" s="24">
        <v>0</v>
      </c>
      <c r="Z17" s="530"/>
      <c r="AA17" s="150" t="s">
        <v>1209</v>
      </c>
      <c r="AB17" s="191" t="s">
        <v>1256</v>
      </c>
      <c r="AC17" s="74" t="s">
        <v>1209</v>
      </c>
      <c r="AD17" s="584"/>
      <c r="AE17" s="584"/>
      <c r="AF17" s="584"/>
      <c r="AH17" s="633">
        <f t="shared" si="0"/>
        <v>0</v>
      </c>
      <c r="AI17" s="605">
        <f t="shared" si="1"/>
        <v>0</v>
      </c>
      <c r="AJ17" s="120">
        <f t="shared" si="7"/>
        <v>3.8700000000062573E-3</v>
      </c>
      <c r="AK17" s="634">
        <f t="shared" si="4"/>
        <v>0</v>
      </c>
      <c r="AL17" s="120"/>
      <c r="AM17" s="496"/>
      <c r="AN17" s="175" t="s">
        <v>74</v>
      </c>
      <c r="AO17" s="175">
        <v>4</v>
      </c>
      <c r="AP17" s="175"/>
      <c r="AQ17" s="175">
        <v>1</v>
      </c>
      <c r="AR17" s="1175"/>
      <c r="AS17" s="148"/>
      <c r="AY17" s="66"/>
      <c r="AZ17" s="66"/>
      <c r="BB17" s="1134"/>
      <c r="BC17" s="1134"/>
      <c r="BD17" s="1134"/>
      <c r="BE17" s="1134"/>
      <c r="BF17" s="1134"/>
    </row>
    <row r="18" spans="1:62" ht="25.5" x14ac:dyDescent="0.25">
      <c r="A18" s="82" t="s">
        <v>135</v>
      </c>
      <c r="B18" s="147" t="s">
        <v>1219</v>
      </c>
      <c r="C18" s="78">
        <v>2018</v>
      </c>
      <c r="D18" s="78" t="s">
        <v>101</v>
      </c>
      <c r="E18" s="79" t="s">
        <v>80</v>
      </c>
      <c r="F18" s="88" t="s">
        <v>80</v>
      </c>
      <c r="G18" s="224" t="s">
        <v>136</v>
      </c>
      <c r="H18" s="42">
        <v>6522.60664</v>
      </c>
      <c r="I18" s="431"/>
      <c r="J18" s="431">
        <v>6522.60664</v>
      </c>
      <c r="K18" s="42">
        <v>0</v>
      </c>
      <c r="L18" s="663">
        <v>0</v>
      </c>
      <c r="M18" s="375">
        <v>0</v>
      </c>
      <c r="N18" s="375">
        <v>0</v>
      </c>
      <c r="O18" s="541">
        <v>0</v>
      </c>
      <c r="P18" s="539">
        <v>0</v>
      </c>
      <c r="Q18" s="336">
        <v>0</v>
      </c>
      <c r="R18" s="376">
        <f>P18+Q18</f>
        <v>0</v>
      </c>
      <c r="S18" s="23">
        <v>0</v>
      </c>
      <c r="T18" s="23"/>
      <c r="U18" s="23">
        <v>0</v>
      </c>
      <c r="V18" s="87"/>
      <c r="W18" s="87"/>
      <c r="X18" s="87">
        <v>0</v>
      </c>
      <c r="Y18" s="43">
        <v>0</v>
      </c>
      <c r="Z18" s="43">
        <v>0</v>
      </c>
      <c r="AA18" s="83" t="s">
        <v>1209</v>
      </c>
      <c r="AB18" s="143" t="s">
        <v>1329</v>
      </c>
      <c r="AC18" s="74" t="s">
        <v>1358</v>
      </c>
      <c r="AD18" s="74" t="s">
        <v>1283</v>
      </c>
      <c r="AE18" s="379" t="s">
        <v>1283</v>
      </c>
      <c r="AF18" s="74" t="s">
        <v>1383</v>
      </c>
      <c r="AH18" s="633">
        <f t="shared" si="0"/>
        <v>0</v>
      </c>
      <c r="AI18" s="1308">
        <f>R18-P18-Q18</f>
        <v>0</v>
      </c>
      <c r="AJ18" s="553">
        <f>K18-R18</f>
        <v>0</v>
      </c>
      <c r="AK18" s="512">
        <f>R18+S18-L18-M18-N18-O18</f>
        <v>0</v>
      </c>
      <c r="AL18" s="1171"/>
      <c r="AM18" s="1177"/>
      <c r="AN18" s="674" t="s">
        <v>74</v>
      </c>
      <c r="AO18" s="367">
        <v>4</v>
      </c>
      <c r="AP18" s="367"/>
      <c r="AQ18" s="175">
        <v>2</v>
      </c>
      <c r="AR18" s="1178"/>
      <c r="AS18" s="148"/>
      <c r="AT18" s="580"/>
      <c r="AU18" s="1093"/>
      <c r="AV18" s="1093"/>
      <c r="AW18" s="83" t="s">
        <v>1209</v>
      </c>
      <c r="AX18" s="151" t="s">
        <v>1209</v>
      </c>
      <c r="AY18" s="66">
        <v>1</v>
      </c>
      <c r="AZ18" s="66">
        <v>0</v>
      </c>
      <c r="BA18" s="461" t="s">
        <v>1288</v>
      </c>
      <c r="BB18" s="366"/>
      <c r="BC18" s="366"/>
      <c r="BD18" s="366"/>
      <c r="BE18" s="366"/>
      <c r="BF18" s="366"/>
      <c r="BG18" s="1105"/>
      <c r="BH18" s="1105"/>
      <c r="BI18" s="1105"/>
    </row>
    <row r="19" spans="1:62" s="178" customFormat="1" ht="25.5" x14ac:dyDescent="0.2">
      <c r="A19" s="82" t="s">
        <v>144</v>
      </c>
      <c r="B19" s="147" t="s">
        <v>1173</v>
      </c>
      <c r="C19" s="78">
        <v>2018</v>
      </c>
      <c r="D19" s="78" t="s">
        <v>101</v>
      </c>
      <c r="E19" s="79" t="s">
        <v>80</v>
      </c>
      <c r="F19" s="88" t="s">
        <v>80</v>
      </c>
      <c r="G19" s="224" t="s">
        <v>145</v>
      </c>
      <c r="H19" s="42">
        <v>3693.1961799999999</v>
      </c>
      <c r="I19" s="431"/>
      <c r="J19" s="431">
        <v>3693.1961800000004</v>
      </c>
      <c r="K19" s="42">
        <v>0</v>
      </c>
      <c r="L19" s="663">
        <v>0</v>
      </c>
      <c r="M19" s="437">
        <v>0</v>
      </c>
      <c r="N19" s="375">
        <v>0</v>
      </c>
      <c r="O19" s="541">
        <v>0</v>
      </c>
      <c r="P19" s="539">
        <v>0</v>
      </c>
      <c r="Q19" s="336">
        <v>0</v>
      </c>
      <c r="R19" s="376">
        <f>P19+Q19</f>
        <v>0</v>
      </c>
      <c r="S19" s="132">
        <v>0</v>
      </c>
      <c r="T19" s="272"/>
      <c r="U19" s="23">
        <v>0</v>
      </c>
      <c r="V19" s="87"/>
      <c r="W19" s="87"/>
      <c r="X19" s="87">
        <v>0</v>
      </c>
      <c r="Y19" s="43">
        <v>0</v>
      </c>
      <c r="Z19" s="43">
        <v>0</v>
      </c>
      <c r="AA19" s="83" t="s">
        <v>1209</v>
      </c>
      <c r="AB19" s="143" t="s">
        <v>1329</v>
      </c>
      <c r="AC19" s="74" t="s">
        <v>34</v>
      </c>
      <c r="AD19" s="74" t="s">
        <v>1283</v>
      </c>
      <c r="AE19" s="379" t="s">
        <v>1283</v>
      </c>
      <c r="AF19" s="74" t="s">
        <v>1383</v>
      </c>
      <c r="AH19" s="633">
        <f t="shared" si="0"/>
        <v>-4.5474735088646412E-13</v>
      </c>
      <c r="AI19" s="1012">
        <f>R19-P19-Q19</f>
        <v>0</v>
      </c>
      <c r="AJ19" s="553">
        <f>K19-R19</f>
        <v>0</v>
      </c>
      <c r="AK19" s="513">
        <f>R19+S19-L19-M19-N19-O19</f>
        <v>0</v>
      </c>
      <c r="AL19" s="1142"/>
      <c r="AM19" s="496"/>
      <c r="AN19" s="662" t="s">
        <v>74</v>
      </c>
      <c r="AO19" s="175">
        <v>4</v>
      </c>
      <c r="AP19" s="175"/>
      <c r="AQ19" s="175">
        <v>2</v>
      </c>
      <c r="AR19" s="1148"/>
      <c r="AS19" s="435"/>
      <c r="AT19" s="581"/>
      <c r="AU19" s="1094"/>
      <c r="AV19" s="1094"/>
      <c r="AW19" s="83" t="s">
        <v>1209</v>
      </c>
      <c r="AX19" s="150" t="s">
        <v>1296</v>
      </c>
      <c r="AY19" s="436">
        <v>1</v>
      </c>
      <c r="AZ19" s="436">
        <v>0</v>
      </c>
      <c r="BA19" s="462" t="s">
        <v>1293</v>
      </c>
      <c r="BB19" s="434"/>
      <c r="BC19" s="434"/>
      <c r="BD19" s="434"/>
      <c r="BE19" s="434"/>
      <c r="BF19" s="434"/>
      <c r="BG19" s="1106"/>
      <c r="BH19" s="1106"/>
      <c r="BI19" s="1106"/>
    </row>
    <row r="20" spans="1:62" s="179" customFormat="1" ht="25.5" x14ac:dyDescent="0.2">
      <c r="A20" s="82" t="s">
        <v>146</v>
      </c>
      <c r="B20" s="147" t="s">
        <v>1174</v>
      </c>
      <c r="C20" s="78">
        <v>2018</v>
      </c>
      <c r="D20" s="78" t="s">
        <v>101</v>
      </c>
      <c r="E20" s="79" t="s">
        <v>80</v>
      </c>
      <c r="F20" s="88" t="s">
        <v>80</v>
      </c>
      <c r="G20" s="224" t="s">
        <v>147</v>
      </c>
      <c r="H20" s="42">
        <v>4608.4399999999996</v>
      </c>
      <c r="I20" s="134"/>
      <c r="J20" s="134">
        <v>4608.4422999999997</v>
      </c>
      <c r="K20" s="172"/>
      <c r="L20" s="24">
        <v>0</v>
      </c>
      <c r="M20" s="132">
        <v>-2.3000000001047738E-3</v>
      </c>
      <c r="N20" s="24">
        <v>0</v>
      </c>
      <c r="O20" s="24">
        <v>0</v>
      </c>
      <c r="P20" s="26">
        <v>-2.3000000001047738E-3</v>
      </c>
      <c r="Q20" s="1167">
        <v>0</v>
      </c>
      <c r="R20" s="27">
        <f t="shared" si="8"/>
        <v>-2.3000000001047738E-3</v>
      </c>
      <c r="S20" s="23">
        <v>0</v>
      </c>
      <c r="T20" s="23"/>
      <c r="U20" s="23">
        <v>0</v>
      </c>
      <c r="V20" s="87"/>
      <c r="W20" s="87"/>
      <c r="X20" s="87">
        <v>0</v>
      </c>
      <c r="Y20" s="24">
        <v>0</v>
      </c>
      <c r="Z20" s="530"/>
      <c r="AA20" s="150" t="s">
        <v>1209</v>
      </c>
      <c r="AB20" s="191" t="s">
        <v>1256</v>
      </c>
      <c r="AC20" s="74" t="s">
        <v>1209</v>
      </c>
      <c r="AD20" s="584"/>
      <c r="AE20" s="584"/>
      <c r="AF20" s="584"/>
      <c r="AH20" s="633">
        <f t="shared" si="0"/>
        <v>0</v>
      </c>
      <c r="AI20" s="605">
        <f t="shared" si="1"/>
        <v>0</v>
      </c>
      <c r="AJ20" s="120">
        <f t="shared" si="7"/>
        <v>2.3000000001047738E-3</v>
      </c>
      <c r="AK20" s="634">
        <f t="shared" si="4"/>
        <v>0</v>
      </c>
      <c r="AL20" s="120"/>
      <c r="AM20" s="496"/>
      <c r="AN20" s="175" t="s">
        <v>74</v>
      </c>
      <c r="AO20" s="175">
        <v>4</v>
      </c>
      <c r="AP20" s="175"/>
      <c r="AQ20" s="175">
        <v>1</v>
      </c>
      <c r="AR20" s="1175"/>
      <c r="AS20" s="148"/>
      <c r="AY20" s="66"/>
      <c r="AZ20" s="66"/>
      <c r="BB20" s="1134"/>
      <c r="BC20" s="1134"/>
      <c r="BD20" s="1134"/>
      <c r="BE20" s="1134"/>
      <c r="BF20" s="1134"/>
    </row>
    <row r="21" spans="1:62" s="179" customFormat="1" ht="25.5" x14ac:dyDescent="0.2">
      <c r="A21" s="82" t="s">
        <v>148</v>
      </c>
      <c r="B21" s="147" t="s">
        <v>1175</v>
      </c>
      <c r="C21" s="78">
        <v>2018</v>
      </c>
      <c r="D21" s="78" t="s">
        <v>101</v>
      </c>
      <c r="E21" s="79" t="s">
        <v>80</v>
      </c>
      <c r="F21" s="88" t="s">
        <v>80</v>
      </c>
      <c r="G21" s="224" t="s">
        <v>149</v>
      </c>
      <c r="H21" s="42">
        <v>3865.73</v>
      </c>
      <c r="I21" s="134"/>
      <c r="J21" s="134">
        <v>3865.72615</v>
      </c>
      <c r="K21" s="172"/>
      <c r="L21" s="24">
        <v>0</v>
      </c>
      <c r="M21" s="132">
        <v>3.8500000000567525E-3</v>
      </c>
      <c r="N21" s="24">
        <v>0</v>
      </c>
      <c r="O21" s="24">
        <v>0</v>
      </c>
      <c r="P21" s="26">
        <v>3.8500000000567525E-3</v>
      </c>
      <c r="Q21" s="1167">
        <v>0</v>
      </c>
      <c r="R21" s="27">
        <f t="shared" si="8"/>
        <v>3.8500000000567525E-3</v>
      </c>
      <c r="S21" s="23">
        <v>0</v>
      </c>
      <c r="T21" s="23"/>
      <c r="U21" s="23">
        <v>0</v>
      </c>
      <c r="V21" s="87"/>
      <c r="W21" s="87"/>
      <c r="X21" s="87">
        <v>0</v>
      </c>
      <c r="Y21" s="24">
        <v>0</v>
      </c>
      <c r="Z21" s="530"/>
      <c r="AA21" s="150" t="s">
        <v>1209</v>
      </c>
      <c r="AB21" s="191" t="s">
        <v>1256</v>
      </c>
      <c r="AC21" s="74" t="s">
        <v>1209</v>
      </c>
      <c r="AD21" s="584"/>
      <c r="AE21" s="584"/>
      <c r="AF21" s="584"/>
      <c r="AH21" s="633">
        <f t="shared" si="0"/>
        <v>0</v>
      </c>
      <c r="AI21" s="605">
        <f t="shared" si="1"/>
        <v>0</v>
      </c>
      <c r="AJ21" s="120">
        <f t="shared" si="7"/>
        <v>-3.8500000000567525E-3</v>
      </c>
      <c r="AK21" s="634">
        <f t="shared" si="4"/>
        <v>0</v>
      </c>
      <c r="AL21" s="120"/>
      <c r="AM21" s="496"/>
      <c r="AN21" s="175" t="s">
        <v>74</v>
      </c>
      <c r="AO21" s="175">
        <v>4</v>
      </c>
      <c r="AP21" s="175"/>
      <c r="AQ21" s="175">
        <v>1</v>
      </c>
      <c r="AR21" s="1175"/>
      <c r="AS21" s="148"/>
      <c r="AY21" s="66"/>
      <c r="AZ21" s="66"/>
      <c r="BB21" s="1134"/>
      <c r="BC21" s="1134"/>
      <c r="BD21" s="1134"/>
      <c r="BE21" s="1134"/>
      <c r="BF21" s="1134"/>
    </row>
    <row r="22" spans="1:62" s="179" customFormat="1" ht="25.5" x14ac:dyDescent="0.2">
      <c r="A22" s="82" t="s">
        <v>150</v>
      </c>
      <c r="B22" s="147" t="s">
        <v>1176</v>
      </c>
      <c r="C22" s="78">
        <v>2018</v>
      </c>
      <c r="D22" s="78" t="s">
        <v>101</v>
      </c>
      <c r="E22" s="79" t="s">
        <v>80</v>
      </c>
      <c r="F22" s="88" t="s">
        <v>80</v>
      </c>
      <c r="G22" s="224" t="s">
        <v>151</v>
      </c>
      <c r="H22" s="42">
        <v>2057.36</v>
      </c>
      <c r="I22" s="134"/>
      <c r="J22" s="134">
        <v>2057.3629999999998</v>
      </c>
      <c r="K22" s="172"/>
      <c r="L22" s="24">
        <v>0</v>
      </c>
      <c r="M22" s="132">
        <v>-2.9999999997016857E-3</v>
      </c>
      <c r="N22" s="24">
        <v>0</v>
      </c>
      <c r="O22" s="24">
        <v>0</v>
      </c>
      <c r="P22" s="26">
        <v>-2.9999999997016857E-3</v>
      </c>
      <c r="Q22" s="1167">
        <v>0</v>
      </c>
      <c r="R22" s="27">
        <f t="shared" si="8"/>
        <v>-2.9999999997016857E-3</v>
      </c>
      <c r="S22" s="23">
        <v>0</v>
      </c>
      <c r="T22" s="23"/>
      <c r="U22" s="23">
        <v>0</v>
      </c>
      <c r="V22" s="87"/>
      <c r="W22" s="87"/>
      <c r="X22" s="87">
        <v>0</v>
      </c>
      <c r="Y22" s="24">
        <v>0</v>
      </c>
      <c r="Z22" s="530"/>
      <c r="AA22" s="150" t="s">
        <v>1209</v>
      </c>
      <c r="AB22" s="191" t="s">
        <v>1256</v>
      </c>
      <c r="AC22" s="74" t="s">
        <v>1209</v>
      </c>
      <c r="AD22" s="584"/>
      <c r="AE22" s="584"/>
      <c r="AF22" s="584"/>
      <c r="AH22" s="633">
        <f t="shared" si="0"/>
        <v>0</v>
      </c>
      <c r="AI22" s="605">
        <f t="shared" si="1"/>
        <v>0</v>
      </c>
      <c r="AJ22" s="120">
        <f t="shared" si="7"/>
        <v>2.9999999997016857E-3</v>
      </c>
      <c r="AK22" s="634">
        <f t="shared" si="4"/>
        <v>0</v>
      </c>
      <c r="AL22" s="120"/>
      <c r="AM22" s="496"/>
      <c r="AN22" s="175" t="s">
        <v>74</v>
      </c>
      <c r="AO22" s="175">
        <v>4</v>
      </c>
      <c r="AP22" s="175"/>
      <c r="AQ22" s="175">
        <v>1</v>
      </c>
      <c r="AR22" s="1175"/>
      <c r="AS22" s="148"/>
      <c r="AY22" s="66"/>
      <c r="AZ22" s="66"/>
      <c r="BB22" s="1134"/>
      <c r="BC22" s="1134"/>
      <c r="BD22" s="1134"/>
      <c r="BE22" s="1134"/>
      <c r="BF22" s="1134"/>
    </row>
    <row r="23" spans="1:62" s="179" customFormat="1" ht="25.5" x14ac:dyDescent="0.2">
      <c r="A23" s="82" t="s">
        <v>152</v>
      </c>
      <c r="B23" s="147" t="s">
        <v>1177</v>
      </c>
      <c r="C23" s="78">
        <v>2018</v>
      </c>
      <c r="D23" s="78" t="s">
        <v>101</v>
      </c>
      <c r="E23" s="79" t="s">
        <v>80</v>
      </c>
      <c r="F23" s="88" t="s">
        <v>80</v>
      </c>
      <c r="G23" s="224" t="s">
        <v>153</v>
      </c>
      <c r="H23" s="42">
        <v>6895.1668499999996</v>
      </c>
      <c r="I23" s="134"/>
      <c r="J23" s="134">
        <v>6895.1660000000002</v>
      </c>
      <c r="K23" s="172"/>
      <c r="L23" s="24">
        <v>0</v>
      </c>
      <c r="M23" s="132">
        <v>8.4999999944557203E-4</v>
      </c>
      <c r="N23" s="24">
        <v>0</v>
      </c>
      <c r="O23" s="24">
        <v>0</v>
      </c>
      <c r="P23" s="26">
        <v>8.4999999944557203E-4</v>
      </c>
      <c r="Q23" s="1167">
        <v>0</v>
      </c>
      <c r="R23" s="27">
        <f t="shared" si="8"/>
        <v>8.4999999944557203E-4</v>
      </c>
      <c r="S23" s="23">
        <v>0</v>
      </c>
      <c r="T23" s="23"/>
      <c r="U23" s="23">
        <v>0</v>
      </c>
      <c r="V23" s="87"/>
      <c r="W23" s="87"/>
      <c r="X23" s="87">
        <v>0</v>
      </c>
      <c r="Y23" s="24">
        <v>0</v>
      </c>
      <c r="Z23" s="530"/>
      <c r="AA23" s="150" t="s">
        <v>1209</v>
      </c>
      <c r="AB23" s="191" t="s">
        <v>1256</v>
      </c>
      <c r="AC23" s="74" t="s">
        <v>1209</v>
      </c>
      <c r="AD23" s="584"/>
      <c r="AE23" s="584"/>
      <c r="AF23" s="584"/>
      <c r="AH23" s="633">
        <f t="shared" si="0"/>
        <v>0</v>
      </c>
      <c r="AI23" s="605">
        <f t="shared" si="1"/>
        <v>0</v>
      </c>
      <c r="AJ23" s="120">
        <f t="shared" si="7"/>
        <v>-8.4999999944557203E-4</v>
      </c>
      <c r="AK23" s="634">
        <f t="shared" si="4"/>
        <v>0</v>
      </c>
      <c r="AL23" s="120"/>
      <c r="AM23" s="496"/>
      <c r="AN23" s="175" t="s">
        <v>74</v>
      </c>
      <c r="AO23" s="175">
        <v>4</v>
      </c>
      <c r="AP23" s="175"/>
      <c r="AQ23" s="175">
        <v>1</v>
      </c>
      <c r="AR23" s="1175"/>
      <c r="AS23" s="148"/>
      <c r="AY23" s="66"/>
      <c r="AZ23" s="66"/>
      <c r="BB23" s="1134"/>
      <c r="BC23" s="1134"/>
      <c r="BD23" s="1134"/>
      <c r="BE23" s="1134"/>
      <c r="BF23" s="1134"/>
    </row>
    <row r="24" spans="1:62" s="179" customFormat="1" ht="25.5" x14ac:dyDescent="0.2">
      <c r="A24" s="82" t="s">
        <v>154</v>
      </c>
      <c r="B24" s="147" t="s">
        <v>1221</v>
      </c>
      <c r="C24" s="78">
        <v>2018</v>
      </c>
      <c r="D24" s="78" t="s">
        <v>101</v>
      </c>
      <c r="E24" s="79" t="s">
        <v>80</v>
      </c>
      <c r="F24" s="88" t="s">
        <v>80</v>
      </c>
      <c r="G24" s="224" t="s">
        <v>155</v>
      </c>
      <c r="H24" s="42">
        <v>2850.73</v>
      </c>
      <c r="I24" s="134"/>
      <c r="J24" s="134">
        <v>2850.7333799999997</v>
      </c>
      <c r="K24" s="172"/>
      <c r="L24" s="24">
        <v>0</v>
      </c>
      <c r="M24" s="132">
        <v>-3.3799999996517727E-3</v>
      </c>
      <c r="N24" s="24">
        <v>0</v>
      </c>
      <c r="O24" s="24">
        <v>0</v>
      </c>
      <c r="P24" s="26">
        <v>-3.3799999996517727E-3</v>
      </c>
      <c r="Q24" s="1167">
        <v>0</v>
      </c>
      <c r="R24" s="27">
        <f t="shared" si="8"/>
        <v>-3.3799999996517727E-3</v>
      </c>
      <c r="S24" s="23">
        <v>0</v>
      </c>
      <c r="T24" s="23"/>
      <c r="U24" s="23">
        <v>0</v>
      </c>
      <c r="V24" s="87"/>
      <c r="W24" s="87"/>
      <c r="X24" s="87">
        <v>0</v>
      </c>
      <c r="Y24" s="24">
        <v>0</v>
      </c>
      <c r="Z24" s="530"/>
      <c r="AA24" s="150" t="s">
        <v>1209</v>
      </c>
      <c r="AB24" s="191" t="s">
        <v>1256</v>
      </c>
      <c r="AC24" s="74" t="s">
        <v>1209</v>
      </c>
      <c r="AD24" s="584"/>
      <c r="AE24" s="584"/>
      <c r="AF24" s="584"/>
      <c r="AH24" s="633">
        <f t="shared" si="0"/>
        <v>0</v>
      </c>
      <c r="AI24" s="605">
        <f t="shared" si="1"/>
        <v>0</v>
      </c>
      <c r="AJ24" s="120">
        <f t="shared" si="7"/>
        <v>3.3799999996517727E-3</v>
      </c>
      <c r="AK24" s="634">
        <f t="shared" si="4"/>
        <v>0</v>
      </c>
      <c r="AL24" s="120"/>
      <c r="AM24" s="496"/>
      <c r="AN24" s="175" t="s">
        <v>74</v>
      </c>
      <c r="AO24" s="175">
        <v>4</v>
      </c>
      <c r="AP24" s="175"/>
      <c r="AQ24" s="175">
        <v>1</v>
      </c>
      <c r="AR24" s="1175"/>
      <c r="AS24" s="148"/>
      <c r="AY24" s="66"/>
      <c r="AZ24" s="66"/>
      <c r="BB24" s="1134"/>
      <c r="BC24" s="1134"/>
      <c r="BD24" s="1134"/>
      <c r="BE24" s="1134"/>
      <c r="BF24" s="1134"/>
    </row>
    <row r="25" spans="1:62" ht="25.5" x14ac:dyDescent="0.25">
      <c r="A25" s="173" t="s">
        <v>156</v>
      </c>
      <c r="B25" s="144" t="s">
        <v>1222</v>
      </c>
      <c r="C25" s="75">
        <v>2018</v>
      </c>
      <c r="D25" s="75" t="s">
        <v>101</v>
      </c>
      <c r="E25" s="76" t="s">
        <v>80</v>
      </c>
      <c r="F25" s="84" t="s">
        <v>80</v>
      </c>
      <c r="G25" s="224" t="s">
        <v>157</v>
      </c>
      <c r="H25" s="25">
        <v>1074.5259799999999</v>
      </c>
      <c r="I25" s="866"/>
      <c r="J25" s="866">
        <v>1074.5259799999999</v>
      </c>
      <c r="K25" s="25">
        <v>0</v>
      </c>
      <c r="L25" s="130">
        <v>0</v>
      </c>
      <c r="M25" s="437">
        <v>0</v>
      </c>
      <c r="N25" s="375">
        <v>0</v>
      </c>
      <c r="O25" s="541">
        <v>0</v>
      </c>
      <c r="P25" s="539">
        <v>4.6185277824406512E-14</v>
      </c>
      <c r="Q25" s="336">
        <v>0</v>
      </c>
      <c r="R25" s="376">
        <f t="shared" ref="R25:R30" si="9">P25+Q25</f>
        <v>4.6185277824406512E-14</v>
      </c>
      <c r="S25" s="24">
        <v>0</v>
      </c>
      <c r="T25" s="23"/>
      <c r="U25" s="23">
        <v>0</v>
      </c>
      <c r="V25" s="87"/>
      <c r="W25" s="87"/>
      <c r="X25" s="87">
        <v>0</v>
      </c>
      <c r="Y25" s="43">
        <v>0</v>
      </c>
      <c r="Z25" s="43">
        <v>0</v>
      </c>
      <c r="AA25" s="83" t="s">
        <v>1209</v>
      </c>
      <c r="AB25" s="143" t="s">
        <v>1329</v>
      </c>
      <c r="AC25" s="74" t="s">
        <v>1358</v>
      </c>
      <c r="AD25" s="74" t="s">
        <v>1283</v>
      </c>
      <c r="AE25" s="379" t="s">
        <v>1283</v>
      </c>
      <c r="AF25" s="74" t="s">
        <v>1383</v>
      </c>
      <c r="AH25" s="633">
        <f t="shared" si="0"/>
        <v>-4.6185277824406512E-14</v>
      </c>
      <c r="AI25" s="452">
        <f t="shared" ref="AI25:AI30" si="10">R25-P25-Q25</f>
        <v>0</v>
      </c>
      <c r="AJ25" s="553">
        <f t="shared" ref="AJ25:AJ30" si="11">K25-R25</f>
        <v>-4.6185277824406512E-14</v>
      </c>
      <c r="AK25" s="513">
        <f t="shared" ref="AK25:AK30" si="12">R25+S25-L25-M25-N25-O25</f>
        <v>4.6185277824406512E-14</v>
      </c>
      <c r="AL25" s="1142"/>
      <c r="AM25" s="496"/>
      <c r="AN25" s="662" t="s">
        <v>74</v>
      </c>
      <c r="AO25" s="175">
        <v>4</v>
      </c>
      <c r="AP25" s="175"/>
      <c r="AQ25" s="175">
        <v>2</v>
      </c>
      <c r="AR25" s="1148"/>
      <c r="AS25" s="148"/>
      <c r="AT25" s="580"/>
      <c r="AU25" s="1093"/>
      <c r="AV25" s="1093"/>
      <c r="AW25" s="83" t="s">
        <v>1209</v>
      </c>
      <c r="AX25" s="151" t="s">
        <v>1209</v>
      </c>
      <c r="AY25" s="66">
        <v>1</v>
      </c>
      <c r="AZ25" s="66">
        <v>0</v>
      </c>
      <c r="BA25" s="461" t="s">
        <v>1294</v>
      </c>
      <c r="BB25" s="434"/>
      <c r="BC25" s="434"/>
      <c r="BD25" s="434"/>
      <c r="BE25" s="434"/>
      <c r="BF25" s="434"/>
      <c r="BG25" s="1105"/>
      <c r="BH25" s="1105"/>
      <c r="BI25" s="1105"/>
    </row>
    <row r="26" spans="1:62" s="179" customFormat="1" ht="30" x14ac:dyDescent="0.2">
      <c r="A26" s="82" t="s">
        <v>161</v>
      </c>
      <c r="B26" s="147" t="s">
        <v>1223</v>
      </c>
      <c r="C26" s="78">
        <v>2018</v>
      </c>
      <c r="D26" s="93" t="s">
        <v>1235</v>
      </c>
      <c r="E26" s="79" t="s">
        <v>80</v>
      </c>
      <c r="F26" s="88" t="s">
        <v>80</v>
      </c>
      <c r="G26" s="225" t="s">
        <v>162</v>
      </c>
      <c r="H26" s="42">
        <v>6156.3576700000003</v>
      </c>
      <c r="I26" s="134"/>
      <c r="J26" s="134">
        <v>6156.3576700000003</v>
      </c>
      <c r="K26" s="172"/>
      <c r="L26" s="24">
        <v>0</v>
      </c>
      <c r="M26" s="24">
        <v>0</v>
      </c>
      <c r="N26" s="24">
        <v>0</v>
      </c>
      <c r="O26" s="24">
        <v>0</v>
      </c>
      <c r="P26" s="26">
        <v>0</v>
      </c>
      <c r="Q26" s="1167">
        <v>0</v>
      </c>
      <c r="R26" s="27">
        <f t="shared" si="9"/>
        <v>0</v>
      </c>
      <c r="S26" s="23">
        <v>0</v>
      </c>
      <c r="T26" s="23"/>
      <c r="U26" s="23">
        <v>0</v>
      </c>
      <c r="V26" s="87"/>
      <c r="W26" s="87"/>
      <c r="X26" s="87">
        <v>0</v>
      </c>
      <c r="Y26" s="24">
        <v>0</v>
      </c>
      <c r="Z26" s="530"/>
      <c r="AA26" s="150" t="s">
        <v>1209</v>
      </c>
      <c r="AB26" s="191" t="s">
        <v>1256</v>
      </c>
      <c r="AC26" s="74" t="s">
        <v>1209</v>
      </c>
      <c r="AD26" s="584"/>
      <c r="AE26" s="584"/>
      <c r="AF26" s="584"/>
      <c r="AH26" s="633">
        <f t="shared" si="0"/>
        <v>0</v>
      </c>
      <c r="AI26" s="605">
        <f t="shared" si="10"/>
        <v>0</v>
      </c>
      <c r="AJ26" s="120">
        <f t="shared" si="11"/>
        <v>0</v>
      </c>
      <c r="AK26" s="634">
        <f t="shared" si="12"/>
        <v>0</v>
      </c>
      <c r="AL26" s="120"/>
      <c r="AM26" s="496"/>
      <c r="AN26" s="175" t="s">
        <v>74</v>
      </c>
      <c r="AO26" s="175">
        <v>4</v>
      </c>
      <c r="AP26" s="175"/>
      <c r="AQ26" s="175">
        <v>1</v>
      </c>
      <c r="AR26" s="1175"/>
      <c r="AS26" s="148"/>
      <c r="AY26" s="66"/>
      <c r="AZ26" s="66"/>
      <c r="BB26" s="1134"/>
      <c r="BC26" s="1134"/>
      <c r="BD26" s="1134"/>
      <c r="BE26" s="1134"/>
      <c r="BF26" s="1134"/>
    </row>
    <row r="27" spans="1:62" s="179" customFormat="1" thickBot="1" x14ac:dyDescent="0.25">
      <c r="A27" s="173" t="s">
        <v>169</v>
      </c>
      <c r="B27" s="144" t="s">
        <v>1226</v>
      </c>
      <c r="C27" s="75">
        <v>2018</v>
      </c>
      <c r="D27" s="93" t="s">
        <v>1239</v>
      </c>
      <c r="E27" s="76" t="s">
        <v>80</v>
      </c>
      <c r="F27" s="84" t="s">
        <v>80</v>
      </c>
      <c r="G27" s="226" t="s">
        <v>170</v>
      </c>
      <c r="H27" s="25">
        <v>7077.5017500000004</v>
      </c>
      <c r="I27" s="172"/>
      <c r="J27" s="172">
        <v>7077.5017500000004</v>
      </c>
      <c r="K27" s="172"/>
      <c r="L27" s="27">
        <v>0</v>
      </c>
      <c r="M27" s="27">
        <v>0</v>
      </c>
      <c r="N27" s="27">
        <v>0</v>
      </c>
      <c r="O27" s="27">
        <v>0</v>
      </c>
      <c r="P27" s="26">
        <v>0</v>
      </c>
      <c r="Q27" s="1167">
        <v>0</v>
      </c>
      <c r="R27" s="27">
        <f t="shared" si="9"/>
        <v>0</v>
      </c>
      <c r="S27" s="26">
        <v>0</v>
      </c>
      <c r="T27" s="26"/>
      <c r="U27" s="26">
        <v>0</v>
      </c>
      <c r="V27" s="44"/>
      <c r="W27" s="44"/>
      <c r="X27" s="44">
        <v>0</v>
      </c>
      <c r="Y27" s="27">
        <v>0</v>
      </c>
      <c r="Z27" s="46"/>
      <c r="AA27" s="150" t="s">
        <v>1209</v>
      </c>
      <c r="AB27" s="191" t="s">
        <v>1256</v>
      </c>
      <c r="AC27" s="74" t="s">
        <v>1209</v>
      </c>
      <c r="AD27" s="584"/>
      <c r="AE27" s="584"/>
      <c r="AF27" s="584"/>
      <c r="AH27" s="633">
        <f t="shared" si="0"/>
        <v>0</v>
      </c>
      <c r="AI27" s="605">
        <f t="shared" si="10"/>
        <v>0</v>
      </c>
      <c r="AJ27" s="120">
        <f t="shared" si="11"/>
        <v>0</v>
      </c>
      <c r="AK27" s="634">
        <f t="shared" si="12"/>
        <v>0</v>
      </c>
      <c r="AL27" s="120"/>
      <c r="AM27" s="496"/>
      <c r="AN27" s="175" t="s">
        <v>74</v>
      </c>
      <c r="AO27" s="175">
        <v>4</v>
      </c>
      <c r="AP27" s="175"/>
      <c r="AQ27" s="175">
        <v>1</v>
      </c>
      <c r="AR27" s="1175"/>
      <c r="AS27" s="148"/>
      <c r="AY27" s="66"/>
      <c r="AZ27" s="66"/>
      <c r="BB27" s="1134"/>
      <c r="BC27" s="1134"/>
      <c r="BD27" s="1134"/>
      <c r="BE27" s="1134"/>
      <c r="BF27" s="1134"/>
    </row>
    <row r="28" spans="1:62" s="1013" customFormat="1" ht="26.25" hidden="1" thickBot="1" x14ac:dyDescent="0.3">
      <c r="A28" s="289" t="s">
        <v>171</v>
      </c>
      <c r="B28" s="1112" t="s">
        <v>1230</v>
      </c>
      <c r="C28" s="275">
        <v>2018</v>
      </c>
      <c r="D28" s="275" t="s">
        <v>1268</v>
      </c>
      <c r="E28" s="664" t="s">
        <v>26</v>
      </c>
      <c r="F28" s="291" t="s">
        <v>26</v>
      </c>
      <c r="G28" s="1230" t="s">
        <v>172</v>
      </c>
      <c r="H28" s="293">
        <v>0</v>
      </c>
      <c r="I28" s="1231" t="s">
        <v>1209</v>
      </c>
      <c r="J28" s="1231">
        <v>0</v>
      </c>
      <c r="K28" s="293">
        <v>0</v>
      </c>
      <c r="L28" s="1393">
        <v>0</v>
      </c>
      <c r="M28" s="792">
        <v>0</v>
      </c>
      <c r="N28" s="667">
        <v>0</v>
      </c>
      <c r="O28" s="1232">
        <v>0</v>
      </c>
      <c r="P28" s="1233">
        <v>0</v>
      </c>
      <c r="Q28" s="741">
        <v>0</v>
      </c>
      <c r="R28" s="668">
        <f t="shared" si="9"/>
        <v>0</v>
      </c>
      <c r="S28" s="1114">
        <v>0</v>
      </c>
      <c r="T28" s="294">
        <v>0</v>
      </c>
      <c r="U28" s="295">
        <v>0</v>
      </c>
      <c r="V28" s="1206">
        <v>0</v>
      </c>
      <c r="W28" s="669">
        <v>0</v>
      </c>
      <c r="X28" s="622">
        <v>0</v>
      </c>
      <c r="Y28" s="742">
        <v>0</v>
      </c>
      <c r="Z28" s="1114">
        <v>0</v>
      </c>
      <c r="AA28" s="275" t="s">
        <v>2069</v>
      </c>
      <c r="AB28" s="1234" t="s">
        <v>1300</v>
      </c>
      <c r="AC28" s="297" t="s">
        <v>355</v>
      </c>
      <c r="AD28" s="671" t="s">
        <v>1282</v>
      </c>
      <c r="AE28" s="297" t="s">
        <v>1282</v>
      </c>
      <c r="AF28" s="1238" t="s">
        <v>1383</v>
      </c>
      <c r="AG28" s="664"/>
      <c r="AH28" s="1053">
        <f t="shared" si="0"/>
        <v>0</v>
      </c>
      <c r="AI28" s="1054">
        <f t="shared" si="10"/>
        <v>0</v>
      </c>
      <c r="AJ28" s="1055">
        <f t="shared" si="11"/>
        <v>0</v>
      </c>
      <c r="AK28" s="1056">
        <f t="shared" si="12"/>
        <v>0</v>
      </c>
      <c r="AL28" s="1143"/>
      <c r="AM28" s="758"/>
      <c r="AN28" s="675" t="s">
        <v>74</v>
      </c>
      <c r="AO28" s="673">
        <v>4</v>
      </c>
      <c r="AP28" s="673"/>
      <c r="AQ28" s="1239">
        <v>5</v>
      </c>
      <c r="AR28" s="1149"/>
      <c r="AS28" s="759"/>
      <c r="AT28" s="275"/>
      <c r="AU28" s="275" t="s">
        <v>2069</v>
      </c>
      <c r="AV28" s="275" t="s">
        <v>1209</v>
      </c>
      <c r="AW28" s="1234" t="s">
        <v>1209</v>
      </c>
      <c r="AX28" s="762" t="s">
        <v>1297</v>
      </c>
      <c r="AY28" s="1057">
        <v>1</v>
      </c>
      <c r="AZ28" s="1057">
        <v>0</v>
      </c>
      <c r="BA28" s="761" t="s">
        <v>1286</v>
      </c>
      <c r="BB28" s="433"/>
      <c r="BC28" s="50">
        <v>0</v>
      </c>
      <c r="BD28" s="1231"/>
      <c r="BE28" s="1231">
        <v>0</v>
      </c>
      <c r="BF28" s="1231">
        <v>0</v>
      </c>
      <c r="BG28" s="1231">
        <v>0</v>
      </c>
      <c r="BH28" s="1231"/>
      <c r="BI28" s="1231">
        <v>0</v>
      </c>
      <c r="BJ28" s="293">
        <v>0</v>
      </c>
    </row>
    <row r="29" spans="1:62" s="1013" customFormat="1" ht="51.75" hidden="1" thickBot="1" x14ac:dyDescent="0.3">
      <c r="A29" s="173" t="s">
        <v>981</v>
      </c>
      <c r="B29" s="144" t="s">
        <v>1230</v>
      </c>
      <c r="C29" s="75">
        <v>2019</v>
      </c>
      <c r="D29" s="75" t="s">
        <v>1265</v>
      </c>
      <c r="E29" s="76" t="s">
        <v>80</v>
      </c>
      <c r="F29" s="76" t="s">
        <v>80</v>
      </c>
      <c r="G29" s="1014" t="s">
        <v>917</v>
      </c>
      <c r="H29" s="25">
        <v>0</v>
      </c>
      <c r="I29" s="866" t="s">
        <v>1950</v>
      </c>
      <c r="J29" s="866">
        <v>0</v>
      </c>
      <c r="K29" s="655">
        <v>0</v>
      </c>
      <c r="L29" s="1015">
        <v>0</v>
      </c>
      <c r="M29" s="374">
        <v>0</v>
      </c>
      <c r="N29" s="375">
        <v>0</v>
      </c>
      <c r="O29" s="1016">
        <v>0</v>
      </c>
      <c r="P29" s="1017">
        <v>0</v>
      </c>
      <c r="Q29" s="676">
        <v>0</v>
      </c>
      <c r="R29" s="376">
        <f t="shared" si="9"/>
        <v>0</v>
      </c>
      <c r="S29" s="1018">
        <v>0</v>
      </c>
      <c r="T29" s="45">
        <v>0</v>
      </c>
      <c r="U29" s="26">
        <v>0</v>
      </c>
      <c r="V29" s="44"/>
      <c r="W29" s="44"/>
      <c r="X29" s="44">
        <v>0</v>
      </c>
      <c r="Y29" s="27">
        <v>0</v>
      </c>
      <c r="Z29" s="45">
        <v>0</v>
      </c>
      <c r="AA29" s="150" t="s">
        <v>1889</v>
      </c>
      <c r="AB29" s="75" t="s">
        <v>1300</v>
      </c>
      <c r="AC29" s="379" t="s">
        <v>37</v>
      </c>
      <c r="AD29" s="379" t="s">
        <v>1282</v>
      </c>
      <c r="AE29" s="74" t="s">
        <v>1282</v>
      </c>
      <c r="AF29" s="722" t="s">
        <v>1383</v>
      </c>
      <c r="AH29" s="1011">
        <f t="shared" si="0"/>
        <v>0</v>
      </c>
      <c r="AI29" s="452">
        <f t="shared" si="10"/>
        <v>0</v>
      </c>
      <c r="AJ29" s="1012">
        <f t="shared" si="11"/>
        <v>0</v>
      </c>
      <c r="AK29" s="513">
        <f t="shared" si="12"/>
        <v>0</v>
      </c>
      <c r="AL29" s="1142"/>
      <c r="AM29" s="496"/>
      <c r="AN29" s="662" t="s">
        <v>74</v>
      </c>
      <c r="AO29" s="175">
        <v>4</v>
      </c>
      <c r="AP29" s="175">
        <v>1</v>
      </c>
      <c r="AQ29" s="884">
        <v>4</v>
      </c>
      <c r="AR29" s="1148"/>
      <c r="AS29" s="435"/>
      <c r="AT29" s="75"/>
      <c r="AU29" s="150"/>
      <c r="AV29" s="150" t="s">
        <v>1889</v>
      </c>
      <c r="AW29" s="857" t="s">
        <v>1209</v>
      </c>
      <c r="AX29" s="83" t="s">
        <v>1296</v>
      </c>
      <c r="AY29" s="755">
        <v>1</v>
      </c>
      <c r="AZ29" s="755">
        <v>0</v>
      </c>
      <c r="BA29" s="462" t="s">
        <v>1294</v>
      </c>
      <c r="BB29" s="434"/>
      <c r="BC29" s="434"/>
      <c r="BD29" s="434"/>
      <c r="BE29" s="434"/>
      <c r="BF29" s="434"/>
      <c r="BG29" s="655">
        <v>0</v>
      </c>
      <c r="BH29" s="655"/>
      <c r="BI29" s="655">
        <v>0</v>
      </c>
      <c r="BJ29" s="25">
        <v>0</v>
      </c>
    </row>
    <row r="30" spans="1:62" s="1013" customFormat="1" ht="31.5" hidden="1" customHeight="1" thickBot="1" x14ac:dyDescent="0.3">
      <c r="A30" s="1020" t="s">
        <v>1548</v>
      </c>
      <c r="B30" s="1021" t="s">
        <v>1230</v>
      </c>
      <c r="C30" s="1022">
        <v>2019</v>
      </c>
      <c r="D30" s="588" t="s">
        <v>1842</v>
      </c>
      <c r="E30" s="303" t="s">
        <v>80</v>
      </c>
      <c r="F30" s="303" t="s">
        <v>80</v>
      </c>
      <c r="G30" s="1023" t="s">
        <v>1549</v>
      </c>
      <c r="H30" s="1024">
        <v>0</v>
      </c>
      <c r="I30" s="1024" t="s">
        <v>2596</v>
      </c>
      <c r="J30" s="1024">
        <v>0</v>
      </c>
      <c r="K30" s="1026">
        <v>0</v>
      </c>
      <c r="L30" s="1027">
        <v>0</v>
      </c>
      <c r="M30" s="1028">
        <v>0</v>
      </c>
      <c r="N30" s="1029">
        <v>0</v>
      </c>
      <c r="O30" s="1030">
        <v>0</v>
      </c>
      <c r="P30" s="1031">
        <v>0</v>
      </c>
      <c r="Q30" s="1032">
        <v>0</v>
      </c>
      <c r="R30" s="1033">
        <f t="shared" si="9"/>
        <v>0</v>
      </c>
      <c r="S30" s="593">
        <v>0</v>
      </c>
      <c r="T30" s="280">
        <v>0</v>
      </c>
      <c r="U30" s="530">
        <v>0</v>
      </c>
      <c r="V30" s="593"/>
      <c r="W30" s="593"/>
      <c r="X30" s="593">
        <v>0</v>
      </c>
      <c r="Y30" s="280">
        <v>0</v>
      </c>
      <c r="Z30" s="280">
        <v>0</v>
      </c>
      <c r="AA30" s="263" t="s">
        <v>1890</v>
      </c>
      <c r="AB30" s="588" t="s">
        <v>1300</v>
      </c>
      <c r="AC30" s="584" t="s">
        <v>1347</v>
      </c>
      <c r="AD30" s="1035" t="s">
        <v>1209</v>
      </c>
      <c r="AE30" s="595" t="s">
        <v>1209</v>
      </c>
      <c r="AF30" s="1034"/>
      <c r="AH30" s="1011">
        <f t="shared" si="0"/>
        <v>0</v>
      </c>
      <c r="AI30" s="452">
        <f t="shared" si="10"/>
        <v>0</v>
      </c>
      <c r="AJ30" s="1012">
        <f t="shared" si="11"/>
        <v>0</v>
      </c>
      <c r="AK30" s="513">
        <f t="shared" si="12"/>
        <v>0</v>
      </c>
      <c r="AL30" s="1142"/>
      <c r="AM30" s="1058"/>
      <c r="AN30" s="1059" t="s">
        <v>74</v>
      </c>
      <c r="AO30" s="1060">
        <v>4</v>
      </c>
      <c r="AP30" s="1060">
        <v>3</v>
      </c>
      <c r="AQ30" s="1061">
        <v>4</v>
      </c>
      <c r="AR30" s="1149"/>
      <c r="AS30" s="928"/>
      <c r="AT30" s="812"/>
      <c r="AU30" s="263"/>
      <c r="AV30" s="263" t="s">
        <v>1890</v>
      </c>
      <c r="AW30" s="1064" t="s">
        <v>1550</v>
      </c>
      <c r="AX30" s="756" t="s">
        <v>1296</v>
      </c>
      <c r="AY30" s="1062">
        <v>1</v>
      </c>
      <c r="AZ30" s="1063">
        <v>0</v>
      </c>
      <c r="BA30" s="852" t="s">
        <v>1284</v>
      </c>
      <c r="BB30" s="1406"/>
      <c r="BC30" s="434"/>
      <c r="BD30" s="434"/>
      <c r="BE30" s="434"/>
      <c r="BF30" s="434"/>
      <c r="BG30" s="1026">
        <v>0</v>
      </c>
      <c r="BH30" s="1026"/>
      <c r="BI30" s="1065">
        <v>0</v>
      </c>
      <c r="BJ30" s="1066">
        <v>0</v>
      </c>
    </row>
    <row r="31" spans="1:62" s="179" customFormat="1" hidden="1" thickBot="1" x14ac:dyDescent="0.25">
      <c r="A31" s="89"/>
      <c r="B31" s="587"/>
      <c r="C31" s="588"/>
      <c r="D31" s="14"/>
      <c r="E31" s="302"/>
      <c r="F31" s="589"/>
      <c r="G31" s="612"/>
      <c r="H31" s="590"/>
      <c r="I31" s="591"/>
      <c r="J31" s="591"/>
      <c r="K31" s="591"/>
      <c r="L31" s="280"/>
      <c r="M31" s="280"/>
      <c r="N31" s="280"/>
      <c r="O31" s="280"/>
      <c r="P31" s="530"/>
      <c r="Q31" s="34"/>
      <c r="R31" s="280"/>
      <c r="S31" s="530"/>
      <c r="T31" s="530"/>
      <c r="U31" s="530"/>
      <c r="V31" s="593"/>
      <c r="W31" s="593"/>
      <c r="X31" s="593"/>
      <c r="Y31" s="280"/>
      <c r="Z31" s="530"/>
      <c r="AA31" s="594"/>
      <c r="AB31" s="496"/>
      <c r="AC31" s="595"/>
      <c r="AD31" s="584"/>
      <c r="AE31" s="584"/>
      <c r="AF31" s="584"/>
      <c r="AH31" s="633">
        <f t="shared" si="0"/>
        <v>0</v>
      </c>
      <c r="AI31" s="605"/>
      <c r="AJ31" s="120"/>
      <c r="AK31" s="634"/>
      <c r="AL31" s="120"/>
      <c r="AM31" s="496"/>
      <c r="AN31" s="175" t="s">
        <v>74</v>
      </c>
      <c r="AO31" s="175">
        <v>4</v>
      </c>
      <c r="AP31" s="175"/>
      <c r="AQ31" s="175"/>
      <c r="AR31" s="1175"/>
      <c r="AS31" s="148"/>
      <c r="AY31" s="66"/>
      <c r="AZ31" s="66"/>
      <c r="BB31" s="1134"/>
      <c r="BC31" s="1134"/>
      <c r="BD31" s="1134"/>
      <c r="BE31" s="1134"/>
      <c r="BF31" s="1134"/>
    </row>
    <row r="32" spans="1:62" ht="16.5" hidden="1" thickBot="1" x14ac:dyDescent="0.3">
      <c r="A32" s="598" t="s">
        <v>1209</v>
      </c>
      <c r="B32" s="597" t="s">
        <v>1209</v>
      </c>
      <c r="C32" s="140" t="s">
        <v>1209</v>
      </c>
      <c r="D32" s="140" t="s">
        <v>1209</v>
      </c>
      <c r="E32" s="210" t="s">
        <v>1209</v>
      </c>
      <c r="F32" s="211" t="s">
        <v>1209</v>
      </c>
      <c r="G32" s="220" t="s">
        <v>1465</v>
      </c>
      <c r="H32" s="113">
        <f>SUM(H15:H31)</f>
        <v>63305.503070000006</v>
      </c>
      <c r="I32" s="113"/>
      <c r="J32" s="113">
        <f t="shared" ref="J32:Z32" si="13">SUM(J15:J31)</f>
        <v>63305.513929999994</v>
      </c>
      <c r="K32" s="113">
        <f t="shared" si="13"/>
        <v>0</v>
      </c>
      <c r="L32" s="113">
        <f t="shared" si="13"/>
        <v>0</v>
      </c>
      <c r="M32" s="113">
        <f t="shared" si="13"/>
        <v>-7.849999999962165E-3</v>
      </c>
      <c r="N32" s="113">
        <f t="shared" si="13"/>
        <v>0</v>
      </c>
      <c r="O32" s="113">
        <f t="shared" si="13"/>
        <v>0</v>
      </c>
      <c r="P32" s="113">
        <f t="shared" si="13"/>
        <v>-1.0860000000274539E-2</v>
      </c>
      <c r="Q32" s="113">
        <f t="shared" si="13"/>
        <v>0</v>
      </c>
      <c r="R32" s="113">
        <f t="shared" si="13"/>
        <v>-1.0860000000274539E-2</v>
      </c>
      <c r="S32" s="113">
        <f t="shared" si="13"/>
        <v>0</v>
      </c>
      <c r="T32" s="113">
        <f t="shared" si="13"/>
        <v>0</v>
      </c>
      <c r="U32" s="113">
        <f t="shared" si="13"/>
        <v>0</v>
      </c>
      <c r="V32" s="113"/>
      <c r="W32" s="113"/>
      <c r="X32" s="113">
        <f t="shared" si="13"/>
        <v>0</v>
      </c>
      <c r="Y32" s="113">
        <f t="shared" si="13"/>
        <v>0</v>
      </c>
      <c r="Z32" s="113">
        <f t="shared" si="13"/>
        <v>0</v>
      </c>
      <c r="AA32" s="165" t="s">
        <v>1209</v>
      </c>
      <c r="AB32" s="114" t="s">
        <v>1209</v>
      </c>
      <c r="AC32" s="122" t="s">
        <v>1209</v>
      </c>
      <c r="AD32" s="114" t="s">
        <v>1209</v>
      </c>
      <c r="AE32" s="122" t="s">
        <v>1209</v>
      </c>
      <c r="AF32" s="114" t="s">
        <v>1209</v>
      </c>
      <c r="AH32" s="633">
        <f t="shared" si="0"/>
        <v>1.2686740546996589E-11</v>
      </c>
      <c r="AI32" s="605">
        <f t="shared" si="1"/>
        <v>0</v>
      </c>
      <c r="AJ32" s="120">
        <f t="shared" ref="AJ32:AJ51" si="14">K32-R32</f>
        <v>1.0860000000274539E-2</v>
      </c>
      <c r="AK32" s="634">
        <f t="shared" si="4"/>
        <v>-3.0100000003123739E-3</v>
      </c>
      <c r="AL32" s="120"/>
      <c r="AM32" s="1176">
        <v>1</v>
      </c>
      <c r="AN32" s="248" t="s">
        <v>74</v>
      </c>
      <c r="AO32" s="248">
        <v>4</v>
      </c>
      <c r="AP32" s="248"/>
      <c r="AQ32" s="175"/>
      <c r="AR32" s="1175"/>
      <c r="AS32" s="148"/>
      <c r="AY32" s="66"/>
      <c r="AZ32" s="66"/>
      <c r="BB32" s="1134"/>
      <c r="BC32" s="1134"/>
      <c r="BD32" s="1134"/>
      <c r="BE32" s="1134"/>
      <c r="BF32" s="1134"/>
    </row>
    <row r="33" spans="1:63" s="206" customFormat="1" ht="38.25" x14ac:dyDescent="0.2">
      <c r="A33" s="268" t="s">
        <v>192</v>
      </c>
      <c r="B33" s="144" t="s">
        <v>193</v>
      </c>
      <c r="C33" s="75">
        <v>2017</v>
      </c>
      <c r="D33" s="75" t="s">
        <v>79</v>
      </c>
      <c r="E33" s="76" t="s">
        <v>194</v>
      </c>
      <c r="F33" s="84" t="s">
        <v>194</v>
      </c>
      <c r="G33" s="227" t="s">
        <v>195</v>
      </c>
      <c r="H33" s="25">
        <v>6261.42184</v>
      </c>
      <c r="I33" s="25"/>
      <c r="J33" s="130">
        <v>6261.42184</v>
      </c>
      <c r="K33" s="172"/>
      <c r="L33" s="27">
        <v>0</v>
      </c>
      <c r="M33" s="27">
        <v>0</v>
      </c>
      <c r="N33" s="27">
        <v>0</v>
      </c>
      <c r="O33" s="27">
        <v>0</v>
      </c>
      <c r="P33" s="269">
        <v>480.58</v>
      </c>
      <c r="Q33" s="1117">
        <v>-480.58</v>
      </c>
      <c r="R33" s="27">
        <f t="shared" ref="R33:R51" si="15">P33+Q33</f>
        <v>0</v>
      </c>
      <c r="S33" s="269">
        <v>0</v>
      </c>
      <c r="T33" s="844"/>
      <c r="U33" s="131">
        <v>0</v>
      </c>
      <c r="V33" s="131"/>
      <c r="W33" s="131"/>
      <c r="X33" s="132">
        <v>0</v>
      </c>
      <c r="Y33" s="849">
        <v>0</v>
      </c>
      <c r="Z33" s="44"/>
      <c r="AA33" s="75" t="s">
        <v>910</v>
      </c>
      <c r="AB33" s="191" t="s">
        <v>1256</v>
      </c>
      <c r="AC33" s="74" t="s">
        <v>1209</v>
      </c>
      <c r="AD33" s="584"/>
      <c r="AE33" s="584"/>
      <c r="AF33" s="584"/>
      <c r="AH33" s="633">
        <f t="shared" si="0"/>
        <v>0</v>
      </c>
      <c r="AI33" s="605">
        <f t="shared" si="1"/>
        <v>0</v>
      </c>
      <c r="AJ33" s="120">
        <f t="shared" si="14"/>
        <v>0</v>
      </c>
      <c r="AK33" s="634">
        <f t="shared" si="4"/>
        <v>0</v>
      </c>
      <c r="AL33" s="120"/>
      <c r="AM33" s="496"/>
      <c r="AN33" s="175" t="s">
        <v>1349</v>
      </c>
      <c r="AO33" s="175">
        <v>5</v>
      </c>
      <c r="AP33" s="175"/>
      <c r="AQ33" s="175">
        <v>1</v>
      </c>
      <c r="AR33" s="1175"/>
      <c r="AS33" s="148"/>
      <c r="AY33" s="66"/>
      <c r="AZ33" s="66"/>
      <c r="BB33" s="1134"/>
      <c r="BC33" s="1134"/>
      <c r="BD33" s="1134"/>
      <c r="BE33" s="1134"/>
      <c r="BF33" s="1134"/>
    </row>
    <row r="34" spans="1:63" s="179" customFormat="1" ht="25.5" x14ac:dyDescent="0.2">
      <c r="A34" s="268" t="s">
        <v>205</v>
      </c>
      <c r="B34" s="144" t="s">
        <v>206</v>
      </c>
      <c r="C34" s="75">
        <v>2017</v>
      </c>
      <c r="D34" s="75" t="s">
        <v>79</v>
      </c>
      <c r="E34" s="76" t="s">
        <v>204</v>
      </c>
      <c r="F34" s="84" t="s">
        <v>204</v>
      </c>
      <c r="G34" s="227" t="s">
        <v>207</v>
      </c>
      <c r="H34" s="25">
        <v>399.99900000000002</v>
      </c>
      <c r="I34" s="25"/>
      <c r="J34" s="27">
        <v>399.99900000000002</v>
      </c>
      <c r="K34" s="172"/>
      <c r="L34" s="27">
        <v>0</v>
      </c>
      <c r="M34" s="27">
        <v>0</v>
      </c>
      <c r="N34" s="27">
        <v>0</v>
      </c>
      <c r="O34" s="27">
        <v>0</v>
      </c>
      <c r="P34" s="269">
        <v>0</v>
      </c>
      <c r="Q34" s="1166">
        <v>0</v>
      </c>
      <c r="R34" s="27">
        <f t="shared" si="15"/>
        <v>0</v>
      </c>
      <c r="S34" s="269">
        <v>0</v>
      </c>
      <c r="T34" s="844"/>
      <c r="U34" s="131">
        <v>0</v>
      </c>
      <c r="V34" s="131"/>
      <c r="W34" s="131"/>
      <c r="X34" s="132">
        <v>0</v>
      </c>
      <c r="Y34" s="27">
        <v>0</v>
      </c>
      <c r="Z34" s="44"/>
      <c r="AA34" s="75" t="s">
        <v>1209</v>
      </c>
      <c r="AB34" s="191" t="s">
        <v>1256</v>
      </c>
      <c r="AC34" s="74" t="s">
        <v>1209</v>
      </c>
      <c r="AD34" s="584"/>
      <c r="AE34" s="584"/>
      <c r="AF34" s="584"/>
      <c r="AH34" s="633">
        <f t="shared" si="0"/>
        <v>0</v>
      </c>
      <c r="AI34" s="605">
        <f t="shared" si="1"/>
        <v>0</v>
      </c>
      <c r="AJ34" s="120">
        <f t="shared" si="14"/>
        <v>0</v>
      </c>
      <c r="AK34" s="634">
        <f t="shared" si="4"/>
        <v>0</v>
      </c>
      <c r="AL34" s="120"/>
      <c r="AM34" s="496"/>
      <c r="AN34" s="175" t="s">
        <v>1349</v>
      </c>
      <c r="AO34" s="175">
        <v>5</v>
      </c>
      <c r="AP34" s="175"/>
      <c r="AQ34" s="175">
        <v>1</v>
      </c>
      <c r="AR34" s="1175"/>
      <c r="AS34" s="148"/>
      <c r="AY34" s="66"/>
      <c r="AZ34" s="66"/>
      <c r="BB34" s="1134"/>
      <c r="BC34" s="1134"/>
      <c r="BD34" s="1134"/>
      <c r="BE34" s="1134"/>
      <c r="BF34" s="1134"/>
    </row>
    <row r="35" spans="1:63" s="1013" customFormat="1" ht="63.75" x14ac:dyDescent="0.25">
      <c r="A35" s="555" t="s">
        <v>1744</v>
      </c>
      <c r="B35" s="413" t="s">
        <v>208</v>
      </c>
      <c r="C35" s="414">
        <v>2017</v>
      </c>
      <c r="D35" s="414" t="s">
        <v>1702</v>
      </c>
      <c r="E35" s="415" t="s">
        <v>209</v>
      </c>
      <c r="F35" s="416" t="s">
        <v>209</v>
      </c>
      <c r="G35" s="417" t="s">
        <v>210</v>
      </c>
      <c r="H35" s="418">
        <v>6600</v>
      </c>
      <c r="I35" s="418">
        <v>12</v>
      </c>
      <c r="J35" s="418">
        <v>251.68</v>
      </c>
      <c r="K35" s="695">
        <v>0</v>
      </c>
      <c r="L35" s="547">
        <v>0</v>
      </c>
      <c r="M35" s="793">
        <v>0</v>
      </c>
      <c r="N35" s="546">
        <v>0</v>
      </c>
      <c r="O35" s="548">
        <v>0</v>
      </c>
      <c r="P35" s="545">
        <v>0</v>
      </c>
      <c r="Q35" s="676">
        <v>0</v>
      </c>
      <c r="R35" s="935">
        <f>P35+Q35</f>
        <v>0</v>
      </c>
      <c r="S35" s="421">
        <v>0</v>
      </c>
      <c r="T35" s="936">
        <f>4933</f>
        <v>4933</v>
      </c>
      <c r="U35" s="936">
        <v>1415.32</v>
      </c>
      <c r="V35" s="936"/>
      <c r="W35" s="936"/>
      <c r="X35" s="420">
        <v>0</v>
      </c>
      <c r="Y35" s="420">
        <v>0</v>
      </c>
      <c r="Z35" s="420">
        <v>0</v>
      </c>
      <c r="AA35" s="1069" t="s">
        <v>1828</v>
      </c>
      <c r="AB35" s="937" t="s">
        <v>1329</v>
      </c>
      <c r="AC35" s="422" t="s">
        <v>846</v>
      </c>
      <c r="AD35" s="494" t="s">
        <v>1283</v>
      </c>
      <c r="AE35" s="422" t="s">
        <v>1282</v>
      </c>
      <c r="AF35" s="722"/>
      <c r="AH35" s="1011">
        <f t="shared" si="0"/>
        <v>-2.2737367544323206E-13</v>
      </c>
      <c r="AI35" s="452">
        <f>R35-P35-Q35</f>
        <v>0</v>
      </c>
      <c r="AJ35" s="1012">
        <f>K35-R35</f>
        <v>0</v>
      </c>
      <c r="AK35" s="513">
        <f>R35+S35-L35-M35-N35-O35</f>
        <v>0</v>
      </c>
      <c r="AL35" s="1142"/>
      <c r="AM35" s="1050"/>
      <c r="AN35" s="1068" t="s">
        <v>1349</v>
      </c>
      <c r="AO35" s="1051">
        <v>5</v>
      </c>
      <c r="AP35" s="1051"/>
      <c r="AQ35" s="814">
        <v>4</v>
      </c>
      <c r="AR35" s="1071"/>
      <c r="AS35" s="435"/>
      <c r="AT35" s="75"/>
      <c r="AU35" s="143"/>
      <c r="AV35" s="1069" t="s">
        <v>1828</v>
      </c>
      <c r="AW35" s="768" t="s">
        <v>973</v>
      </c>
      <c r="AX35" s="425" t="s">
        <v>1354</v>
      </c>
      <c r="AY35" s="755">
        <v>0</v>
      </c>
      <c r="AZ35" s="755">
        <v>1</v>
      </c>
      <c r="BA35" s="497"/>
      <c r="BB35" s="1049"/>
      <c r="BC35" s="1049"/>
      <c r="BD35" s="1049"/>
      <c r="BE35" s="1049"/>
      <c r="BF35" s="1049"/>
      <c r="BG35" s="695">
        <v>0</v>
      </c>
      <c r="BH35" s="695"/>
      <c r="BI35" s="695">
        <v>0</v>
      </c>
      <c r="BJ35" s="419">
        <v>0</v>
      </c>
    </row>
    <row r="36" spans="1:63" s="985" customFormat="1" ht="25.5" x14ac:dyDescent="0.25">
      <c r="A36" s="1279" t="s">
        <v>1747</v>
      </c>
      <c r="B36" s="1280" t="s">
        <v>224</v>
      </c>
      <c r="C36" s="1281">
        <v>2017</v>
      </c>
      <c r="D36" s="1281" t="s">
        <v>1264</v>
      </c>
      <c r="E36" s="1282" t="s">
        <v>26</v>
      </c>
      <c r="F36" s="1283" t="s">
        <v>226</v>
      </c>
      <c r="G36" s="1284" t="s">
        <v>227</v>
      </c>
      <c r="H36" s="1293">
        <f>5760-651.33986</f>
        <v>5108.66014</v>
      </c>
      <c r="I36" s="1381">
        <v>5</v>
      </c>
      <c r="J36" s="1381">
        <v>5108.6601400000009</v>
      </c>
      <c r="K36" s="980">
        <v>0</v>
      </c>
      <c r="L36" s="1315">
        <v>0</v>
      </c>
      <c r="M36" s="1315">
        <v>0</v>
      </c>
      <c r="N36" s="1315">
        <v>0</v>
      </c>
      <c r="O36" s="1316">
        <v>0</v>
      </c>
      <c r="P36" s="1255">
        <v>651.33986000000004</v>
      </c>
      <c r="Q36" s="1245">
        <v>-651.33986000000004</v>
      </c>
      <c r="R36" s="1285">
        <f>P36+Q36</f>
        <v>0</v>
      </c>
      <c r="S36" s="1291">
        <v>0</v>
      </c>
      <c r="T36" s="1287">
        <v>0</v>
      </c>
      <c r="U36" s="1292">
        <v>0</v>
      </c>
      <c r="V36" s="1306">
        <v>0</v>
      </c>
      <c r="W36" s="1292">
        <v>0</v>
      </c>
      <c r="X36" s="1286">
        <v>0</v>
      </c>
      <c r="Y36" s="1286">
        <v>0</v>
      </c>
      <c r="Z36" s="1317">
        <v>0</v>
      </c>
      <c r="AA36" s="1067" t="s">
        <v>2197</v>
      </c>
      <c r="AB36" s="1318" t="s">
        <v>1329</v>
      </c>
      <c r="AC36" s="1307" t="s">
        <v>846</v>
      </c>
      <c r="AD36" s="1290" t="s">
        <v>1283</v>
      </c>
      <c r="AE36" s="1289" t="s">
        <v>1283</v>
      </c>
      <c r="AF36" s="1319" t="s">
        <v>1447</v>
      </c>
      <c r="AG36" s="1282">
        <v>5</v>
      </c>
      <c r="AH36" s="1334">
        <f t="shared" si="0"/>
        <v>-9.0949470177292824E-13</v>
      </c>
      <c r="AI36" s="1320">
        <f>R36-P36-Q36</f>
        <v>0</v>
      </c>
      <c r="AJ36" s="1308">
        <f>K36-R36</f>
        <v>0</v>
      </c>
      <c r="AK36" s="512">
        <f>R36+S36-L36-M36-N36-O36</f>
        <v>0</v>
      </c>
      <c r="AL36" s="1171"/>
      <c r="AM36" s="1321"/>
      <c r="AN36" s="1322" t="s">
        <v>1349</v>
      </c>
      <c r="AO36" s="1323">
        <v>5</v>
      </c>
      <c r="AP36" s="1323"/>
      <c r="AQ36" s="1326">
        <v>5</v>
      </c>
      <c r="AR36" s="1324"/>
      <c r="AS36" s="455"/>
      <c r="AT36" s="979" t="s">
        <v>1954</v>
      </c>
      <c r="AU36" s="1067" t="s">
        <v>1285</v>
      </c>
      <c r="AV36" s="924" t="s">
        <v>1209</v>
      </c>
      <c r="AW36" s="767" t="s">
        <v>1209</v>
      </c>
      <c r="AX36" s="924" t="s">
        <v>1209</v>
      </c>
      <c r="AY36" s="403">
        <v>1</v>
      </c>
      <c r="AZ36" s="403">
        <v>0</v>
      </c>
      <c r="BA36" s="983"/>
      <c r="BB36" s="1325"/>
      <c r="BC36" s="965">
        <v>0</v>
      </c>
      <c r="BD36" s="1382"/>
      <c r="BE36" s="1070">
        <v>0</v>
      </c>
      <c r="BF36" s="1070">
        <v>0</v>
      </c>
      <c r="BG36" s="1070">
        <v>0</v>
      </c>
      <c r="BH36" s="1070"/>
      <c r="BI36" s="1070">
        <v>0</v>
      </c>
      <c r="BJ36" s="704">
        <v>0</v>
      </c>
      <c r="BK36" s="985" t="s">
        <v>1950</v>
      </c>
    </row>
    <row r="37" spans="1:63" s="179" customFormat="1" ht="25.5" x14ac:dyDescent="0.2">
      <c r="A37" s="268" t="s">
        <v>230</v>
      </c>
      <c r="B37" s="144" t="s">
        <v>231</v>
      </c>
      <c r="C37" s="75">
        <v>2018</v>
      </c>
      <c r="D37" s="75" t="s">
        <v>228</v>
      </c>
      <c r="E37" s="76" t="s">
        <v>232</v>
      </c>
      <c r="F37" s="84" t="s">
        <v>232</v>
      </c>
      <c r="G37" s="227" t="s">
        <v>233</v>
      </c>
      <c r="H37" s="25">
        <v>1300</v>
      </c>
      <c r="I37" s="25"/>
      <c r="J37" s="130">
        <v>1000</v>
      </c>
      <c r="K37" s="172"/>
      <c r="L37" s="27">
        <v>0</v>
      </c>
      <c r="M37" s="40">
        <v>0</v>
      </c>
      <c r="N37" s="27">
        <v>0</v>
      </c>
      <c r="O37" s="26">
        <v>0</v>
      </c>
      <c r="P37" s="27">
        <v>0</v>
      </c>
      <c r="Q37" s="1117">
        <v>0</v>
      </c>
      <c r="R37" s="27">
        <f t="shared" si="15"/>
        <v>0</v>
      </c>
      <c r="S37" s="269">
        <v>0</v>
      </c>
      <c r="T37" s="844"/>
      <c r="U37" s="131">
        <v>300</v>
      </c>
      <c r="V37" s="131"/>
      <c r="W37" s="131"/>
      <c r="X37" s="27">
        <v>0</v>
      </c>
      <c r="Y37" s="27">
        <v>0</v>
      </c>
      <c r="Z37" s="44"/>
      <c r="AA37" s="75" t="s">
        <v>1209</v>
      </c>
      <c r="AB37" s="191" t="s">
        <v>1256</v>
      </c>
      <c r="AC37" s="74" t="s">
        <v>1209</v>
      </c>
      <c r="AD37" s="584"/>
      <c r="AE37" s="584"/>
      <c r="AF37" s="584"/>
      <c r="AH37" s="633">
        <f t="shared" ref="AH37:AH72" si="16">H37-J37-R37-S37-T37-U37-X37-Y37-Z37</f>
        <v>0</v>
      </c>
      <c r="AI37" s="605">
        <f t="shared" si="1"/>
        <v>0</v>
      </c>
      <c r="AJ37" s="120">
        <f t="shared" si="14"/>
        <v>0</v>
      </c>
      <c r="AK37" s="634">
        <f t="shared" si="4"/>
        <v>0</v>
      </c>
      <c r="AL37" s="120"/>
      <c r="AM37" s="496"/>
      <c r="AN37" s="175" t="s">
        <v>1349</v>
      </c>
      <c r="AO37" s="175">
        <v>5</v>
      </c>
      <c r="AP37" s="175"/>
      <c r="AQ37" s="175">
        <v>1</v>
      </c>
      <c r="AR37" s="1175"/>
      <c r="AS37" s="148"/>
      <c r="AY37" s="66"/>
      <c r="AZ37" s="66"/>
      <c r="BB37" s="1134"/>
      <c r="BC37" s="1134"/>
      <c r="BD37" s="1134"/>
      <c r="BE37" s="1134"/>
      <c r="BF37" s="1134"/>
    </row>
    <row r="38" spans="1:63" ht="38.25" hidden="1" x14ac:dyDescent="0.25">
      <c r="A38" s="555" t="s">
        <v>239</v>
      </c>
      <c r="B38" s="413" t="s">
        <v>240</v>
      </c>
      <c r="C38" s="414">
        <v>2018</v>
      </c>
      <c r="D38" s="414" t="s">
        <v>1712</v>
      </c>
      <c r="E38" s="415" t="s">
        <v>194</v>
      </c>
      <c r="F38" s="416" t="s">
        <v>194</v>
      </c>
      <c r="G38" s="417" t="s">
        <v>241</v>
      </c>
      <c r="H38" s="418">
        <v>1100</v>
      </c>
      <c r="I38" s="418">
        <v>2</v>
      </c>
      <c r="J38" s="419">
        <v>0</v>
      </c>
      <c r="K38" s="695">
        <v>0</v>
      </c>
      <c r="L38" s="547">
        <v>0</v>
      </c>
      <c r="M38" s="793">
        <v>0</v>
      </c>
      <c r="N38" s="546">
        <v>0</v>
      </c>
      <c r="O38" s="548">
        <v>0</v>
      </c>
      <c r="P38" s="544">
        <v>0</v>
      </c>
      <c r="Q38" s="676">
        <v>0</v>
      </c>
      <c r="R38" s="376">
        <f>P38+Q38</f>
        <v>0</v>
      </c>
      <c r="S38" s="835">
        <v>0</v>
      </c>
      <c r="T38" s="359">
        <v>0</v>
      </c>
      <c r="U38" s="677">
        <v>1100</v>
      </c>
      <c r="V38" s="677"/>
      <c r="W38" s="677"/>
      <c r="X38" s="678">
        <v>0</v>
      </c>
      <c r="Y38" s="420">
        <v>0</v>
      </c>
      <c r="Z38" s="679">
        <v>0</v>
      </c>
      <c r="AA38" s="425" t="s">
        <v>1470</v>
      </c>
      <c r="AB38" s="414" t="s">
        <v>1300</v>
      </c>
      <c r="AC38" s="422" t="s">
        <v>1209</v>
      </c>
      <c r="AD38" s="494" t="s">
        <v>1209</v>
      </c>
      <c r="AE38" s="422" t="s">
        <v>1209</v>
      </c>
      <c r="AF38" s="722"/>
      <c r="AH38" s="633">
        <f t="shared" si="16"/>
        <v>0</v>
      </c>
      <c r="AI38" s="351">
        <f>R38-P38-Q38</f>
        <v>0</v>
      </c>
      <c r="AJ38" s="553">
        <f>K38-R38</f>
        <v>0</v>
      </c>
      <c r="AK38" s="509">
        <f>R38+S38-L38-M38-N38-O38</f>
        <v>0</v>
      </c>
      <c r="AL38" s="1140"/>
      <c r="AM38" s="355"/>
      <c r="AN38" s="698" t="s">
        <v>1349</v>
      </c>
      <c r="AO38" s="356">
        <v>5</v>
      </c>
      <c r="AP38" s="356"/>
      <c r="AQ38" s="814">
        <v>3</v>
      </c>
      <c r="AR38" s="426"/>
      <c r="AS38" s="148"/>
      <c r="AT38" s="580"/>
      <c r="AU38" s="914"/>
      <c r="AV38" s="914"/>
      <c r="AW38" s="768" t="s">
        <v>1470</v>
      </c>
      <c r="AX38" s="57" t="s">
        <v>1455</v>
      </c>
      <c r="AY38" s="390">
        <v>1</v>
      </c>
      <c r="AZ38" s="390">
        <v>0</v>
      </c>
      <c r="BA38" s="460"/>
      <c r="BB38" s="354"/>
      <c r="BC38" s="354"/>
      <c r="BD38" s="354"/>
      <c r="BE38" s="354"/>
      <c r="BF38" s="354"/>
      <c r="BG38" s="460"/>
      <c r="BH38" s="460"/>
      <c r="BI38" s="460"/>
      <c r="BJ38" s="419">
        <v>0</v>
      </c>
    </row>
    <row r="39" spans="1:63" ht="51" hidden="1" x14ac:dyDescent="0.25">
      <c r="A39" s="555" t="s">
        <v>242</v>
      </c>
      <c r="B39" s="413" t="s">
        <v>243</v>
      </c>
      <c r="C39" s="414">
        <v>2018</v>
      </c>
      <c r="D39" s="414" t="s">
        <v>1712</v>
      </c>
      <c r="E39" s="415" t="s">
        <v>244</v>
      </c>
      <c r="F39" s="416" t="s">
        <v>244</v>
      </c>
      <c r="G39" s="417" t="s">
        <v>245</v>
      </c>
      <c r="H39" s="418">
        <v>9300</v>
      </c>
      <c r="I39" s="418">
        <v>6</v>
      </c>
      <c r="J39" s="419">
        <v>465.85</v>
      </c>
      <c r="K39" s="695">
        <v>0</v>
      </c>
      <c r="L39" s="547">
        <v>0</v>
      </c>
      <c r="M39" s="793">
        <v>0</v>
      </c>
      <c r="N39" s="546">
        <v>0</v>
      </c>
      <c r="O39" s="548">
        <v>0</v>
      </c>
      <c r="P39" s="544">
        <v>0</v>
      </c>
      <c r="Q39" s="676">
        <v>0</v>
      </c>
      <c r="R39" s="376">
        <f>P39+Q39</f>
        <v>0</v>
      </c>
      <c r="S39" s="835">
        <v>0</v>
      </c>
      <c r="T39" s="359">
        <v>0</v>
      </c>
      <c r="U39" s="677">
        <v>8834.15</v>
      </c>
      <c r="V39" s="677"/>
      <c r="W39" s="677"/>
      <c r="X39" s="678">
        <v>0</v>
      </c>
      <c r="Y39" s="678">
        <v>0</v>
      </c>
      <c r="Z39" s="679">
        <v>0</v>
      </c>
      <c r="AA39" s="425" t="s">
        <v>1553</v>
      </c>
      <c r="AB39" s="414" t="s">
        <v>1300</v>
      </c>
      <c r="AC39" s="422" t="s">
        <v>1551</v>
      </c>
      <c r="AD39" s="494" t="s">
        <v>1282</v>
      </c>
      <c r="AE39" s="422" t="s">
        <v>1282</v>
      </c>
      <c r="AF39" s="722"/>
      <c r="AH39" s="633">
        <f t="shared" si="16"/>
        <v>0</v>
      </c>
      <c r="AI39" s="351">
        <f>R39-P39-Q39</f>
        <v>0</v>
      </c>
      <c r="AJ39" s="553">
        <f>K39-R39</f>
        <v>0</v>
      </c>
      <c r="AK39" s="509">
        <f>R39+S39-L39-M39-N39-O39</f>
        <v>0</v>
      </c>
      <c r="AL39" s="1140"/>
      <c r="AM39" s="355"/>
      <c r="AN39" s="698" t="s">
        <v>1349</v>
      </c>
      <c r="AO39" s="356">
        <v>5</v>
      </c>
      <c r="AP39" s="356"/>
      <c r="AQ39" s="814">
        <v>3</v>
      </c>
      <c r="AR39" s="426"/>
      <c r="AS39" s="148"/>
      <c r="AT39" s="580"/>
      <c r="AU39" s="914"/>
      <c r="AV39" s="914"/>
      <c r="AW39" s="768" t="s">
        <v>1553</v>
      </c>
      <c r="AX39" s="360" t="s">
        <v>1355</v>
      </c>
      <c r="AY39" s="390">
        <v>1</v>
      </c>
      <c r="AZ39" s="390">
        <v>0</v>
      </c>
      <c r="BA39" s="460"/>
      <c r="BB39" s="354"/>
      <c r="BC39" s="354"/>
      <c r="BD39" s="354"/>
      <c r="BE39" s="354"/>
      <c r="BF39" s="354"/>
      <c r="BG39" s="460"/>
      <c r="BH39" s="460"/>
      <c r="BI39" s="460"/>
      <c r="BJ39" s="419">
        <v>0</v>
      </c>
    </row>
    <row r="40" spans="1:63" ht="78.75" hidden="1" customHeight="1" x14ac:dyDescent="0.25">
      <c r="A40" s="555" t="s">
        <v>246</v>
      </c>
      <c r="B40" s="413" t="s">
        <v>247</v>
      </c>
      <c r="C40" s="414">
        <v>2018</v>
      </c>
      <c r="D40" s="414" t="s">
        <v>248</v>
      </c>
      <c r="E40" s="415" t="s">
        <v>249</v>
      </c>
      <c r="F40" s="416" t="s">
        <v>249</v>
      </c>
      <c r="G40" s="680" t="s">
        <v>250</v>
      </c>
      <c r="H40" s="418">
        <v>5400</v>
      </c>
      <c r="I40" s="418">
        <v>8</v>
      </c>
      <c r="J40" s="419">
        <v>0</v>
      </c>
      <c r="K40" s="697">
        <v>0</v>
      </c>
      <c r="L40" s="547">
        <v>0</v>
      </c>
      <c r="M40" s="793">
        <v>0</v>
      </c>
      <c r="N40" s="546">
        <v>0</v>
      </c>
      <c r="O40" s="548">
        <v>0</v>
      </c>
      <c r="P40" s="544">
        <v>0</v>
      </c>
      <c r="Q40" s="676">
        <v>0</v>
      </c>
      <c r="R40" s="376">
        <f>P40+Q40</f>
        <v>0</v>
      </c>
      <c r="S40" s="835">
        <v>0</v>
      </c>
      <c r="T40" s="359">
        <v>0</v>
      </c>
      <c r="U40" s="677">
        <v>5400</v>
      </c>
      <c r="V40" s="677"/>
      <c r="W40" s="677"/>
      <c r="X40" s="678">
        <v>0</v>
      </c>
      <c r="Y40" s="420">
        <v>0</v>
      </c>
      <c r="Z40" s="679">
        <v>0</v>
      </c>
      <c r="AA40" s="680" t="s">
        <v>1686</v>
      </c>
      <c r="AB40" s="75" t="s">
        <v>1300</v>
      </c>
      <c r="AC40" s="74" t="s">
        <v>1178</v>
      </c>
      <c r="AD40" s="494" t="s">
        <v>1282</v>
      </c>
      <c r="AE40" s="422" t="s">
        <v>1282</v>
      </c>
      <c r="AF40" s="722"/>
      <c r="AH40" s="633">
        <f t="shared" si="16"/>
        <v>0</v>
      </c>
      <c r="AI40" s="351">
        <f>R40-P40-Q40</f>
        <v>0</v>
      </c>
      <c r="AJ40" s="553">
        <f>K40-R40</f>
        <v>0</v>
      </c>
      <c r="AK40" s="509">
        <f>R40+S40-L40-M40-N40-O40</f>
        <v>0</v>
      </c>
      <c r="AL40" s="1140"/>
      <c r="AM40" s="355"/>
      <c r="AN40" s="698" t="s">
        <v>1349</v>
      </c>
      <c r="AO40" s="356">
        <v>5</v>
      </c>
      <c r="AP40" s="356"/>
      <c r="AQ40" s="815">
        <v>3</v>
      </c>
      <c r="AR40" s="426"/>
      <c r="AS40" s="148"/>
      <c r="AT40" s="580" t="s">
        <v>1811</v>
      </c>
      <c r="AU40" s="914"/>
      <c r="AV40" s="914"/>
      <c r="AW40" s="680" t="s">
        <v>1554</v>
      </c>
      <c r="AX40" s="410" t="s">
        <v>1456</v>
      </c>
      <c r="AY40" s="390">
        <v>1</v>
      </c>
      <c r="AZ40" s="390">
        <v>0</v>
      </c>
      <c r="BA40" s="460"/>
      <c r="BB40" s="354"/>
      <c r="BC40" s="354"/>
      <c r="BD40" s="354"/>
      <c r="BE40" s="354"/>
      <c r="BF40" s="354"/>
      <c r="BG40" s="460"/>
      <c r="BH40" s="460"/>
      <c r="BI40" s="460"/>
      <c r="BJ40" s="411">
        <v>0</v>
      </c>
    </row>
    <row r="41" spans="1:63" s="206" customFormat="1" ht="38.25" x14ac:dyDescent="0.2">
      <c r="A41" s="268" t="s">
        <v>253</v>
      </c>
      <c r="B41" s="144" t="s">
        <v>254</v>
      </c>
      <c r="C41" s="75">
        <v>2018</v>
      </c>
      <c r="D41" s="75" t="s">
        <v>248</v>
      </c>
      <c r="E41" s="76" t="s">
        <v>255</v>
      </c>
      <c r="F41" s="84" t="s">
        <v>255</v>
      </c>
      <c r="G41" s="227" t="s">
        <v>256</v>
      </c>
      <c r="H41" s="25">
        <v>947.24400000000003</v>
      </c>
      <c r="I41" s="25"/>
      <c r="J41" s="130">
        <v>947.24400000000003</v>
      </c>
      <c r="K41" s="172"/>
      <c r="L41" s="27">
        <v>0</v>
      </c>
      <c r="M41" s="40">
        <v>0</v>
      </c>
      <c r="N41" s="27">
        <v>0</v>
      </c>
      <c r="O41" s="26">
        <v>0</v>
      </c>
      <c r="P41" s="27">
        <v>42.76</v>
      </c>
      <c r="Q41" s="1117">
        <v>-42.76</v>
      </c>
      <c r="R41" s="27">
        <f t="shared" si="15"/>
        <v>0</v>
      </c>
      <c r="S41" s="269">
        <v>0</v>
      </c>
      <c r="T41" s="844"/>
      <c r="U41" s="131">
        <v>0</v>
      </c>
      <c r="V41" s="131"/>
      <c r="W41" s="131"/>
      <c r="X41" s="27">
        <v>0</v>
      </c>
      <c r="Y41" s="27">
        <v>0</v>
      </c>
      <c r="Z41" s="44"/>
      <c r="AA41" s="75" t="s">
        <v>910</v>
      </c>
      <c r="AB41" s="191" t="s">
        <v>1256</v>
      </c>
      <c r="AC41" s="74" t="s">
        <v>1209</v>
      </c>
      <c r="AD41" s="584"/>
      <c r="AE41" s="584"/>
      <c r="AF41" s="584"/>
      <c r="AH41" s="633">
        <f t="shared" si="16"/>
        <v>0</v>
      </c>
      <c r="AI41" s="605">
        <f t="shared" si="1"/>
        <v>0</v>
      </c>
      <c r="AJ41" s="120">
        <f t="shared" si="14"/>
        <v>0</v>
      </c>
      <c r="AK41" s="634">
        <f t="shared" si="4"/>
        <v>0</v>
      </c>
      <c r="AL41" s="120"/>
      <c r="AM41" s="496"/>
      <c r="AN41" s="175" t="s">
        <v>1349</v>
      </c>
      <c r="AO41" s="175">
        <v>5</v>
      </c>
      <c r="AP41" s="175"/>
      <c r="AQ41" s="175">
        <v>1</v>
      </c>
      <c r="AR41" s="1175"/>
      <c r="AS41" s="148"/>
      <c r="AY41" s="66"/>
      <c r="AZ41" s="66"/>
      <c r="BB41" s="1134"/>
      <c r="BC41" s="1134"/>
      <c r="BD41" s="1134"/>
      <c r="BE41" s="1134"/>
      <c r="BF41" s="1134"/>
    </row>
    <row r="42" spans="1:63" ht="25.5" hidden="1" x14ac:dyDescent="0.25">
      <c r="A42" s="555" t="s">
        <v>262</v>
      </c>
      <c r="B42" s="413" t="s">
        <v>263</v>
      </c>
      <c r="C42" s="414">
        <v>2018</v>
      </c>
      <c r="D42" s="414" t="s">
        <v>248</v>
      </c>
      <c r="E42" s="415" t="s">
        <v>264</v>
      </c>
      <c r="F42" s="416" t="s">
        <v>264</v>
      </c>
      <c r="G42" s="417" t="s">
        <v>265</v>
      </c>
      <c r="H42" s="418">
        <v>0</v>
      </c>
      <c r="I42" s="418">
        <v>2</v>
      </c>
      <c r="J42" s="419">
        <v>0</v>
      </c>
      <c r="K42" s="695">
        <v>0</v>
      </c>
      <c r="L42" s="547">
        <v>0</v>
      </c>
      <c r="M42" s="793">
        <v>0</v>
      </c>
      <c r="N42" s="546">
        <v>0</v>
      </c>
      <c r="O42" s="548">
        <v>0</v>
      </c>
      <c r="P42" s="544">
        <v>0</v>
      </c>
      <c r="Q42" s="676">
        <v>0</v>
      </c>
      <c r="R42" s="376">
        <f>P42+Q42</f>
        <v>0</v>
      </c>
      <c r="S42" s="835">
        <v>0</v>
      </c>
      <c r="T42" s="359">
        <v>0</v>
      </c>
      <c r="U42" s="677">
        <v>0</v>
      </c>
      <c r="V42" s="677"/>
      <c r="W42" s="677"/>
      <c r="X42" s="678">
        <v>0</v>
      </c>
      <c r="Y42" s="420">
        <v>0</v>
      </c>
      <c r="Z42" s="679">
        <v>0</v>
      </c>
      <c r="AA42" s="425" t="s">
        <v>1555</v>
      </c>
      <c r="AB42" s="414" t="s">
        <v>1300</v>
      </c>
      <c r="AC42" s="422" t="s">
        <v>1551</v>
      </c>
      <c r="AD42" s="494" t="s">
        <v>1282</v>
      </c>
      <c r="AE42" s="422" t="s">
        <v>1282</v>
      </c>
      <c r="AF42" s="722"/>
      <c r="AH42" s="633">
        <f t="shared" si="16"/>
        <v>0</v>
      </c>
      <c r="AI42" s="351">
        <f>R42-P42-Q42</f>
        <v>0</v>
      </c>
      <c r="AJ42" s="553">
        <f>K42-R42</f>
        <v>0</v>
      </c>
      <c r="AK42" s="509">
        <f>R42+S42-L42-M42-N42-O42</f>
        <v>0</v>
      </c>
      <c r="AL42" s="1140"/>
      <c r="AM42" s="355"/>
      <c r="AN42" s="698" t="s">
        <v>1349</v>
      </c>
      <c r="AO42" s="356">
        <v>5</v>
      </c>
      <c r="AP42" s="356"/>
      <c r="AQ42" s="814">
        <v>3</v>
      </c>
      <c r="AR42" s="426"/>
      <c r="AS42" s="148"/>
      <c r="AT42" s="580"/>
      <c r="AU42" s="914"/>
      <c r="AV42" s="914"/>
      <c r="AW42" s="768" t="s">
        <v>1555</v>
      </c>
      <c r="AX42" s="360" t="s">
        <v>1281</v>
      </c>
      <c r="AY42" s="390">
        <v>1</v>
      </c>
      <c r="AZ42" s="390">
        <v>0</v>
      </c>
      <c r="BA42" s="460"/>
      <c r="BB42" s="354"/>
      <c r="BC42" s="354"/>
      <c r="BD42" s="354"/>
      <c r="BE42" s="354"/>
      <c r="BF42" s="354"/>
      <c r="BG42" s="460"/>
      <c r="BH42" s="460"/>
      <c r="BI42" s="460"/>
      <c r="BJ42" s="419">
        <v>0</v>
      </c>
    </row>
    <row r="43" spans="1:63" s="179" customFormat="1" ht="25.5" x14ac:dyDescent="0.2">
      <c r="A43" s="268" t="s">
        <v>266</v>
      </c>
      <c r="B43" s="144" t="s">
        <v>267</v>
      </c>
      <c r="C43" s="75">
        <v>2018</v>
      </c>
      <c r="D43" s="75" t="s">
        <v>248</v>
      </c>
      <c r="E43" s="76" t="s">
        <v>268</v>
      </c>
      <c r="F43" s="84" t="s">
        <v>268</v>
      </c>
      <c r="G43" s="227" t="s">
        <v>269</v>
      </c>
      <c r="H43" s="25">
        <v>89.977000000000004</v>
      </c>
      <c r="I43" s="25"/>
      <c r="J43" s="27">
        <v>89.977000000000004</v>
      </c>
      <c r="K43" s="172"/>
      <c r="L43" s="27">
        <v>0</v>
      </c>
      <c r="M43" s="27">
        <v>0</v>
      </c>
      <c r="N43" s="27">
        <v>0</v>
      </c>
      <c r="O43" s="27">
        <v>0</v>
      </c>
      <c r="P43" s="269">
        <v>0</v>
      </c>
      <c r="Q43" s="1166">
        <v>0</v>
      </c>
      <c r="R43" s="27">
        <f t="shared" si="15"/>
        <v>0</v>
      </c>
      <c r="S43" s="269">
        <v>0</v>
      </c>
      <c r="T43" s="844"/>
      <c r="U43" s="131">
        <v>0</v>
      </c>
      <c r="V43" s="131"/>
      <c r="W43" s="131"/>
      <c r="X43" s="132">
        <v>0</v>
      </c>
      <c r="Y43" s="27">
        <v>0</v>
      </c>
      <c r="Z43" s="44"/>
      <c r="AA43" s="75" t="s">
        <v>1209</v>
      </c>
      <c r="AB43" s="191" t="s">
        <v>1256</v>
      </c>
      <c r="AC43" s="74" t="s">
        <v>1209</v>
      </c>
      <c r="AD43" s="584"/>
      <c r="AE43" s="584"/>
      <c r="AF43" s="584"/>
      <c r="AH43" s="633">
        <f t="shared" si="16"/>
        <v>0</v>
      </c>
      <c r="AI43" s="605">
        <f t="shared" si="1"/>
        <v>0</v>
      </c>
      <c r="AJ43" s="120">
        <f t="shared" si="14"/>
        <v>0</v>
      </c>
      <c r="AK43" s="634">
        <f t="shared" si="4"/>
        <v>0</v>
      </c>
      <c r="AL43" s="120"/>
      <c r="AM43" s="496"/>
      <c r="AN43" s="175" t="s">
        <v>1349</v>
      </c>
      <c r="AO43" s="175">
        <v>5</v>
      </c>
      <c r="AP43" s="175"/>
      <c r="AQ43" s="175">
        <v>1</v>
      </c>
      <c r="AR43" s="1175"/>
      <c r="AS43" s="148"/>
      <c r="AY43" s="66"/>
      <c r="AZ43" s="66"/>
      <c r="BB43" s="1134"/>
      <c r="BC43" s="1134"/>
      <c r="BD43" s="1134"/>
      <c r="BE43" s="1134"/>
      <c r="BF43" s="1134"/>
    </row>
    <row r="44" spans="1:63" ht="25.5" x14ac:dyDescent="0.25">
      <c r="A44" s="412" t="s">
        <v>278</v>
      </c>
      <c r="B44" s="413" t="s">
        <v>1356</v>
      </c>
      <c r="C44" s="414">
        <v>2018</v>
      </c>
      <c r="D44" s="414" t="s">
        <v>248</v>
      </c>
      <c r="E44" s="415" t="s">
        <v>279</v>
      </c>
      <c r="F44" s="416" t="s">
        <v>279</v>
      </c>
      <c r="G44" s="417" t="s">
        <v>280</v>
      </c>
      <c r="H44" s="418">
        <v>1000</v>
      </c>
      <c r="I44" s="418"/>
      <c r="J44" s="419">
        <v>1000</v>
      </c>
      <c r="K44" s="411">
        <v>0</v>
      </c>
      <c r="L44" s="547">
        <v>0</v>
      </c>
      <c r="M44" s="546">
        <v>0</v>
      </c>
      <c r="N44" s="546">
        <v>0</v>
      </c>
      <c r="O44" s="548">
        <v>0</v>
      </c>
      <c r="P44" s="544">
        <v>0</v>
      </c>
      <c r="Q44" s="336">
        <v>0</v>
      </c>
      <c r="R44" s="376">
        <f>P44+Q44</f>
        <v>0</v>
      </c>
      <c r="S44" s="421">
        <v>0</v>
      </c>
      <c r="T44" s="833"/>
      <c r="U44" s="131">
        <v>0</v>
      </c>
      <c r="V44" s="131"/>
      <c r="W44" s="131"/>
      <c r="X44" s="132">
        <v>0</v>
      </c>
      <c r="Y44" s="420">
        <v>0</v>
      </c>
      <c r="Z44" s="848">
        <v>0</v>
      </c>
      <c r="AA44" s="143" t="s">
        <v>1209</v>
      </c>
      <c r="AB44" s="414" t="s">
        <v>1329</v>
      </c>
      <c r="AC44" s="422" t="s">
        <v>1358</v>
      </c>
      <c r="AD44" s="422" t="s">
        <v>1283</v>
      </c>
      <c r="AE44" s="494" t="s">
        <v>1283</v>
      </c>
      <c r="AF44" s="409"/>
      <c r="AH44" s="633">
        <f t="shared" si="16"/>
        <v>0</v>
      </c>
      <c r="AI44" s="207">
        <f>R44-P44-Q44</f>
        <v>0</v>
      </c>
      <c r="AJ44" s="553">
        <f t="shared" si="14"/>
        <v>0</v>
      </c>
      <c r="AK44" s="511">
        <f>R44+S44-L44-M44-N44-O44</f>
        <v>0</v>
      </c>
      <c r="AL44" s="1172"/>
      <c r="AM44" s="355"/>
      <c r="AN44" s="248" t="s">
        <v>1349</v>
      </c>
      <c r="AO44" s="356">
        <v>5</v>
      </c>
      <c r="AP44" s="356"/>
      <c r="AQ44" s="357">
        <v>2</v>
      </c>
      <c r="AR44" s="426"/>
      <c r="AS44" s="148"/>
      <c r="AT44" s="580"/>
      <c r="AU44" s="580"/>
      <c r="AV44" s="580"/>
      <c r="AW44" s="580" t="s">
        <v>1209</v>
      </c>
      <c r="AX44" s="143" t="s">
        <v>1357</v>
      </c>
      <c r="AY44" s="66">
        <v>0</v>
      </c>
      <c r="AZ44" s="66">
        <v>1</v>
      </c>
      <c r="BA44" s="460"/>
      <c r="BB44" s="354"/>
      <c r="BC44" s="354"/>
      <c r="BD44" s="354"/>
      <c r="BE44" s="354"/>
      <c r="BF44" s="354"/>
      <c r="BG44" s="763"/>
      <c r="BH44" s="763"/>
      <c r="BI44" s="763"/>
    </row>
    <row r="45" spans="1:63" s="206" customFormat="1" ht="25.5" x14ac:dyDescent="0.2">
      <c r="A45" s="268" t="s">
        <v>287</v>
      </c>
      <c r="B45" s="144" t="s">
        <v>288</v>
      </c>
      <c r="C45" s="75">
        <v>2018</v>
      </c>
      <c r="D45" s="75" t="s">
        <v>284</v>
      </c>
      <c r="E45" s="76" t="s">
        <v>289</v>
      </c>
      <c r="F45" s="84" t="s">
        <v>289</v>
      </c>
      <c r="G45" s="228" t="s">
        <v>290</v>
      </c>
      <c r="H45" s="25">
        <v>875.798</v>
      </c>
      <c r="I45" s="25"/>
      <c r="J45" s="27">
        <v>875.798</v>
      </c>
      <c r="K45" s="172"/>
      <c r="L45" s="27">
        <v>0</v>
      </c>
      <c r="M45" s="27">
        <v>0</v>
      </c>
      <c r="N45" s="27">
        <v>0</v>
      </c>
      <c r="O45" s="27">
        <v>0</v>
      </c>
      <c r="P45" s="269">
        <v>24.202000000000002</v>
      </c>
      <c r="Q45" s="1166">
        <v>-24.202000000000002</v>
      </c>
      <c r="R45" s="27">
        <f t="shared" si="15"/>
        <v>0</v>
      </c>
      <c r="S45" s="269">
        <v>0</v>
      </c>
      <c r="T45" s="269"/>
      <c r="U45" s="132">
        <v>0</v>
      </c>
      <c r="V45" s="132"/>
      <c r="W45" s="132"/>
      <c r="X45" s="132">
        <v>0</v>
      </c>
      <c r="Y45" s="27">
        <v>0</v>
      </c>
      <c r="Z45" s="26"/>
      <c r="AA45" s="143" t="s">
        <v>408</v>
      </c>
      <c r="AB45" s="191" t="s">
        <v>1256</v>
      </c>
      <c r="AC45" s="74" t="s">
        <v>1209</v>
      </c>
      <c r="AD45" s="584"/>
      <c r="AE45" s="584"/>
      <c r="AF45" s="584"/>
      <c r="AH45" s="633">
        <f t="shared" si="16"/>
        <v>0</v>
      </c>
      <c r="AI45" s="605">
        <f t="shared" si="1"/>
        <v>0</v>
      </c>
      <c r="AJ45" s="120">
        <f t="shared" si="14"/>
        <v>0</v>
      </c>
      <c r="AK45" s="634">
        <f t="shared" si="4"/>
        <v>0</v>
      </c>
      <c r="AL45" s="120"/>
      <c r="AM45" s="496"/>
      <c r="AN45" s="175" t="s">
        <v>1349</v>
      </c>
      <c r="AO45" s="175">
        <v>5</v>
      </c>
      <c r="AP45" s="175"/>
      <c r="AQ45" s="175">
        <v>1</v>
      </c>
      <c r="AR45" s="1175"/>
      <c r="AS45" s="148"/>
      <c r="AY45" s="66"/>
      <c r="AZ45" s="66"/>
      <c r="BB45" s="1134"/>
      <c r="BC45" s="1134"/>
      <c r="BD45" s="1134"/>
      <c r="BE45" s="1134"/>
      <c r="BF45" s="1134"/>
    </row>
    <row r="46" spans="1:63" s="206" customFormat="1" ht="38.25" x14ac:dyDescent="0.2">
      <c r="A46" s="268" t="s">
        <v>294</v>
      </c>
      <c r="B46" s="144" t="s">
        <v>295</v>
      </c>
      <c r="C46" s="75">
        <v>2018</v>
      </c>
      <c r="D46" s="75" t="s">
        <v>284</v>
      </c>
      <c r="E46" s="76" t="s">
        <v>296</v>
      </c>
      <c r="F46" s="84" t="s">
        <v>296</v>
      </c>
      <c r="G46" s="228" t="s">
        <v>297</v>
      </c>
      <c r="H46" s="25">
        <v>905.45100000000002</v>
      </c>
      <c r="I46" s="25"/>
      <c r="J46" s="27">
        <v>905.45100000000002</v>
      </c>
      <c r="K46" s="172"/>
      <c r="L46" s="27">
        <v>0</v>
      </c>
      <c r="M46" s="27">
        <v>0</v>
      </c>
      <c r="N46" s="27">
        <v>0</v>
      </c>
      <c r="O46" s="27">
        <v>0</v>
      </c>
      <c r="P46" s="269">
        <v>94.549000000000007</v>
      </c>
      <c r="Q46" s="1166">
        <v>-94.549000000000007</v>
      </c>
      <c r="R46" s="27">
        <f t="shared" si="15"/>
        <v>0</v>
      </c>
      <c r="S46" s="269">
        <v>0</v>
      </c>
      <c r="T46" s="269"/>
      <c r="U46" s="132">
        <v>0</v>
      </c>
      <c r="V46" s="132"/>
      <c r="W46" s="132"/>
      <c r="X46" s="132">
        <v>0</v>
      </c>
      <c r="Y46" s="27">
        <v>0</v>
      </c>
      <c r="Z46" s="26"/>
      <c r="AA46" s="143" t="s">
        <v>910</v>
      </c>
      <c r="AB46" s="191" t="s">
        <v>1256</v>
      </c>
      <c r="AC46" s="74" t="s">
        <v>1209</v>
      </c>
      <c r="AD46" s="584"/>
      <c r="AE46" s="584"/>
      <c r="AF46" s="584"/>
      <c r="AH46" s="633">
        <f t="shared" si="16"/>
        <v>0</v>
      </c>
      <c r="AI46" s="605">
        <f t="shared" si="1"/>
        <v>0</v>
      </c>
      <c r="AJ46" s="120">
        <f t="shared" si="14"/>
        <v>0</v>
      </c>
      <c r="AK46" s="634">
        <f t="shared" si="4"/>
        <v>0</v>
      </c>
      <c r="AL46" s="120"/>
      <c r="AM46" s="496"/>
      <c r="AN46" s="175" t="s">
        <v>1349</v>
      </c>
      <c r="AO46" s="175">
        <v>5</v>
      </c>
      <c r="AP46" s="175"/>
      <c r="AQ46" s="175">
        <v>1</v>
      </c>
      <c r="AR46" s="1175"/>
      <c r="AS46" s="148"/>
      <c r="AY46" s="66"/>
      <c r="AZ46" s="66"/>
      <c r="BB46" s="1134"/>
      <c r="BC46" s="1134"/>
      <c r="BD46" s="1134"/>
      <c r="BE46" s="1134"/>
      <c r="BF46" s="1134"/>
    </row>
    <row r="47" spans="1:63" s="179" customFormat="1" ht="25.5" x14ac:dyDescent="0.2">
      <c r="A47" s="268" t="s">
        <v>298</v>
      </c>
      <c r="B47" s="144" t="s">
        <v>299</v>
      </c>
      <c r="C47" s="75">
        <v>2018</v>
      </c>
      <c r="D47" s="75" t="s">
        <v>284</v>
      </c>
      <c r="E47" s="76" t="s">
        <v>300</v>
      </c>
      <c r="F47" s="84" t="s">
        <v>300</v>
      </c>
      <c r="G47" s="228" t="s">
        <v>301</v>
      </c>
      <c r="H47" s="25">
        <v>188</v>
      </c>
      <c r="I47" s="25"/>
      <c r="J47" s="27">
        <v>188</v>
      </c>
      <c r="K47" s="172"/>
      <c r="L47" s="27">
        <v>0</v>
      </c>
      <c r="M47" s="27">
        <v>0</v>
      </c>
      <c r="N47" s="27">
        <v>0</v>
      </c>
      <c r="O47" s="27">
        <v>0</v>
      </c>
      <c r="P47" s="269">
        <v>0</v>
      </c>
      <c r="Q47" s="1166">
        <v>0</v>
      </c>
      <c r="R47" s="27">
        <f t="shared" si="15"/>
        <v>0</v>
      </c>
      <c r="S47" s="269">
        <v>0</v>
      </c>
      <c r="T47" s="269"/>
      <c r="U47" s="132">
        <v>0</v>
      </c>
      <c r="V47" s="132"/>
      <c r="W47" s="132"/>
      <c r="X47" s="132">
        <v>0</v>
      </c>
      <c r="Y47" s="27">
        <v>0</v>
      </c>
      <c r="Z47" s="26"/>
      <c r="AA47" s="143" t="s">
        <v>1209</v>
      </c>
      <c r="AB47" s="191" t="s">
        <v>1256</v>
      </c>
      <c r="AC47" s="74" t="s">
        <v>1209</v>
      </c>
      <c r="AD47" s="584"/>
      <c r="AE47" s="584"/>
      <c r="AF47" s="584"/>
      <c r="AH47" s="633">
        <f t="shared" si="16"/>
        <v>0</v>
      </c>
      <c r="AI47" s="605">
        <f t="shared" si="1"/>
        <v>0</v>
      </c>
      <c r="AJ47" s="120">
        <f t="shared" si="14"/>
        <v>0</v>
      </c>
      <c r="AK47" s="634">
        <f t="shared" si="4"/>
        <v>0</v>
      </c>
      <c r="AL47" s="120"/>
      <c r="AM47" s="496"/>
      <c r="AN47" s="175" t="s">
        <v>1349</v>
      </c>
      <c r="AO47" s="175">
        <v>5</v>
      </c>
      <c r="AP47" s="175"/>
      <c r="AQ47" s="175">
        <v>1</v>
      </c>
      <c r="AR47" s="1175"/>
      <c r="AS47" s="148"/>
      <c r="AY47" s="66"/>
      <c r="AZ47" s="66"/>
      <c r="BB47" s="1134"/>
      <c r="BC47" s="1134"/>
      <c r="BD47" s="1134"/>
      <c r="BE47" s="1134"/>
      <c r="BF47" s="1134"/>
    </row>
    <row r="48" spans="1:63" s="206" customFormat="1" ht="30" x14ac:dyDescent="0.2">
      <c r="A48" s="268" t="s">
        <v>302</v>
      </c>
      <c r="B48" s="144" t="s">
        <v>303</v>
      </c>
      <c r="C48" s="75">
        <v>2018</v>
      </c>
      <c r="D48" s="75" t="s">
        <v>284</v>
      </c>
      <c r="E48" s="90" t="s">
        <v>304</v>
      </c>
      <c r="F48" s="286" t="s">
        <v>304</v>
      </c>
      <c r="G48" s="228" t="s">
        <v>305</v>
      </c>
      <c r="H48" s="25">
        <v>10833.4</v>
      </c>
      <c r="I48" s="25"/>
      <c r="J48" s="130">
        <v>10833.4</v>
      </c>
      <c r="K48" s="172"/>
      <c r="L48" s="27">
        <v>0</v>
      </c>
      <c r="M48" s="40">
        <v>0</v>
      </c>
      <c r="N48" s="27">
        <v>0</v>
      </c>
      <c r="O48" s="26">
        <v>0</v>
      </c>
      <c r="P48" s="27">
        <v>41.8</v>
      </c>
      <c r="Q48" s="1117">
        <v>-41.8</v>
      </c>
      <c r="R48" s="27">
        <f t="shared" si="15"/>
        <v>0</v>
      </c>
      <c r="S48" s="269">
        <v>0</v>
      </c>
      <c r="T48" s="269"/>
      <c r="U48" s="132">
        <v>0</v>
      </c>
      <c r="V48" s="132"/>
      <c r="W48" s="132"/>
      <c r="X48" s="27">
        <v>0</v>
      </c>
      <c r="Y48" s="27">
        <v>0</v>
      </c>
      <c r="Z48" s="26"/>
      <c r="AA48" s="143" t="s">
        <v>910</v>
      </c>
      <c r="AB48" s="191" t="s">
        <v>1256</v>
      </c>
      <c r="AC48" s="74" t="s">
        <v>1209</v>
      </c>
      <c r="AD48" s="584"/>
      <c r="AE48" s="584"/>
      <c r="AF48" s="584"/>
      <c r="AH48" s="633">
        <f t="shared" si="16"/>
        <v>0</v>
      </c>
      <c r="AI48" s="605">
        <f t="shared" si="1"/>
        <v>0</v>
      </c>
      <c r="AJ48" s="120">
        <f t="shared" si="14"/>
        <v>0</v>
      </c>
      <c r="AK48" s="634">
        <f t="shared" si="4"/>
        <v>0</v>
      </c>
      <c r="AL48" s="120"/>
      <c r="AM48" s="496"/>
      <c r="AN48" s="175" t="s">
        <v>1349</v>
      </c>
      <c r="AO48" s="175">
        <v>5</v>
      </c>
      <c r="AP48" s="175"/>
      <c r="AQ48" s="175">
        <v>1</v>
      </c>
      <c r="AR48" s="1175"/>
      <c r="AS48" s="148"/>
      <c r="AY48" s="66"/>
      <c r="AZ48" s="66"/>
      <c r="BB48" s="1134"/>
      <c r="BC48" s="1134"/>
      <c r="BD48" s="1134"/>
      <c r="BE48" s="1134"/>
      <c r="BF48" s="1134"/>
    </row>
    <row r="49" spans="1:62" s="206" customFormat="1" ht="25.5" x14ac:dyDescent="0.2">
      <c r="A49" s="268" t="s">
        <v>320</v>
      </c>
      <c r="B49" s="144" t="s">
        <v>856</v>
      </c>
      <c r="C49" s="75">
        <v>2018</v>
      </c>
      <c r="D49" s="78" t="s">
        <v>101</v>
      </c>
      <c r="E49" s="90" t="s">
        <v>321</v>
      </c>
      <c r="F49" s="287" t="s">
        <v>321</v>
      </c>
      <c r="G49" s="228" t="s">
        <v>322</v>
      </c>
      <c r="H49" s="25">
        <v>518.27200000000005</v>
      </c>
      <c r="I49" s="25"/>
      <c r="J49" s="27">
        <v>518.27200000000005</v>
      </c>
      <c r="K49" s="172"/>
      <c r="L49" s="27">
        <v>0</v>
      </c>
      <c r="M49" s="27">
        <v>0</v>
      </c>
      <c r="N49" s="27">
        <v>0</v>
      </c>
      <c r="O49" s="27">
        <v>0</v>
      </c>
      <c r="P49" s="269">
        <v>86.727999999999994</v>
      </c>
      <c r="Q49" s="1166">
        <v>-86.727999999999994</v>
      </c>
      <c r="R49" s="27">
        <f t="shared" si="15"/>
        <v>0</v>
      </c>
      <c r="S49" s="269">
        <v>0</v>
      </c>
      <c r="T49" s="269"/>
      <c r="U49" s="132">
        <v>0</v>
      </c>
      <c r="V49" s="132"/>
      <c r="W49" s="132"/>
      <c r="X49" s="132">
        <v>0</v>
      </c>
      <c r="Y49" s="27">
        <v>0</v>
      </c>
      <c r="Z49" s="26"/>
      <c r="AA49" s="143" t="s">
        <v>910</v>
      </c>
      <c r="AB49" s="191" t="s">
        <v>1256</v>
      </c>
      <c r="AC49" s="74" t="s">
        <v>1209</v>
      </c>
      <c r="AD49" s="584"/>
      <c r="AE49" s="584"/>
      <c r="AF49" s="584"/>
      <c r="AH49" s="633">
        <f t="shared" si="16"/>
        <v>0</v>
      </c>
      <c r="AI49" s="605">
        <f t="shared" si="1"/>
        <v>0</v>
      </c>
      <c r="AJ49" s="120">
        <f t="shared" si="14"/>
        <v>0</v>
      </c>
      <c r="AK49" s="634">
        <f t="shared" si="4"/>
        <v>0</v>
      </c>
      <c r="AL49" s="120"/>
      <c r="AM49" s="496"/>
      <c r="AN49" s="175" t="s">
        <v>1349</v>
      </c>
      <c r="AO49" s="175">
        <v>5</v>
      </c>
      <c r="AP49" s="175"/>
      <c r="AQ49" s="175">
        <v>1</v>
      </c>
      <c r="AR49" s="1175"/>
      <c r="AS49" s="148"/>
      <c r="AY49" s="66"/>
      <c r="AZ49" s="66"/>
      <c r="BB49" s="1134"/>
      <c r="BC49" s="1134"/>
      <c r="BD49" s="1134"/>
      <c r="BE49" s="1134"/>
      <c r="BF49" s="1134"/>
    </row>
    <row r="50" spans="1:62" ht="38.25" hidden="1" x14ac:dyDescent="0.25">
      <c r="A50" s="555" t="s">
        <v>327</v>
      </c>
      <c r="B50" s="413" t="s">
        <v>860</v>
      </c>
      <c r="C50" s="414">
        <v>2018</v>
      </c>
      <c r="D50" s="414" t="s">
        <v>1362</v>
      </c>
      <c r="E50" s="681" t="s">
        <v>300</v>
      </c>
      <c r="F50" s="682" t="s">
        <v>300</v>
      </c>
      <c r="G50" s="683" t="s">
        <v>328</v>
      </c>
      <c r="H50" s="684">
        <v>1089</v>
      </c>
      <c r="I50" s="684">
        <v>10</v>
      </c>
      <c r="J50" s="685">
        <v>0</v>
      </c>
      <c r="K50" s="827">
        <v>0</v>
      </c>
      <c r="L50" s="547">
        <v>0</v>
      </c>
      <c r="M50" s="793">
        <v>0</v>
      </c>
      <c r="N50" s="546">
        <v>0</v>
      </c>
      <c r="O50" s="548">
        <v>0</v>
      </c>
      <c r="P50" s="544">
        <v>0</v>
      </c>
      <c r="Q50" s="676">
        <v>0</v>
      </c>
      <c r="R50" s="376">
        <f>P50+Q50</f>
        <v>0</v>
      </c>
      <c r="S50" s="835">
        <v>0</v>
      </c>
      <c r="T50" s="359">
        <v>0</v>
      </c>
      <c r="U50" s="686">
        <v>1089</v>
      </c>
      <c r="V50" s="686"/>
      <c r="W50" s="686"/>
      <c r="X50" s="687">
        <v>0</v>
      </c>
      <c r="Y50" s="688">
        <v>0</v>
      </c>
      <c r="Z50" s="688">
        <v>0</v>
      </c>
      <c r="AA50" s="689" t="s">
        <v>1556</v>
      </c>
      <c r="AB50" s="414" t="s">
        <v>1300</v>
      </c>
      <c r="AC50" s="422" t="s">
        <v>1209</v>
      </c>
      <c r="AD50" s="494" t="s">
        <v>1209</v>
      </c>
      <c r="AE50" s="422" t="s">
        <v>1209</v>
      </c>
      <c r="AF50" s="722"/>
      <c r="AH50" s="633">
        <f t="shared" si="16"/>
        <v>0</v>
      </c>
      <c r="AI50" s="351">
        <f>R50-P50-Q50</f>
        <v>0</v>
      </c>
      <c r="AJ50" s="553">
        <f>K50-R50</f>
        <v>0</v>
      </c>
      <c r="AK50" s="509">
        <f>R50+S50-L50-M50-N50-O50</f>
        <v>0</v>
      </c>
      <c r="AL50" s="1140"/>
      <c r="AM50" s="355"/>
      <c r="AN50" s="698" t="s">
        <v>1349</v>
      </c>
      <c r="AO50" s="356">
        <v>5</v>
      </c>
      <c r="AP50" s="356"/>
      <c r="AQ50" s="814">
        <v>3</v>
      </c>
      <c r="AR50" s="426"/>
      <c r="AS50" s="148"/>
      <c r="AT50" s="580"/>
      <c r="AU50" s="910"/>
      <c r="AV50" s="910"/>
      <c r="AW50" s="769" t="s">
        <v>1556</v>
      </c>
      <c r="AX50" s="361" t="s">
        <v>1363</v>
      </c>
      <c r="AY50" s="390">
        <v>1</v>
      </c>
      <c r="AZ50" s="390">
        <v>0</v>
      </c>
      <c r="BA50" s="460"/>
      <c r="BB50" s="354"/>
      <c r="BC50" s="354"/>
      <c r="BD50" s="354"/>
      <c r="BE50" s="354"/>
      <c r="BF50" s="354"/>
      <c r="BG50" s="460"/>
      <c r="BH50" s="460"/>
      <c r="BI50" s="460"/>
      <c r="BJ50" s="685">
        <v>0</v>
      </c>
    </row>
    <row r="51" spans="1:62" s="180" customFormat="1" ht="25.5" hidden="1" x14ac:dyDescent="0.2">
      <c r="A51" s="268" t="s">
        <v>330</v>
      </c>
      <c r="B51" s="147" t="s">
        <v>1230</v>
      </c>
      <c r="C51" s="78">
        <v>2018</v>
      </c>
      <c r="D51" s="78" t="s">
        <v>861</v>
      </c>
      <c r="E51" s="75" t="s">
        <v>331</v>
      </c>
      <c r="F51" s="143" t="s">
        <v>331</v>
      </c>
      <c r="G51" s="270" t="s">
        <v>332</v>
      </c>
      <c r="H51" s="25">
        <v>0</v>
      </c>
      <c r="I51" s="25"/>
      <c r="J51" s="130">
        <v>0</v>
      </c>
      <c r="K51" s="172"/>
      <c r="L51" s="24">
        <v>0</v>
      </c>
      <c r="M51" s="43">
        <v>0</v>
      </c>
      <c r="N51" s="24">
        <v>0</v>
      </c>
      <c r="O51" s="23">
        <v>0</v>
      </c>
      <c r="P51" s="24">
        <v>735</v>
      </c>
      <c r="Q51" s="1117">
        <v>-735</v>
      </c>
      <c r="R51" s="24">
        <f t="shared" si="15"/>
        <v>0</v>
      </c>
      <c r="S51" s="271">
        <v>0</v>
      </c>
      <c r="T51" s="845"/>
      <c r="U51" s="272">
        <v>0</v>
      </c>
      <c r="V51" s="272"/>
      <c r="W51" s="272"/>
      <c r="X51" s="24">
        <v>0</v>
      </c>
      <c r="Y51" s="24">
        <v>0</v>
      </c>
      <c r="Z51" s="23"/>
      <c r="AA51" s="166" t="s">
        <v>985</v>
      </c>
      <c r="AB51" s="75" t="s">
        <v>1257</v>
      </c>
      <c r="AC51" s="74" t="s">
        <v>1209</v>
      </c>
      <c r="AD51" s="584"/>
      <c r="AE51" s="584"/>
      <c r="AF51" s="584"/>
      <c r="AH51" s="633">
        <f t="shared" si="16"/>
        <v>0</v>
      </c>
      <c r="AI51" s="605">
        <f t="shared" si="1"/>
        <v>0</v>
      </c>
      <c r="AJ51" s="120">
        <f t="shared" si="14"/>
        <v>0</v>
      </c>
      <c r="AK51" s="634">
        <f t="shared" si="4"/>
        <v>0</v>
      </c>
      <c r="AL51" s="120"/>
      <c r="AM51" s="496"/>
      <c r="AN51" s="175" t="s">
        <v>1349</v>
      </c>
      <c r="AO51" s="175">
        <v>5</v>
      </c>
      <c r="AP51" s="175"/>
      <c r="AQ51" s="175">
        <v>1</v>
      </c>
      <c r="AR51" s="1175"/>
      <c r="AS51" s="148"/>
      <c r="AY51" s="66"/>
      <c r="AZ51" s="66"/>
      <c r="BB51" s="1134"/>
      <c r="BC51" s="1134"/>
      <c r="BD51" s="1134"/>
      <c r="BE51" s="1134"/>
      <c r="BF51" s="1134"/>
    </row>
    <row r="52" spans="1:62" ht="38.25" hidden="1" x14ac:dyDescent="0.25">
      <c r="A52" s="690" t="s">
        <v>865</v>
      </c>
      <c r="B52" s="413" t="s">
        <v>1230</v>
      </c>
      <c r="C52" s="414">
        <v>2019</v>
      </c>
      <c r="D52" s="414" t="s">
        <v>1265</v>
      </c>
      <c r="E52" s="414" t="s">
        <v>866</v>
      </c>
      <c r="F52" s="414" t="s">
        <v>866</v>
      </c>
      <c r="G52" s="691" t="s">
        <v>974</v>
      </c>
      <c r="H52" s="692">
        <v>1698</v>
      </c>
      <c r="I52" s="692">
        <v>11</v>
      </c>
      <c r="J52" s="419">
        <v>0</v>
      </c>
      <c r="K52" s="695">
        <v>0</v>
      </c>
      <c r="L52" s="547">
        <v>0</v>
      </c>
      <c r="M52" s="793">
        <v>0</v>
      </c>
      <c r="N52" s="546">
        <v>0</v>
      </c>
      <c r="O52" s="548">
        <v>0</v>
      </c>
      <c r="P52" s="545">
        <v>0</v>
      </c>
      <c r="Q52" s="676">
        <v>0</v>
      </c>
      <c r="R52" s="376">
        <f t="shared" ref="R52:R57" si="17">P52+Q52</f>
        <v>0</v>
      </c>
      <c r="S52" s="836">
        <v>0</v>
      </c>
      <c r="T52" s="359">
        <v>0</v>
      </c>
      <c r="U52" s="677">
        <v>1698</v>
      </c>
      <c r="V52" s="677"/>
      <c r="W52" s="677"/>
      <c r="X52" s="693">
        <v>0</v>
      </c>
      <c r="Y52" s="693">
        <v>0</v>
      </c>
      <c r="Z52" s="693">
        <v>0</v>
      </c>
      <c r="AA52" s="414" t="s">
        <v>1561</v>
      </c>
      <c r="AB52" s="414" t="s">
        <v>1300</v>
      </c>
      <c r="AC52" s="422" t="s">
        <v>1209</v>
      </c>
      <c r="AD52" s="494" t="s">
        <v>1282</v>
      </c>
      <c r="AE52" s="422" t="s">
        <v>1282</v>
      </c>
      <c r="AF52" s="722"/>
      <c r="AH52" s="633">
        <f t="shared" si="16"/>
        <v>0</v>
      </c>
      <c r="AI52" s="351">
        <f t="shared" ref="AI52:AI57" si="18">R52-P52-Q52</f>
        <v>0</v>
      </c>
      <c r="AJ52" s="553">
        <f t="shared" ref="AJ52:AJ57" si="19">K52-R52</f>
        <v>0</v>
      </c>
      <c r="AK52" s="509">
        <f t="shared" ref="AK52:AK57" si="20">R52+S52-L52-M52-N52-O52</f>
        <v>0</v>
      </c>
      <c r="AL52" s="1140"/>
      <c r="AM52" s="355"/>
      <c r="AN52" s="698" t="s">
        <v>1349</v>
      </c>
      <c r="AO52" s="356">
        <v>5</v>
      </c>
      <c r="AP52" s="356">
        <v>1</v>
      </c>
      <c r="AQ52" s="814">
        <v>3</v>
      </c>
      <c r="AR52" s="426"/>
      <c r="AS52" s="148"/>
      <c r="AT52" s="580"/>
      <c r="AU52" s="914"/>
      <c r="AV52" s="914"/>
      <c r="AW52" s="772" t="s">
        <v>1561</v>
      </c>
      <c r="AX52" s="360" t="s">
        <v>1281</v>
      </c>
      <c r="AY52" s="390">
        <v>0</v>
      </c>
      <c r="AZ52" s="390">
        <v>1</v>
      </c>
      <c r="BA52" s="460"/>
      <c r="BB52" s="354"/>
      <c r="BC52" s="354"/>
      <c r="BD52" s="354"/>
      <c r="BE52" s="354"/>
      <c r="BF52" s="354"/>
      <c r="BG52" s="460"/>
      <c r="BH52" s="460"/>
      <c r="BI52" s="460"/>
      <c r="BJ52" s="419">
        <v>0</v>
      </c>
    </row>
    <row r="53" spans="1:62" ht="25.5" hidden="1" x14ac:dyDescent="0.25">
      <c r="A53" s="690" t="s">
        <v>875</v>
      </c>
      <c r="B53" s="413" t="s">
        <v>1230</v>
      </c>
      <c r="C53" s="414">
        <v>2019</v>
      </c>
      <c r="D53" s="414" t="s">
        <v>1265</v>
      </c>
      <c r="E53" s="414" t="s">
        <v>876</v>
      </c>
      <c r="F53" s="414" t="s">
        <v>876</v>
      </c>
      <c r="G53" s="691" t="s">
        <v>877</v>
      </c>
      <c r="H53" s="692">
        <v>300</v>
      </c>
      <c r="I53" s="692">
        <v>9</v>
      </c>
      <c r="J53" s="419">
        <v>0</v>
      </c>
      <c r="K53" s="697">
        <v>0</v>
      </c>
      <c r="L53" s="547">
        <v>0</v>
      </c>
      <c r="M53" s="793">
        <v>0</v>
      </c>
      <c r="N53" s="546">
        <v>0</v>
      </c>
      <c r="O53" s="548">
        <v>0</v>
      </c>
      <c r="P53" s="545">
        <v>0</v>
      </c>
      <c r="Q53" s="676">
        <v>0</v>
      </c>
      <c r="R53" s="376">
        <f t="shared" si="17"/>
        <v>0</v>
      </c>
      <c r="S53" s="836">
        <v>0</v>
      </c>
      <c r="T53" s="359">
        <v>0</v>
      </c>
      <c r="U53" s="677">
        <v>300</v>
      </c>
      <c r="V53" s="677"/>
      <c r="W53" s="677"/>
      <c r="X53" s="693">
        <v>0</v>
      </c>
      <c r="Y53" s="693">
        <v>0</v>
      </c>
      <c r="Z53" s="693">
        <v>0</v>
      </c>
      <c r="AA53" s="358" t="s">
        <v>1562</v>
      </c>
      <c r="AB53" s="8" t="s">
        <v>1300</v>
      </c>
      <c r="AC53" s="427" t="s">
        <v>369</v>
      </c>
      <c r="AD53" s="429" t="s">
        <v>1282</v>
      </c>
      <c r="AE53" s="409" t="s">
        <v>1282</v>
      </c>
      <c r="AF53" s="721"/>
      <c r="AH53" s="633">
        <f t="shared" si="16"/>
        <v>0</v>
      </c>
      <c r="AI53" s="351">
        <f t="shared" si="18"/>
        <v>0</v>
      </c>
      <c r="AJ53" s="553">
        <f t="shared" si="19"/>
        <v>0</v>
      </c>
      <c r="AK53" s="509">
        <f t="shared" si="20"/>
        <v>0</v>
      </c>
      <c r="AL53" s="1140"/>
      <c r="AM53" s="355"/>
      <c r="AN53" s="698" t="s">
        <v>1349</v>
      </c>
      <c r="AO53" s="820">
        <v>5</v>
      </c>
      <c r="AP53" s="356">
        <v>1</v>
      </c>
      <c r="AQ53" s="815">
        <v>3</v>
      </c>
      <c r="AR53" s="426"/>
      <c r="AS53" s="148"/>
      <c r="AT53" s="580"/>
      <c r="AU53" s="914"/>
      <c r="AV53" s="914"/>
      <c r="AW53" s="771" t="s">
        <v>1562</v>
      </c>
      <c r="AX53" s="360" t="s">
        <v>1353</v>
      </c>
      <c r="AY53" s="390">
        <v>0</v>
      </c>
      <c r="AZ53" s="390">
        <v>1</v>
      </c>
      <c r="BA53" s="460"/>
      <c r="BB53" s="354"/>
      <c r="BC53" s="354"/>
      <c r="BD53" s="354"/>
      <c r="BE53" s="354"/>
      <c r="BF53" s="354"/>
      <c r="BG53" s="460"/>
      <c r="BH53" s="460"/>
      <c r="BI53" s="460"/>
      <c r="BJ53" s="411">
        <v>0</v>
      </c>
    </row>
    <row r="54" spans="1:62" ht="25.5" hidden="1" x14ac:dyDescent="0.25">
      <c r="A54" s="690" t="s">
        <v>878</v>
      </c>
      <c r="B54" s="413" t="s">
        <v>1230</v>
      </c>
      <c r="C54" s="414">
        <v>2019</v>
      </c>
      <c r="D54" s="414" t="s">
        <v>1265</v>
      </c>
      <c r="E54" s="414" t="s">
        <v>879</v>
      </c>
      <c r="F54" s="414" t="s">
        <v>879</v>
      </c>
      <c r="G54" s="691" t="s">
        <v>837</v>
      </c>
      <c r="H54" s="692">
        <v>400</v>
      </c>
      <c r="I54" s="692">
        <v>3</v>
      </c>
      <c r="J54" s="419">
        <v>0</v>
      </c>
      <c r="K54" s="695">
        <v>0</v>
      </c>
      <c r="L54" s="547">
        <v>0</v>
      </c>
      <c r="M54" s="793">
        <v>0</v>
      </c>
      <c r="N54" s="546">
        <v>0</v>
      </c>
      <c r="O54" s="548">
        <v>0</v>
      </c>
      <c r="P54" s="545">
        <v>0</v>
      </c>
      <c r="Q54" s="676">
        <v>0</v>
      </c>
      <c r="R54" s="376">
        <f t="shared" si="17"/>
        <v>0</v>
      </c>
      <c r="S54" s="836">
        <v>0</v>
      </c>
      <c r="T54" s="359">
        <v>0</v>
      </c>
      <c r="U54" s="677">
        <v>400</v>
      </c>
      <c r="V54" s="677"/>
      <c r="W54" s="677"/>
      <c r="X54" s="693">
        <v>0</v>
      </c>
      <c r="Y54" s="693">
        <v>0</v>
      </c>
      <c r="Z54" s="693">
        <v>0</v>
      </c>
      <c r="AA54" s="414" t="s">
        <v>1563</v>
      </c>
      <c r="AB54" s="414" t="s">
        <v>1300</v>
      </c>
      <c r="AC54" s="422" t="s">
        <v>1209</v>
      </c>
      <c r="AD54" s="494" t="s">
        <v>1282</v>
      </c>
      <c r="AE54" s="422" t="s">
        <v>1282</v>
      </c>
      <c r="AF54" s="722"/>
      <c r="AH54" s="633">
        <f t="shared" si="16"/>
        <v>0</v>
      </c>
      <c r="AI54" s="351">
        <f t="shared" si="18"/>
        <v>0</v>
      </c>
      <c r="AJ54" s="553">
        <f t="shared" si="19"/>
        <v>0</v>
      </c>
      <c r="AK54" s="509">
        <f t="shared" si="20"/>
        <v>0</v>
      </c>
      <c r="AL54" s="1140"/>
      <c r="AM54" s="355"/>
      <c r="AN54" s="698" t="s">
        <v>1349</v>
      </c>
      <c r="AO54" s="356">
        <v>5</v>
      </c>
      <c r="AP54" s="356">
        <v>1</v>
      </c>
      <c r="AQ54" s="814">
        <v>3</v>
      </c>
      <c r="AR54" s="426"/>
      <c r="AS54" s="148"/>
      <c r="AT54" s="580"/>
      <c r="AU54" s="914"/>
      <c r="AV54" s="914"/>
      <c r="AW54" s="772" t="s">
        <v>1563</v>
      </c>
      <c r="AX54" s="360" t="s">
        <v>1281</v>
      </c>
      <c r="AY54" s="390">
        <v>0</v>
      </c>
      <c r="AZ54" s="390">
        <v>1</v>
      </c>
      <c r="BA54" s="460"/>
      <c r="BB54" s="354"/>
      <c r="BC54" s="354"/>
      <c r="BD54" s="354"/>
      <c r="BE54" s="354"/>
      <c r="BF54" s="354"/>
      <c r="BG54" s="460"/>
      <c r="BH54" s="460"/>
      <c r="BI54" s="460"/>
      <c r="BJ54" s="419">
        <v>0</v>
      </c>
    </row>
    <row r="55" spans="1:62" ht="30" hidden="1" x14ac:dyDescent="0.25">
      <c r="A55" s="690" t="s">
        <v>892</v>
      </c>
      <c r="B55" s="690" t="s">
        <v>1230</v>
      </c>
      <c r="C55" s="414">
        <v>2019</v>
      </c>
      <c r="D55" s="414" t="s">
        <v>1265</v>
      </c>
      <c r="E55" s="414" t="s">
        <v>840</v>
      </c>
      <c r="F55" s="414" t="s">
        <v>840</v>
      </c>
      <c r="G55" s="691" t="s">
        <v>893</v>
      </c>
      <c r="H55" s="692">
        <v>200</v>
      </c>
      <c r="I55" s="692">
        <v>8</v>
      </c>
      <c r="J55" s="419">
        <v>0</v>
      </c>
      <c r="K55" s="697">
        <v>0</v>
      </c>
      <c r="L55" s="547">
        <v>0</v>
      </c>
      <c r="M55" s="793">
        <v>0</v>
      </c>
      <c r="N55" s="546">
        <v>0</v>
      </c>
      <c r="O55" s="548">
        <v>0</v>
      </c>
      <c r="P55" s="545">
        <v>0</v>
      </c>
      <c r="Q55" s="676">
        <v>0</v>
      </c>
      <c r="R55" s="376">
        <f t="shared" si="17"/>
        <v>0</v>
      </c>
      <c r="S55" s="836">
        <v>0</v>
      </c>
      <c r="T55" s="359">
        <v>0</v>
      </c>
      <c r="U55" s="677">
        <v>200</v>
      </c>
      <c r="V55" s="677"/>
      <c r="W55" s="677"/>
      <c r="X55" s="693">
        <v>0</v>
      </c>
      <c r="Y55" s="693">
        <v>0</v>
      </c>
      <c r="Z55" s="693">
        <v>0</v>
      </c>
      <c r="AA55" s="358" t="s">
        <v>1629</v>
      </c>
      <c r="AB55" s="8" t="s">
        <v>1300</v>
      </c>
      <c r="AC55" s="427" t="s">
        <v>369</v>
      </c>
      <c r="AD55" s="429" t="s">
        <v>1282</v>
      </c>
      <c r="AE55" s="409" t="s">
        <v>1282</v>
      </c>
      <c r="AF55" s="721"/>
      <c r="AH55" s="633">
        <f t="shared" si="16"/>
        <v>0</v>
      </c>
      <c r="AI55" s="351">
        <f t="shared" si="18"/>
        <v>0</v>
      </c>
      <c r="AJ55" s="553">
        <f t="shared" si="19"/>
        <v>0</v>
      </c>
      <c r="AK55" s="509">
        <f t="shared" si="20"/>
        <v>0</v>
      </c>
      <c r="AL55" s="1140"/>
      <c r="AM55" s="355"/>
      <c r="AN55" s="698" t="s">
        <v>1349</v>
      </c>
      <c r="AO55" s="820">
        <v>5</v>
      </c>
      <c r="AP55" s="356">
        <v>1</v>
      </c>
      <c r="AQ55" s="815">
        <v>3</v>
      </c>
      <c r="AR55" s="426"/>
      <c r="AS55" s="148"/>
      <c r="AT55" s="580"/>
      <c r="AU55" s="914"/>
      <c r="AV55" s="914"/>
      <c r="AW55" s="771" t="s">
        <v>1567</v>
      </c>
      <c r="AX55" s="360" t="s">
        <v>1281</v>
      </c>
      <c r="AY55" s="390">
        <v>0</v>
      </c>
      <c r="AZ55" s="390">
        <v>1</v>
      </c>
      <c r="BA55" s="460"/>
      <c r="BB55" s="354"/>
      <c r="BC55" s="354"/>
      <c r="BD55" s="354"/>
      <c r="BE55" s="354"/>
      <c r="BF55" s="354"/>
      <c r="BG55" s="460"/>
      <c r="BH55" s="460"/>
      <c r="BI55" s="460"/>
      <c r="BJ55" s="411">
        <v>0</v>
      </c>
    </row>
    <row r="56" spans="1:62" ht="25.5" hidden="1" x14ac:dyDescent="0.25">
      <c r="A56" s="690" t="s">
        <v>894</v>
      </c>
      <c r="B56" s="690" t="s">
        <v>1230</v>
      </c>
      <c r="C56" s="414">
        <v>2019</v>
      </c>
      <c r="D56" s="414" t="s">
        <v>1265</v>
      </c>
      <c r="E56" s="414" t="s">
        <v>318</v>
      </c>
      <c r="F56" s="414" t="s">
        <v>318</v>
      </c>
      <c r="G56" s="691" t="s">
        <v>897</v>
      </c>
      <c r="H56" s="692">
        <v>490</v>
      </c>
      <c r="I56" s="692">
        <v>8</v>
      </c>
      <c r="J56" s="419">
        <v>0</v>
      </c>
      <c r="K56" s="697">
        <v>0</v>
      </c>
      <c r="L56" s="547">
        <v>0</v>
      </c>
      <c r="M56" s="793">
        <v>0</v>
      </c>
      <c r="N56" s="546">
        <v>0</v>
      </c>
      <c r="O56" s="548">
        <v>0</v>
      </c>
      <c r="P56" s="545">
        <v>0</v>
      </c>
      <c r="Q56" s="676">
        <v>0</v>
      </c>
      <c r="R56" s="376">
        <f t="shared" si="17"/>
        <v>0</v>
      </c>
      <c r="S56" s="836">
        <v>0</v>
      </c>
      <c r="T56" s="359">
        <v>0</v>
      </c>
      <c r="U56" s="677">
        <v>490</v>
      </c>
      <c r="V56" s="677"/>
      <c r="W56" s="677"/>
      <c r="X56" s="693">
        <v>0</v>
      </c>
      <c r="Y56" s="693">
        <v>0</v>
      </c>
      <c r="Z56" s="693">
        <v>0</v>
      </c>
      <c r="AA56" s="358" t="s">
        <v>1629</v>
      </c>
      <c r="AB56" s="8" t="s">
        <v>1300</v>
      </c>
      <c r="AC56" s="427" t="s">
        <v>369</v>
      </c>
      <c r="AD56" s="429" t="s">
        <v>1282</v>
      </c>
      <c r="AE56" s="409" t="s">
        <v>1282</v>
      </c>
      <c r="AF56" s="721"/>
      <c r="AH56" s="633">
        <f t="shared" si="16"/>
        <v>0</v>
      </c>
      <c r="AI56" s="351">
        <f t="shared" si="18"/>
        <v>0</v>
      </c>
      <c r="AJ56" s="553">
        <f t="shared" si="19"/>
        <v>0</v>
      </c>
      <c r="AK56" s="509">
        <f t="shared" si="20"/>
        <v>0</v>
      </c>
      <c r="AL56" s="1140"/>
      <c r="AM56" s="355"/>
      <c r="AN56" s="698" t="s">
        <v>1349</v>
      </c>
      <c r="AO56" s="820">
        <v>5</v>
      </c>
      <c r="AP56" s="356">
        <v>1</v>
      </c>
      <c r="AQ56" s="815">
        <v>3</v>
      </c>
      <c r="AR56" s="426">
        <v>2</v>
      </c>
      <c r="AS56" s="148"/>
      <c r="AT56" s="580"/>
      <c r="AU56" s="914"/>
      <c r="AV56" s="914"/>
      <c r="AW56" s="771" t="s">
        <v>1567</v>
      </c>
      <c r="AX56" s="360" t="s">
        <v>1281</v>
      </c>
      <c r="AY56" s="390">
        <v>0</v>
      </c>
      <c r="AZ56" s="390">
        <v>1</v>
      </c>
      <c r="BA56" s="460"/>
      <c r="BB56" s="354"/>
      <c r="BC56" s="354"/>
      <c r="BD56" s="354"/>
      <c r="BE56" s="354"/>
      <c r="BF56" s="354"/>
      <c r="BG56" s="460"/>
      <c r="BH56" s="460"/>
      <c r="BI56" s="460"/>
      <c r="BJ56" s="411">
        <v>0</v>
      </c>
    </row>
    <row r="57" spans="1:62" ht="38.25" hidden="1" x14ac:dyDescent="0.25">
      <c r="A57" s="690" t="s">
        <v>1368</v>
      </c>
      <c r="B57" s="690" t="s">
        <v>1230</v>
      </c>
      <c r="C57" s="414">
        <v>2019</v>
      </c>
      <c r="D57" s="414" t="s">
        <v>1485</v>
      </c>
      <c r="E57" s="414" t="s">
        <v>1369</v>
      </c>
      <c r="F57" s="425" t="s">
        <v>1369</v>
      </c>
      <c r="G57" s="694" t="s">
        <v>883</v>
      </c>
      <c r="H57" s="692">
        <v>0</v>
      </c>
      <c r="I57" s="2637">
        <v>3</v>
      </c>
      <c r="J57" s="695">
        <v>0</v>
      </c>
      <c r="K57" s="695">
        <v>0</v>
      </c>
      <c r="L57" s="547">
        <v>0</v>
      </c>
      <c r="M57" s="793">
        <v>0</v>
      </c>
      <c r="N57" s="546">
        <v>0</v>
      </c>
      <c r="O57" s="548">
        <v>0</v>
      </c>
      <c r="P57" s="545">
        <v>0</v>
      </c>
      <c r="Q57" s="676">
        <v>0</v>
      </c>
      <c r="R57" s="337">
        <f t="shared" si="17"/>
        <v>0</v>
      </c>
      <c r="S57" s="836">
        <v>0</v>
      </c>
      <c r="T57" s="420">
        <v>0</v>
      </c>
      <c r="U57" s="677">
        <v>0</v>
      </c>
      <c r="V57" s="677"/>
      <c r="W57" s="677"/>
      <c r="X57" s="693">
        <v>0</v>
      </c>
      <c r="Y57" s="693">
        <v>0</v>
      </c>
      <c r="Z57" s="696">
        <v>0</v>
      </c>
      <c r="AA57" s="425" t="s">
        <v>1630</v>
      </c>
      <c r="AB57" s="75" t="s">
        <v>1300</v>
      </c>
      <c r="AC57" s="422" t="s">
        <v>1350</v>
      </c>
      <c r="AD57" s="494" t="s">
        <v>1282</v>
      </c>
      <c r="AE57" s="422" t="s">
        <v>1282</v>
      </c>
      <c r="AF57" s="722"/>
      <c r="AH57" s="633">
        <f t="shared" si="16"/>
        <v>0</v>
      </c>
      <c r="AI57" s="351">
        <f t="shared" si="18"/>
        <v>0</v>
      </c>
      <c r="AJ57" s="553">
        <f t="shared" si="19"/>
        <v>0</v>
      </c>
      <c r="AK57" s="509">
        <f t="shared" si="20"/>
        <v>0</v>
      </c>
      <c r="AL57" s="1140"/>
      <c r="AM57" s="355"/>
      <c r="AN57" s="698" t="s">
        <v>1349</v>
      </c>
      <c r="AO57" s="356">
        <v>5</v>
      </c>
      <c r="AP57" s="356">
        <v>2</v>
      </c>
      <c r="AQ57" s="814">
        <v>3</v>
      </c>
      <c r="AR57" s="426"/>
      <c r="AS57" s="148"/>
      <c r="AT57" s="580" t="s">
        <v>1724</v>
      </c>
      <c r="AU57" s="914"/>
      <c r="AV57" s="914"/>
      <c r="AW57" s="768" t="s">
        <v>1568</v>
      </c>
      <c r="AX57" s="572" t="s">
        <v>1366</v>
      </c>
      <c r="AY57" s="390"/>
      <c r="AZ57" s="390"/>
      <c r="BA57" s="460"/>
      <c r="BB57" s="354"/>
      <c r="BC57" s="354"/>
      <c r="BD57" s="354"/>
      <c r="BE57" s="354"/>
      <c r="BF57" s="354"/>
      <c r="BG57" s="1100"/>
      <c r="BH57" s="1100"/>
      <c r="BI57" s="1100"/>
      <c r="BJ57" s="695">
        <v>0</v>
      </c>
    </row>
    <row r="58" spans="1:62" s="180" customFormat="1" hidden="1" thickBot="1" x14ac:dyDescent="0.25">
      <c r="A58" s="89"/>
      <c r="B58" s="587"/>
      <c r="C58" s="588"/>
      <c r="D58" s="588"/>
      <c r="E58" s="588"/>
      <c r="F58" s="594"/>
      <c r="G58" s="610"/>
      <c r="H58" s="590"/>
      <c r="I58" s="590"/>
      <c r="J58" s="613"/>
      <c r="K58" s="591"/>
      <c r="L58" s="280"/>
      <c r="M58" s="592"/>
      <c r="N58" s="280"/>
      <c r="O58" s="530"/>
      <c r="P58" s="280"/>
      <c r="Q58" s="11"/>
      <c r="R58" s="280"/>
      <c r="S58" s="614"/>
      <c r="T58" s="846"/>
      <c r="U58" s="615"/>
      <c r="V58" s="615"/>
      <c r="W58" s="615"/>
      <c r="X58" s="280"/>
      <c r="Y58" s="622"/>
      <c r="Z58" s="530"/>
      <c r="AA58" s="594"/>
      <c r="AB58" s="588"/>
      <c r="AC58" s="595"/>
      <c r="AD58" s="584"/>
      <c r="AE58" s="584"/>
      <c r="AF58" s="584"/>
      <c r="AH58" s="633">
        <f t="shared" si="16"/>
        <v>0</v>
      </c>
      <c r="AI58" s="605"/>
      <c r="AJ58" s="120"/>
      <c r="AK58" s="634"/>
      <c r="AL58" s="120"/>
      <c r="AM58" s="496"/>
      <c r="AN58" s="175" t="s">
        <v>1349</v>
      </c>
      <c r="AO58" s="175">
        <v>5</v>
      </c>
      <c r="AP58" s="175"/>
      <c r="AQ58" s="175"/>
      <c r="AR58" s="1175"/>
      <c r="AS58" s="148"/>
      <c r="AY58" s="66"/>
      <c r="AZ58" s="66"/>
      <c r="BB58" s="1134"/>
      <c r="BC58" s="1134"/>
      <c r="BD58" s="1134"/>
      <c r="BE58" s="1134"/>
      <c r="BF58" s="1134"/>
    </row>
    <row r="59" spans="1:62" ht="32.25" hidden="1" thickBot="1" x14ac:dyDescent="0.3">
      <c r="A59" s="430" t="s">
        <v>1209</v>
      </c>
      <c r="B59" s="122" t="s">
        <v>1209</v>
      </c>
      <c r="C59" s="140" t="s">
        <v>1209</v>
      </c>
      <c r="D59" s="140" t="s">
        <v>1209</v>
      </c>
      <c r="E59" s="210" t="s">
        <v>1209</v>
      </c>
      <c r="F59" s="211" t="s">
        <v>1209</v>
      </c>
      <c r="G59" s="220" t="s">
        <v>1518</v>
      </c>
      <c r="H59" s="113">
        <f t="shared" ref="H59:U59" si="21">SUM(H33:H58)</f>
        <v>55005.222979999999</v>
      </c>
      <c r="I59" s="113"/>
      <c r="J59" s="113">
        <f t="shared" si="21"/>
        <v>28845.752980000001</v>
      </c>
      <c r="K59" s="113">
        <f t="shared" si="21"/>
        <v>0</v>
      </c>
      <c r="L59" s="113">
        <f t="shared" si="21"/>
        <v>0</v>
      </c>
      <c r="M59" s="113">
        <f t="shared" si="21"/>
        <v>0</v>
      </c>
      <c r="N59" s="113">
        <f t="shared" si="21"/>
        <v>0</v>
      </c>
      <c r="O59" s="113">
        <f t="shared" si="21"/>
        <v>0</v>
      </c>
      <c r="P59" s="113">
        <f t="shared" si="21"/>
        <v>2156.9588599999997</v>
      </c>
      <c r="Q59" s="113">
        <f t="shared" si="21"/>
        <v>-2156.9588599999997</v>
      </c>
      <c r="R59" s="113">
        <f t="shared" si="21"/>
        <v>0</v>
      </c>
      <c r="S59" s="113">
        <f t="shared" si="21"/>
        <v>0</v>
      </c>
      <c r="T59" s="113">
        <f t="shared" si="21"/>
        <v>4933</v>
      </c>
      <c r="U59" s="113">
        <f t="shared" si="21"/>
        <v>21226.47</v>
      </c>
      <c r="V59" s="113"/>
      <c r="W59" s="113"/>
      <c r="X59" s="113">
        <f>SUM(X33:X58)</f>
        <v>0</v>
      </c>
      <c r="Y59" s="113">
        <f>SUM(Y33:Y58)</f>
        <v>0</v>
      </c>
      <c r="Z59" s="113">
        <f>SUM(Z33:Z58)</f>
        <v>0</v>
      </c>
      <c r="AA59" s="165" t="s">
        <v>1209</v>
      </c>
      <c r="AB59" s="114" t="s">
        <v>1209</v>
      </c>
      <c r="AC59" s="122" t="s">
        <v>1209</v>
      </c>
      <c r="AD59" s="114" t="s">
        <v>1209</v>
      </c>
      <c r="AE59" s="122" t="s">
        <v>1209</v>
      </c>
      <c r="AF59" s="114" t="s">
        <v>1209</v>
      </c>
      <c r="AH59" s="633">
        <f t="shared" si="16"/>
        <v>-3.637978807091713E-12</v>
      </c>
      <c r="AI59" s="605">
        <f t="shared" si="1"/>
        <v>0</v>
      </c>
      <c r="AJ59" s="120">
        <f t="shared" ref="AJ59:AJ71" si="22">K59-R59</f>
        <v>0</v>
      </c>
      <c r="AK59" s="634">
        <f t="shared" si="4"/>
        <v>0</v>
      </c>
      <c r="AL59" s="120"/>
      <c r="AM59" s="1176">
        <v>1</v>
      </c>
      <c r="AN59" s="175" t="s">
        <v>1349</v>
      </c>
      <c r="AO59" s="248">
        <v>5</v>
      </c>
      <c r="AP59" s="248"/>
      <c r="AQ59" s="248"/>
      <c r="AR59" s="1175"/>
      <c r="AS59" s="148"/>
      <c r="AY59" s="66"/>
      <c r="AZ59" s="66"/>
      <c r="BB59" s="1134"/>
      <c r="BC59" s="1134"/>
      <c r="BD59" s="1134"/>
      <c r="BE59" s="1134"/>
      <c r="BF59" s="1134"/>
    </row>
    <row r="60" spans="1:62" s="179" customFormat="1" ht="25.5" x14ac:dyDescent="0.2">
      <c r="A60" s="82" t="s">
        <v>339</v>
      </c>
      <c r="B60" s="144" t="s">
        <v>340</v>
      </c>
      <c r="C60" s="75">
        <v>2013</v>
      </c>
      <c r="D60" s="75" t="s">
        <v>341</v>
      </c>
      <c r="E60" s="76" t="s">
        <v>342</v>
      </c>
      <c r="F60" s="77" t="s">
        <v>342</v>
      </c>
      <c r="G60" s="228" t="s">
        <v>343</v>
      </c>
      <c r="H60" s="25">
        <v>200</v>
      </c>
      <c r="I60" s="25"/>
      <c r="J60" s="25">
        <v>200</v>
      </c>
      <c r="K60" s="172"/>
      <c r="L60" s="27">
        <v>0</v>
      </c>
      <c r="M60" s="40">
        <v>0</v>
      </c>
      <c r="N60" s="27">
        <v>0</v>
      </c>
      <c r="O60" s="26">
        <v>0</v>
      </c>
      <c r="P60" s="27">
        <v>0</v>
      </c>
      <c r="Q60" s="1117">
        <v>0</v>
      </c>
      <c r="R60" s="27">
        <f t="shared" ref="R60:R70" si="23">P60+Q60</f>
        <v>0</v>
      </c>
      <c r="S60" s="27">
        <v>0</v>
      </c>
      <c r="T60" s="26"/>
      <c r="U60" s="26">
        <v>0</v>
      </c>
      <c r="V60" s="26"/>
      <c r="W60" s="26"/>
      <c r="X60" s="27">
        <v>0</v>
      </c>
      <c r="Y60" s="378">
        <v>0</v>
      </c>
      <c r="Z60" s="41"/>
      <c r="AA60" s="143" t="s">
        <v>344</v>
      </c>
      <c r="AB60" s="191" t="s">
        <v>1256</v>
      </c>
      <c r="AC60" s="74" t="s">
        <v>1209</v>
      </c>
      <c r="AD60" s="584"/>
      <c r="AE60" s="584"/>
      <c r="AF60" s="584"/>
      <c r="AH60" s="633">
        <f t="shared" si="16"/>
        <v>0</v>
      </c>
      <c r="AI60" s="605">
        <f t="shared" si="1"/>
        <v>0</v>
      </c>
      <c r="AJ60" s="120">
        <f t="shared" si="22"/>
        <v>0</v>
      </c>
      <c r="AK60" s="634">
        <f t="shared" si="4"/>
        <v>0</v>
      </c>
      <c r="AL60" s="120"/>
      <c r="AM60" s="338"/>
      <c r="AN60" s="175" t="s">
        <v>338</v>
      </c>
      <c r="AO60" s="175">
        <v>6</v>
      </c>
      <c r="AP60" s="175"/>
      <c r="AQ60" s="248">
        <v>1</v>
      </c>
      <c r="AR60" s="1175"/>
      <c r="AS60" s="148"/>
      <c r="AY60" s="66"/>
      <c r="AZ60" s="66"/>
      <c r="BB60" s="1134"/>
      <c r="BC60" s="1134"/>
      <c r="BD60" s="1134"/>
      <c r="BE60" s="1134"/>
      <c r="BF60" s="1134"/>
    </row>
    <row r="61" spans="1:62" s="179" customFormat="1" ht="25.5" x14ac:dyDescent="0.2">
      <c r="A61" s="82" t="s">
        <v>345</v>
      </c>
      <c r="B61" s="144" t="s">
        <v>346</v>
      </c>
      <c r="C61" s="75">
        <v>2016</v>
      </c>
      <c r="D61" s="75" t="s">
        <v>40</v>
      </c>
      <c r="E61" s="76" t="s">
        <v>347</v>
      </c>
      <c r="F61" s="84" t="s">
        <v>347</v>
      </c>
      <c r="G61" s="228" t="s">
        <v>348</v>
      </c>
      <c r="H61" s="25">
        <v>199.976</v>
      </c>
      <c r="I61" s="25"/>
      <c r="J61" s="25">
        <v>199.976</v>
      </c>
      <c r="K61" s="172"/>
      <c r="L61" s="27">
        <v>0</v>
      </c>
      <c r="M61" s="40">
        <v>0</v>
      </c>
      <c r="N61" s="27">
        <v>0</v>
      </c>
      <c r="O61" s="26">
        <v>0</v>
      </c>
      <c r="P61" s="27">
        <v>0</v>
      </c>
      <c r="Q61" s="1117">
        <v>0</v>
      </c>
      <c r="R61" s="45">
        <f t="shared" si="23"/>
        <v>0</v>
      </c>
      <c r="S61" s="27">
        <v>0</v>
      </c>
      <c r="T61" s="26"/>
      <c r="U61" s="26">
        <v>0</v>
      </c>
      <c r="V61" s="26"/>
      <c r="W61" s="26"/>
      <c r="X61" s="27">
        <v>0</v>
      </c>
      <c r="Y61" s="378">
        <v>0</v>
      </c>
      <c r="Z61" s="41"/>
      <c r="AA61" s="143" t="s">
        <v>344</v>
      </c>
      <c r="AB61" s="191" t="s">
        <v>1256</v>
      </c>
      <c r="AC61" s="74" t="s">
        <v>1209</v>
      </c>
      <c r="AD61" s="584"/>
      <c r="AE61" s="584"/>
      <c r="AF61" s="584"/>
      <c r="AH61" s="633">
        <f t="shared" si="16"/>
        <v>0</v>
      </c>
      <c r="AI61" s="605">
        <f t="shared" si="1"/>
        <v>0</v>
      </c>
      <c r="AJ61" s="120">
        <f t="shared" si="22"/>
        <v>0</v>
      </c>
      <c r="AK61" s="634">
        <f t="shared" si="4"/>
        <v>0</v>
      </c>
      <c r="AL61" s="120"/>
      <c r="AM61" s="338"/>
      <c r="AN61" s="175" t="s">
        <v>338</v>
      </c>
      <c r="AO61" s="175">
        <v>6</v>
      </c>
      <c r="AP61" s="175"/>
      <c r="AQ61" s="248">
        <v>1</v>
      </c>
      <c r="AR61" s="1175"/>
      <c r="AS61" s="148"/>
      <c r="AY61" s="66"/>
      <c r="AZ61" s="66"/>
      <c r="BB61" s="1134"/>
      <c r="BC61" s="1134"/>
      <c r="BD61" s="1134"/>
      <c r="BE61" s="1134"/>
      <c r="BF61" s="1134"/>
    </row>
    <row r="62" spans="1:62" s="1013" customFormat="1" ht="30" hidden="1" x14ac:dyDescent="0.25">
      <c r="A62" s="992" t="s">
        <v>349</v>
      </c>
      <c r="B62" s="993" t="s">
        <v>350</v>
      </c>
      <c r="C62" s="994">
        <v>2016</v>
      </c>
      <c r="D62" s="994" t="s">
        <v>1711</v>
      </c>
      <c r="E62" s="995" t="s">
        <v>351</v>
      </c>
      <c r="F62" s="996" t="s">
        <v>351</v>
      </c>
      <c r="G62" s="997" t="s">
        <v>352</v>
      </c>
      <c r="H62" s="998">
        <v>1584</v>
      </c>
      <c r="I62" s="998">
        <v>1</v>
      </c>
      <c r="J62" s="998">
        <v>1584</v>
      </c>
      <c r="K62" s="999">
        <v>0</v>
      </c>
      <c r="L62" s="1000">
        <v>0</v>
      </c>
      <c r="M62" s="1001">
        <v>0</v>
      </c>
      <c r="N62" s="1002">
        <v>0</v>
      </c>
      <c r="O62" s="1003">
        <v>0</v>
      </c>
      <c r="P62" s="1004">
        <v>216</v>
      </c>
      <c r="Q62" s="676">
        <v>-216</v>
      </c>
      <c r="R62" s="1005">
        <f>P62+Q62</f>
        <v>0</v>
      </c>
      <c r="S62" s="1006">
        <v>0</v>
      </c>
      <c r="T62" s="1007">
        <v>0</v>
      </c>
      <c r="U62" s="1008">
        <v>0</v>
      </c>
      <c r="V62" s="1008"/>
      <c r="W62" s="1008"/>
      <c r="X62" s="1009">
        <v>0</v>
      </c>
      <c r="Y62" s="1010">
        <v>0</v>
      </c>
      <c r="Z62" s="969">
        <v>0</v>
      </c>
      <c r="AA62" s="994" t="s">
        <v>1916</v>
      </c>
      <c r="AB62" s="994" t="s">
        <v>1300</v>
      </c>
      <c r="AC62" s="1040" t="s">
        <v>1209</v>
      </c>
      <c r="AD62" s="1040" t="s">
        <v>1282</v>
      </c>
      <c r="AE62" s="1041" t="s">
        <v>1282</v>
      </c>
      <c r="AF62" s="722" t="s">
        <v>1447</v>
      </c>
      <c r="AH62" s="1011">
        <f t="shared" si="16"/>
        <v>0</v>
      </c>
      <c r="AI62" s="452">
        <f>R62-P62-Q62</f>
        <v>0</v>
      </c>
      <c r="AJ62" s="1012">
        <f>K62-R62</f>
        <v>0</v>
      </c>
      <c r="AK62" s="513">
        <f>R62+S62-L62-M62-N62-O62</f>
        <v>0</v>
      </c>
      <c r="AL62" s="1142"/>
      <c r="AM62" s="496"/>
      <c r="AN62" s="662" t="s">
        <v>338</v>
      </c>
      <c r="AO62" s="175">
        <v>6</v>
      </c>
      <c r="AP62" s="175"/>
      <c r="AQ62" s="814">
        <v>4</v>
      </c>
      <c r="AR62" s="1148">
        <v>3</v>
      </c>
      <c r="AS62" s="435"/>
      <c r="AT62" s="75" t="s">
        <v>1284</v>
      </c>
      <c r="AU62" s="75"/>
      <c r="AV62" s="994" t="s">
        <v>1866</v>
      </c>
      <c r="AW62" s="773" t="s">
        <v>1209</v>
      </c>
      <c r="AX62" s="143"/>
      <c r="AY62" s="436">
        <v>1</v>
      </c>
      <c r="AZ62" s="436">
        <v>0</v>
      </c>
      <c r="BA62" s="497"/>
      <c r="BB62" s="434"/>
      <c r="BC62" s="434"/>
      <c r="BD62" s="434"/>
      <c r="BE62" s="434"/>
      <c r="BF62" s="434"/>
      <c r="BG62" s="999">
        <v>0</v>
      </c>
      <c r="BH62" s="999"/>
      <c r="BI62" s="823">
        <v>0</v>
      </c>
      <c r="BJ62" s="42">
        <v>0</v>
      </c>
    </row>
    <row r="63" spans="1:62" s="206" customFormat="1" ht="38.25" x14ac:dyDescent="0.2">
      <c r="A63" s="82" t="s">
        <v>361</v>
      </c>
      <c r="B63" s="146" t="s">
        <v>362</v>
      </c>
      <c r="C63" s="83">
        <v>2017</v>
      </c>
      <c r="D63" s="75" t="s">
        <v>363</v>
      </c>
      <c r="E63" s="76" t="s">
        <v>342</v>
      </c>
      <c r="F63" s="84" t="s">
        <v>342</v>
      </c>
      <c r="G63" s="228" t="s">
        <v>364</v>
      </c>
      <c r="H63" s="25">
        <v>998.61300000000006</v>
      </c>
      <c r="I63" s="25"/>
      <c r="J63" s="25">
        <v>998.61300000000006</v>
      </c>
      <c r="K63" s="172"/>
      <c r="L63" s="27">
        <v>0</v>
      </c>
      <c r="M63" s="40">
        <v>0</v>
      </c>
      <c r="N63" s="27">
        <v>0</v>
      </c>
      <c r="O63" s="26">
        <v>0</v>
      </c>
      <c r="P63" s="27">
        <v>1.387</v>
      </c>
      <c r="Q63" s="1161">
        <v>-1.387</v>
      </c>
      <c r="R63" s="27">
        <f t="shared" si="23"/>
        <v>0</v>
      </c>
      <c r="S63" s="181">
        <v>0</v>
      </c>
      <c r="T63" s="606"/>
      <c r="U63" s="26">
        <v>0</v>
      </c>
      <c r="V63" s="26"/>
      <c r="W63" s="26"/>
      <c r="X63" s="27">
        <v>0</v>
      </c>
      <c r="Y63" s="378">
        <v>0</v>
      </c>
      <c r="Z63" s="41"/>
      <c r="AA63" s="143" t="s">
        <v>408</v>
      </c>
      <c r="AB63" s="191" t="s">
        <v>1256</v>
      </c>
      <c r="AC63" s="74" t="s">
        <v>1209</v>
      </c>
      <c r="AD63" s="584"/>
      <c r="AE63" s="584"/>
      <c r="AF63" s="584"/>
      <c r="AH63" s="633">
        <f t="shared" si="16"/>
        <v>0</v>
      </c>
      <c r="AI63" s="605">
        <f t="shared" si="1"/>
        <v>0</v>
      </c>
      <c r="AJ63" s="120">
        <f t="shared" si="22"/>
        <v>0</v>
      </c>
      <c r="AK63" s="634">
        <f t="shared" si="4"/>
        <v>0</v>
      </c>
      <c r="AL63" s="120"/>
      <c r="AM63" s="338"/>
      <c r="AN63" s="175" t="s">
        <v>338</v>
      </c>
      <c r="AO63" s="175">
        <v>6</v>
      </c>
      <c r="AP63" s="175"/>
      <c r="AQ63" s="248">
        <v>1</v>
      </c>
      <c r="AR63" s="1175"/>
      <c r="AS63" s="148"/>
      <c r="AY63" s="66"/>
      <c r="AZ63" s="66"/>
      <c r="BB63" s="1134"/>
      <c r="BC63" s="1134"/>
      <c r="BD63" s="1134"/>
      <c r="BE63" s="1134"/>
      <c r="BF63" s="1134"/>
    </row>
    <row r="64" spans="1:62" s="179" customFormat="1" ht="30" x14ac:dyDescent="0.2">
      <c r="A64" s="82" t="s">
        <v>377</v>
      </c>
      <c r="B64" s="146" t="s">
        <v>378</v>
      </c>
      <c r="C64" s="83">
        <v>2017</v>
      </c>
      <c r="D64" s="75" t="s">
        <v>90</v>
      </c>
      <c r="E64" s="76" t="s">
        <v>365</v>
      </c>
      <c r="F64" s="84" t="s">
        <v>365</v>
      </c>
      <c r="G64" s="228" t="s">
        <v>379</v>
      </c>
      <c r="H64" s="25">
        <v>300</v>
      </c>
      <c r="I64" s="25"/>
      <c r="J64" s="25">
        <v>300</v>
      </c>
      <c r="K64" s="172"/>
      <c r="L64" s="27">
        <v>0</v>
      </c>
      <c r="M64" s="40">
        <v>0</v>
      </c>
      <c r="N64" s="27">
        <v>0</v>
      </c>
      <c r="O64" s="26">
        <v>0</v>
      </c>
      <c r="P64" s="27">
        <v>0</v>
      </c>
      <c r="Q64" s="1161">
        <v>0</v>
      </c>
      <c r="R64" s="27">
        <f t="shared" si="23"/>
        <v>0</v>
      </c>
      <c r="S64" s="181">
        <v>0</v>
      </c>
      <c r="T64" s="606"/>
      <c r="U64" s="26">
        <v>0</v>
      </c>
      <c r="V64" s="26"/>
      <c r="W64" s="26"/>
      <c r="X64" s="27">
        <v>0</v>
      </c>
      <c r="Y64" s="26">
        <v>0</v>
      </c>
      <c r="Z64" s="26"/>
      <c r="AA64" s="143" t="s">
        <v>1209</v>
      </c>
      <c r="AB64" s="191" t="s">
        <v>1256</v>
      </c>
      <c r="AC64" s="74" t="s">
        <v>1209</v>
      </c>
      <c r="AD64" s="584"/>
      <c r="AE64" s="584"/>
      <c r="AF64" s="584"/>
      <c r="AH64" s="633">
        <f t="shared" si="16"/>
        <v>0</v>
      </c>
      <c r="AI64" s="605">
        <f t="shared" si="1"/>
        <v>0</v>
      </c>
      <c r="AJ64" s="120">
        <f t="shared" si="22"/>
        <v>0</v>
      </c>
      <c r="AK64" s="634">
        <f t="shared" si="4"/>
        <v>0</v>
      </c>
      <c r="AL64" s="120"/>
      <c r="AM64" s="496"/>
      <c r="AN64" s="175" t="s">
        <v>338</v>
      </c>
      <c r="AO64" s="175">
        <v>6</v>
      </c>
      <c r="AP64" s="175"/>
      <c r="AQ64" s="248">
        <v>1</v>
      </c>
      <c r="AR64" s="1175"/>
      <c r="AS64" s="148"/>
      <c r="AY64" s="66"/>
      <c r="AZ64" s="66"/>
      <c r="BB64" s="1134"/>
      <c r="BC64" s="1134"/>
      <c r="BD64" s="1134"/>
      <c r="BE64" s="1134"/>
      <c r="BF64" s="1134"/>
    </row>
    <row r="65" spans="1:63" s="961" customFormat="1" ht="25.5" x14ac:dyDescent="0.25">
      <c r="A65" s="1247" t="s">
        <v>380</v>
      </c>
      <c r="B65" s="1248" t="s">
        <v>381</v>
      </c>
      <c r="C65" s="979">
        <v>2017</v>
      </c>
      <c r="D65" s="979" t="s">
        <v>1701</v>
      </c>
      <c r="E65" s="1249" t="s">
        <v>382</v>
      </c>
      <c r="F65" s="1250" t="s">
        <v>1306</v>
      </c>
      <c r="G65" s="1251" t="s">
        <v>383</v>
      </c>
      <c r="H65" s="1252">
        <v>187</v>
      </c>
      <c r="I65" s="990">
        <v>5</v>
      </c>
      <c r="J65" s="990">
        <v>187</v>
      </c>
      <c r="K65" s="980">
        <v>0</v>
      </c>
      <c r="L65" s="1253">
        <v>0</v>
      </c>
      <c r="M65" s="1253">
        <v>0</v>
      </c>
      <c r="N65" s="1253">
        <v>0</v>
      </c>
      <c r="O65" s="1254">
        <v>0</v>
      </c>
      <c r="P65" s="1255">
        <v>63</v>
      </c>
      <c r="Q65" s="1245">
        <v>-63</v>
      </c>
      <c r="R65" s="1256">
        <f>P65+Q65</f>
        <v>0</v>
      </c>
      <c r="S65" s="1257">
        <v>0</v>
      </c>
      <c r="T65" s="1258">
        <v>0</v>
      </c>
      <c r="U65" s="1259">
        <v>0</v>
      </c>
      <c r="V65" s="1260">
        <v>0</v>
      </c>
      <c r="W65" s="1261">
        <v>0</v>
      </c>
      <c r="X65" s="1259">
        <v>0</v>
      </c>
      <c r="Y65" s="1261">
        <v>0</v>
      </c>
      <c r="Z65" s="1262">
        <v>0</v>
      </c>
      <c r="AA65" s="569" t="s">
        <v>2179</v>
      </c>
      <c r="AB65" s="1263" t="s">
        <v>1329</v>
      </c>
      <c r="AC65" s="1263" t="s">
        <v>912</v>
      </c>
      <c r="AD65" s="1263" t="s">
        <v>1283</v>
      </c>
      <c r="AE65" s="1263" t="s">
        <v>1283</v>
      </c>
      <c r="AF65" s="1213" t="s">
        <v>1447</v>
      </c>
      <c r="AG65" s="1302">
        <v>5</v>
      </c>
      <c r="AH65" s="1214">
        <f t="shared" si="16"/>
        <v>0</v>
      </c>
      <c r="AI65" s="1215">
        <f>R65-P65-Q65</f>
        <v>0</v>
      </c>
      <c r="AJ65" s="1216">
        <f>K65-R65</f>
        <v>0</v>
      </c>
      <c r="AK65" s="1217">
        <f>R65+S65-L65-M65-N65-O65</f>
        <v>0</v>
      </c>
      <c r="AL65" s="1295"/>
      <c r="AM65" s="1218"/>
      <c r="AN65" s="1225" t="s">
        <v>338</v>
      </c>
      <c r="AO65" s="1219">
        <v>6</v>
      </c>
      <c r="AP65" s="1219"/>
      <c r="AQ65" s="1359">
        <v>5</v>
      </c>
      <c r="AR65" s="1296"/>
      <c r="AS65" s="484"/>
      <c r="AT65" s="919" t="s">
        <v>1796</v>
      </c>
      <c r="AU65" s="569" t="s">
        <v>2179</v>
      </c>
      <c r="AV65" s="1298" t="s">
        <v>1209</v>
      </c>
      <c r="AW65" s="1360" t="s">
        <v>1209</v>
      </c>
      <c r="AX65" s="1298" t="s">
        <v>1209</v>
      </c>
      <c r="AY65" s="485">
        <v>1</v>
      </c>
      <c r="AZ65" s="485">
        <v>0</v>
      </c>
      <c r="BA65" s="464"/>
      <c r="BB65" s="707"/>
      <c r="BC65" s="965">
        <v>0</v>
      </c>
      <c r="BD65" s="990"/>
      <c r="BE65" s="1297">
        <v>0</v>
      </c>
      <c r="BF65" s="1299">
        <v>0</v>
      </c>
      <c r="BG65" s="1300">
        <v>0</v>
      </c>
      <c r="BH65" s="1300"/>
      <c r="BI65" s="1300">
        <v>0</v>
      </c>
      <c r="BJ65" s="1301">
        <v>0</v>
      </c>
      <c r="BK65" s="961">
        <v>0</v>
      </c>
    </row>
    <row r="66" spans="1:63" s="206" customFormat="1" ht="38.25" x14ac:dyDescent="0.2">
      <c r="A66" s="82" t="s">
        <v>385</v>
      </c>
      <c r="B66" s="144" t="s">
        <v>386</v>
      </c>
      <c r="C66" s="75">
        <v>2017</v>
      </c>
      <c r="D66" s="75" t="s">
        <v>387</v>
      </c>
      <c r="E66" s="79" t="s">
        <v>388</v>
      </c>
      <c r="F66" s="88" t="s">
        <v>388</v>
      </c>
      <c r="G66" s="223" t="s">
        <v>389</v>
      </c>
      <c r="H66" s="42">
        <v>869.83199999999999</v>
      </c>
      <c r="I66" s="42"/>
      <c r="J66" s="42">
        <v>869.83199999999999</v>
      </c>
      <c r="K66" s="172"/>
      <c r="L66" s="24">
        <v>0</v>
      </c>
      <c r="M66" s="43">
        <v>0</v>
      </c>
      <c r="N66" s="24">
        <v>0</v>
      </c>
      <c r="O66" s="23">
        <v>0</v>
      </c>
      <c r="P66" s="27">
        <v>30.168000000000006</v>
      </c>
      <c r="Q66" s="1161">
        <v>-30.167999999999999</v>
      </c>
      <c r="R66" s="27">
        <f t="shared" si="23"/>
        <v>0</v>
      </c>
      <c r="S66" s="24">
        <v>0</v>
      </c>
      <c r="T66" s="23"/>
      <c r="U66" s="23">
        <v>0</v>
      </c>
      <c r="V66" s="23"/>
      <c r="W66" s="23"/>
      <c r="X66" s="24">
        <v>0</v>
      </c>
      <c r="Y66" s="23">
        <v>0</v>
      </c>
      <c r="Z66" s="23"/>
      <c r="AA66" s="166" t="s">
        <v>1207</v>
      </c>
      <c r="AB66" s="191" t="s">
        <v>1256</v>
      </c>
      <c r="AC66" s="74" t="s">
        <v>1209</v>
      </c>
      <c r="AD66" s="584"/>
      <c r="AE66" s="584"/>
      <c r="AF66" s="584"/>
      <c r="AH66" s="633">
        <f t="shared" si="16"/>
        <v>0</v>
      </c>
      <c r="AI66" s="605">
        <f t="shared" si="1"/>
        <v>0</v>
      </c>
      <c r="AJ66" s="120">
        <f t="shared" si="22"/>
        <v>0</v>
      </c>
      <c r="AK66" s="634">
        <f t="shared" si="4"/>
        <v>0</v>
      </c>
      <c r="AL66" s="120"/>
      <c r="AM66" s="338"/>
      <c r="AN66" s="248" t="s">
        <v>338</v>
      </c>
      <c r="AO66" s="248">
        <v>6</v>
      </c>
      <c r="AP66" s="248"/>
      <c r="AQ66" s="248">
        <v>1</v>
      </c>
      <c r="AR66" s="1175"/>
      <c r="AS66" s="148"/>
      <c r="AY66" s="66"/>
      <c r="AZ66" s="66"/>
      <c r="BB66" s="1134"/>
      <c r="BC66" s="1134"/>
      <c r="BD66" s="1134"/>
      <c r="BE66" s="1134"/>
      <c r="BF66" s="1134"/>
    </row>
    <row r="67" spans="1:63" s="179" customFormat="1" ht="38.25" x14ac:dyDescent="0.2">
      <c r="A67" s="82" t="s">
        <v>390</v>
      </c>
      <c r="B67" s="144" t="s">
        <v>391</v>
      </c>
      <c r="C67" s="75">
        <v>2017</v>
      </c>
      <c r="D67" s="75" t="s">
        <v>387</v>
      </c>
      <c r="E67" s="79" t="s">
        <v>392</v>
      </c>
      <c r="F67" s="88" t="s">
        <v>392</v>
      </c>
      <c r="G67" s="223" t="s">
        <v>393</v>
      </c>
      <c r="H67" s="42">
        <v>450</v>
      </c>
      <c r="I67" s="42"/>
      <c r="J67" s="42">
        <v>450</v>
      </c>
      <c r="K67" s="172"/>
      <c r="L67" s="24">
        <v>0</v>
      </c>
      <c r="M67" s="43">
        <v>0</v>
      </c>
      <c r="N67" s="24">
        <v>0</v>
      </c>
      <c r="O67" s="23">
        <v>0</v>
      </c>
      <c r="P67" s="27">
        <v>0</v>
      </c>
      <c r="Q67" s="1161">
        <v>0</v>
      </c>
      <c r="R67" s="27">
        <f t="shared" si="23"/>
        <v>0</v>
      </c>
      <c r="S67" s="24">
        <v>0</v>
      </c>
      <c r="T67" s="23"/>
      <c r="U67" s="23">
        <v>0</v>
      </c>
      <c r="V67" s="23"/>
      <c r="W67" s="23"/>
      <c r="X67" s="24">
        <v>0</v>
      </c>
      <c r="Y67" s="23">
        <v>0</v>
      </c>
      <c r="Z67" s="23"/>
      <c r="AA67" s="166" t="s">
        <v>1209</v>
      </c>
      <c r="AB67" s="191" t="s">
        <v>1256</v>
      </c>
      <c r="AC67" s="74" t="s">
        <v>1209</v>
      </c>
      <c r="AD67" s="584"/>
      <c r="AE67" s="584"/>
      <c r="AF67" s="584"/>
      <c r="AH67" s="633">
        <f t="shared" si="16"/>
        <v>0</v>
      </c>
      <c r="AI67" s="605">
        <f t="shared" si="1"/>
        <v>0</v>
      </c>
      <c r="AJ67" s="120">
        <f t="shared" si="22"/>
        <v>0</v>
      </c>
      <c r="AK67" s="634">
        <f t="shared" si="4"/>
        <v>0</v>
      </c>
      <c r="AL67" s="120"/>
      <c r="AM67" s="338"/>
      <c r="AN67" s="248" t="s">
        <v>338</v>
      </c>
      <c r="AO67" s="248">
        <v>6</v>
      </c>
      <c r="AP67" s="248"/>
      <c r="AQ67" s="248">
        <v>1</v>
      </c>
      <c r="AR67" s="1175"/>
      <c r="AS67" s="148"/>
      <c r="AY67" s="66"/>
      <c r="AZ67" s="66"/>
      <c r="BB67" s="1134"/>
      <c r="BC67" s="1134"/>
      <c r="BD67" s="1134"/>
      <c r="BE67" s="1134"/>
      <c r="BF67" s="1134"/>
    </row>
    <row r="68" spans="1:63" s="206" customFormat="1" ht="38.25" x14ac:dyDescent="0.2">
      <c r="A68" s="82" t="s">
        <v>394</v>
      </c>
      <c r="B68" s="144" t="s">
        <v>395</v>
      </c>
      <c r="C68" s="75">
        <v>2017</v>
      </c>
      <c r="D68" s="75" t="s">
        <v>387</v>
      </c>
      <c r="E68" s="79" t="s">
        <v>396</v>
      </c>
      <c r="F68" s="88" t="s">
        <v>396</v>
      </c>
      <c r="G68" s="223" t="s">
        <v>397</v>
      </c>
      <c r="H68" s="42">
        <v>473.7</v>
      </c>
      <c r="I68" s="42"/>
      <c r="J68" s="42">
        <v>473.7</v>
      </c>
      <c r="K68" s="172"/>
      <c r="L68" s="24">
        <v>0</v>
      </c>
      <c r="M68" s="43">
        <v>0</v>
      </c>
      <c r="N68" s="24">
        <v>0</v>
      </c>
      <c r="O68" s="23">
        <v>0</v>
      </c>
      <c r="P68" s="27">
        <v>46.3</v>
      </c>
      <c r="Q68" s="1161">
        <v>-46.3</v>
      </c>
      <c r="R68" s="27">
        <f t="shared" si="23"/>
        <v>0</v>
      </c>
      <c r="S68" s="24">
        <v>0</v>
      </c>
      <c r="T68" s="23"/>
      <c r="U68" s="23">
        <v>0</v>
      </c>
      <c r="V68" s="23"/>
      <c r="W68" s="23"/>
      <c r="X68" s="24">
        <v>0</v>
      </c>
      <c r="Y68" s="23">
        <v>0</v>
      </c>
      <c r="Z68" s="23"/>
      <c r="AA68" s="166" t="s">
        <v>1207</v>
      </c>
      <c r="AB68" s="191" t="s">
        <v>1256</v>
      </c>
      <c r="AC68" s="74" t="s">
        <v>1209</v>
      </c>
      <c r="AD68" s="584"/>
      <c r="AE68" s="584"/>
      <c r="AF68" s="584"/>
      <c r="AH68" s="633">
        <f t="shared" si="16"/>
        <v>0</v>
      </c>
      <c r="AI68" s="605">
        <f t="shared" si="1"/>
        <v>0</v>
      </c>
      <c r="AJ68" s="120">
        <f t="shared" si="22"/>
        <v>0</v>
      </c>
      <c r="AK68" s="634">
        <f t="shared" si="4"/>
        <v>0</v>
      </c>
      <c r="AL68" s="120"/>
      <c r="AM68" s="338"/>
      <c r="AN68" s="248" t="s">
        <v>338</v>
      </c>
      <c r="AO68" s="248">
        <v>6</v>
      </c>
      <c r="AP68" s="248"/>
      <c r="AQ68" s="248">
        <v>1</v>
      </c>
      <c r="AR68" s="1175"/>
      <c r="AS68" s="148"/>
      <c r="AY68" s="66"/>
      <c r="AZ68" s="66"/>
      <c r="BB68" s="1134"/>
      <c r="BC68" s="1134"/>
      <c r="BD68" s="1134"/>
      <c r="BE68" s="1134"/>
      <c r="BF68" s="1134"/>
    </row>
    <row r="69" spans="1:63" s="206" customFormat="1" ht="45" x14ac:dyDescent="0.2">
      <c r="A69" s="82" t="s">
        <v>400</v>
      </c>
      <c r="B69" s="147" t="s">
        <v>401</v>
      </c>
      <c r="C69" s="78">
        <v>2018</v>
      </c>
      <c r="D69" s="75" t="s">
        <v>284</v>
      </c>
      <c r="E69" s="76" t="s">
        <v>402</v>
      </c>
      <c r="F69" s="76" t="s">
        <v>402</v>
      </c>
      <c r="G69" s="228" t="s">
        <v>403</v>
      </c>
      <c r="H69" s="25">
        <v>492.19299999999998</v>
      </c>
      <c r="I69" s="25"/>
      <c r="J69" s="25">
        <v>492.19299999999998</v>
      </c>
      <c r="K69" s="172"/>
      <c r="L69" s="27">
        <v>0</v>
      </c>
      <c r="M69" s="40">
        <v>0</v>
      </c>
      <c r="N69" s="27">
        <v>0</v>
      </c>
      <c r="O69" s="26">
        <v>0</v>
      </c>
      <c r="P69" s="27">
        <v>7.8070000000000004</v>
      </c>
      <c r="Q69" s="1161">
        <v>-7.8070000000000004</v>
      </c>
      <c r="R69" s="24">
        <f t="shared" si="23"/>
        <v>0</v>
      </c>
      <c r="S69" s="27">
        <v>0</v>
      </c>
      <c r="T69" s="44"/>
      <c r="U69" s="44">
        <v>0</v>
      </c>
      <c r="V69" s="44"/>
      <c r="W69" s="44"/>
      <c r="X69" s="27">
        <v>0</v>
      </c>
      <c r="Y69" s="26">
        <v>0</v>
      </c>
      <c r="Z69" s="26"/>
      <c r="AA69" s="143" t="s">
        <v>1207</v>
      </c>
      <c r="AB69" s="191" t="s">
        <v>1256</v>
      </c>
      <c r="AC69" s="74" t="s">
        <v>1209</v>
      </c>
      <c r="AD69" s="584"/>
      <c r="AE69" s="584"/>
      <c r="AF69" s="584"/>
      <c r="AH69" s="633">
        <f t="shared" si="16"/>
        <v>0</v>
      </c>
      <c r="AI69" s="605">
        <f t="shared" si="1"/>
        <v>0</v>
      </c>
      <c r="AJ69" s="120">
        <f t="shared" si="22"/>
        <v>0</v>
      </c>
      <c r="AK69" s="634">
        <f t="shared" si="4"/>
        <v>0</v>
      </c>
      <c r="AL69" s="120"/>
      <c r="AM69" s="338"/>
      <c r="AN69" s="248" t="s">
        <v>338</v>
      </c>
      <c r="AO69" s="248">
        <v>6</v>
      </c>
      <c r="AP69" s="248"/>
      <c r="AQ69" s="248">
        <v>1</v>
      </c>
      <c r="AR69" s="1175"/>
      <c r="AS69" s="148"/>
      <c r="AY69" s="66"/>
      <c r="AZ69" s="66"/>
      <c r="BB69" s="1134"/>
      <c r="BC69" s="1134"/>
      <c r="BD69" s="1134"/>
      <c r="BE69" s="1134"/>
      <c r="BF69" s="1134"/>
    </row>
    <row r="70" spans="1:63" s="179" customFormat="1" ht="30" x14ac:dyDescent="0.2">
      <c r="A70" s="82" t="s">
        <v>409</v>
      </c>
      <c r="B70" s="147" t="s">
        <v>410</v>
      </c>
      <c r="C70" s="83">
        <v>2018</v>
      </c>
      <c r="D70" s="78" t="s">
        <v>101</v>
      </c>
      <c r="E70" s="90" t="s">
        <v>356</v>
      </c>
      <c r="F70" s="76" t="s">
        <v>356</v>
      </c>
      <c r="G70" s="228" t="s">
        <v>411</v>
      </c>
      <c r="H70" s="25">
        <v>341</v>
      </c>
      <c r="I70" s="25"/>
      <c r="J70" s="25">
        <v>341</v>
      </c>
      <c r="K70" s="172"/>
      <c r="L70" s="27">
        <v>0</v>
      </c>
      <c r="M70" s="40">
        <v>0</v>
      </c>
      <c r="N70" s="27">
        <v>0</v>
      </c>
      <c r="O70" s="26">
        <v>0</v>
      </c>
      <c r="P70" s="27">
        <v>0</v>
      </c>
      <c r="Q70" s="1161">
        <v>0</v>
      </c>
      <c r="R70" s="24">
        <f t="shared" si="23"/>
        <v>0</v>
      </c>
      <c r="S70" s="27">
        <v>0</v>
      </c>
      <c r="T70" s="44"/>
      <c r="U70" s="44">
        <v>0</v>
      </c>
      <c r="V70" s="86"/>
      <c r="W70" s="86"/>
      <c r="X70" s="45">
        <v>0</v>
      </c>
      <c r="Y70" s="46">
        <v>0</v>
      </c>
      <c r="Z70" s="46"/>
      <c r="AA70" s="143" t="s">
        <v>1209</v>
      </c>
      <c r="AB70" s="191" t="s">
        <v>1256</v>
      </c>
      <c r="AC70" s="74" t="s">
        <v>1209</v>
      </c>
      <c r="AD70" s="584"/>
      <c r="AE70" s="584"/>
      <c r="AF70" s="584"/>
      <c r="AH70" s="633">
        <f t="shared" si="16"/>
        <v>0</v>
      </c>
      <c r="AI70" s="605">
        <f t="shared" si="1"/>
        <v>0</v>
      </c>
      <c r="AJ70" s="120">
        <f t="shared" si="22"/>
        <v>0</v>
      </c>
      <c r="AK70" s="634">
        <f t="shared" si="4"/>
        <v>0</v>
      </c>
      <c r="AL70" s="120"/>
      <c r="AM70" s="338"/>
      <c r="AN70" s="248" t="s">
        <v>338</v>
      </c>
      <c r="AO70" s="248">
        <v>6</v>
      </c>
      <c r="AP70" s="248"/>
      <c r="AQ70" s="248">
        <v>1</v>
      </c>
      <c r="AR70" s="1175"/>
      <c r="AS70" s="148"/>
      <c r="AY70" s="66"/>
      <c r="AZ70" s="66"/>
      <c r="BB70" s="1134"/>
      <c r="BC70" s="1134"/>
      <c r="BD70" s="1134"/>
      <c r="BE70" s="1134"/>
      <c r="BF70" s="1134"/>
    </row>
    <row r="71" spans="1:63" s="179" customFormat="1" ht="30" hidden="1" x14ac:dyDescent="0.2">
      <c r="A71" s="82" t="s">
        <v>425</v>
      </c>
      <c r="B71" s="144" t="s">
        <v>426</v>
      </c>
      <c r="C71" s="75">
        <v>2018</v>
      </c>
      <c r="D71" s="191" t="s">
        <v>1268</v>
      </c>
      <c r="E71" s="659" t="s">
        <v>26</v>
      </c>
      <c r="F71" s="659" t="s">
        <v>354</v>
      </c>
      <c r="G71" s="660" t="s">
        <v>427</v>
      </c>
      <c r="H71" s="661">
        <v>4000</v>
      </c>
      <c r="I71" s="661"/>
      <c r="J71" s="661">
        <v>0</v>
      </c>
      <c r="K71" s="661">
        <v>0</v>
      </c>
      <c r="L71" s="375">
        <v>0</v>
      </c>
      <c r="M71" s="375">
        <v>0</v>
      </c>
      <c r="N71" s="375">
        <v>0</v>
      </c>
      <c r="O71" s="375">
        <v>0</v>
      </c>
      <c r="P71" s="375">
        <v>0</v>
      </c>
      <c r="Q71" s="1165">
        <v>0</v>
      </c>
      <c r="R71" s="606">
        <f>P71+Q71</f>
        <v>0</v>
      </c>
      <c r="S71" s="27">
        <v>0</v>
      </c>
      <c r="T71" s="44"/>
      <c r="U71" s="44">
        <v>0</v>
      </c>
      <c r="V71" s="44"/>
      <c r="W71" s="44"/>
      <c r="X71" s="377">
        <v>4000</v>
      </c>
      <c r="Y71" s="378">
        <v>0</v>
      </c>
      <c r="Z71" s="378">
        <v>0</v>
      </c>
      <c r="AA71" s="143" t="s">
        <v>1311</v>
      </c>
      <c r="AB71" s="75" t="s">
        <v>1300</v>
      </c>
      <c r="AC71" s="379" t="s">
        <v>37</v>
      </c>
      <c r="AD71" s="379" t="s">
        <v>1282</v>
      </c>
      <c r="AE71" s="379" t="s">
        <v>1282</v>
      </c>
      <c r="AF71" s="74" t="s">
        <v>1361</v>
      </c>
      <c r="AH71" s="633">
        <f t="shared" si="16"/>
        <v>0</v>
      </c>
      <c r="AI71" s="605">
        <f t="shared" si="1"/>
        <v>0</v>
      </c>
      <c r="AJ71" s="120">
        <f t="shared" si="22"/>
        <v>0</v>
      </c>
      <c r="AK71" s="634">
        <f t="shared" si="4"/>
        <v>0</v>
      </c>
      <c r="AL71" s="120"/>
      <c r="AM71" s="338"/>
      <c r="AN71" s="248" t="s">
        <v>338</v>
      </c>
      <c r="AO71" s="248">
        <v>6</v>
      </c>
      <c r="AP71" s="248"/>
      <c r="AQ71" s="339">
        <v>2</v>
      </c>
      <c r="AR71" s="1135"/>
      <c r="AS71" s="148"/>
      <c r="AT71" s="580"/>
      <c r="AU71" s="580"/>
      <c r="AV71" s="580"/>
      <c r="AW71" s="580"/>
      <c r="AX71" s="143" t="s">
        <v>1311</v>
      </c>
      <c r="AY71" s="66">
        <v>0</v>
      </c>
      <c r="AZ71" s="66">
        <v>0</v>
      </c>
      <c r="BA71" s="459"/>
      <c r="BB71" s="1134"/>
      <c r="BC71" s="1134"/>
      <c r="BD71" s="1134"/>
      <c r="BE71" s="1134"/>
      <c r="BF71" s="1134"/>
      <c r="BG71" s="764"/>
      <c r="BH71" s="764"/>
      <c r="BI71" s="764"/>
    </row>
    <row r="72" spans="1:63" s="1013" customFormat="1" ht="30" hidden="1" x14ac:dyDescent="0.25">
      <c r="A72" s="82" t="s">
        <v>431</v>
      </c>
      <c r="B72" s="144" t="s">
        <v>1313</v>
      </c>
      <c r="C72" s="75">
        <v>2019</v>
      </c>
      <c r="D72" s="75" t="s">
        <v>1265</v>
      </c>
      <c r="E72" s="76" t="s">
        <v>342</v>
      </c>
      <c r="F72" s="84" t="s">
        <v>342</v>
      </c>
      <c r="G72" s="971" t="s">
        <v>432</v>
      </c>
      <c r="H72" s="25">
        <v>0</v>
      </c>
      <c r="I72" s="25">
        <v>4</v>
      </c>
      <c r="J72" s="25">
        <v>0</v>
      </c>
      <c r="K72" s="655">
        <v>0</v>
      </c>
      <c r="L72" s="542">
        <v>0</v>
      </c>
      <c r="M72" s="374">
        <v>0</v>
      </c>
      <c r="N72" s="375">
        <v>0</v>
      </c>
      <c r="O72" s="541">
        <v>0</v>
      </c>
      <c r="P72" s="545">
        <v>1000</v>
      </c>
      <c r="Q72" s="676">
        <v>-1000</v>
      </c>
      <c r="R72" s="376">
        <f>P72+Q72</f>
        <v>0</v>
      </c>
      <c r="S72" s="40">
        <v>0</v>
      </c>
      <c r="T72" s="27">
        <v>0</v>
      </c>
      <c r="U72" s="44">
        <v>0</v>
      </c>
      <c r="V72" s="44"/>
      <c r="W72" s="44"/>
      <c r="X72" s="377">
        <v>0</v>
      </c>
      <c r="Y72" s="378">
        <v>0</v>
      </c>
      <c r="Z72" s="378">
        <v>0</v>
      </c>
      <c r="AA72" s="75" t="s">
        <v>1867</v>
      </c>
      <c r="AB72" s="143" t="s">
        <v>1300</v>
      </c>
      <c r="AC72" s="379" t="s">
        <v>1007</v>
      </c>
      <c r="AD72" s="495" t="s">
        <v>1282</v>
      </c>
      <c r="AE72" s="795" t="s">
        <v>1282</v>
      </c>
      <c r="AF72" s="722" t="s">
        <v>1448</v>
      </c>
      <c r="AH72" s="1011">
        <f t="shared" si="16"/>
        <v>0</v>
      </c>
      <c r="AI72" s="452">
        <f>R72-P72-Q72</f>
        <v>0</v>
      </c>
      <c r="AJ72" s="1012">
        <f>K72-R72</f>
        <v>0</v>
      </c>
      <c r="AK72" s="513">
        <f>R72+S72-L72-M72-N72-O72</f>
        <v>0</v>
      </c>
      <c r="AL72" s="1142"/>
      <c r="AM72" s="496"/>
      <c r="AN72" s="662" t="s">
        <v>338</v>
      </c>
      <c r="AO72" s="175">
        <v>6</v>
      </c>
      <c r="AP72" s="175">
        <v>1</v>
      </c>
      <c r="AQ72" s="814">
        <v>4</v>
      </c>
      <c r="AR72" s="1148"/>
      <c r="AS72" s="435"/>
      <c r="AT72" s="75" t="s">
        <v>1801</v>
      </c>
      <c r="AU72" s="75"/>
      <c r="AV72" s="75" t="s">
        <v>1867</v>
      </c>
      <c r="AW72" s="773" t="s">
        <v>1209</v>
      </c>
      <c r="AX72" s="143" t="s">
        <v>1209</v>
      </c>
      <c r="AY72" s="755">
        <v>1</v>
      </c>
      <c r="AZ72" s="755">
        <v>0</v>
      </c>
      <c r="BA72" s="497"/>
      <c r="BB72" s="434"/>
      <c r="BC72" s="434"/>
      <c r="BD72" s="434"/>
      <c r="BE72" s="434"/>
      <c r="BF72" s="434"/>
      <c r="BG72" s="655">
        <v>0</v>
      </c>
      <c r="BH72" s="655"/>
      <c r="BI72" s="655">
        <v>0</v>
      </c>
      <c r="BJ72" s="25">
        <v>0</v>
      </c>
    </row>
    <row r="73" spans="1:63" s="178" customFormat="1" ht="25.5" hidden="1" x14ac:dyDescent="0.2">
      <c r="A73" s="82" t="s">
        <v>435</v>
      </c>
      <c r="B73" s="144" t="s">
        <v>1315</v>
      </c>
      <c r="C73" s="75">
        <v>2019</v>
      </c>
      <c r="D73" s="75" t="s">
        <v>1265</v>
      </c>
      <c r="E73" s="76" t="s">
        <v>26</v>
      </c>
      <c r="F73" s="84" t="s">
        <v>26</v>
      </c>
      <c r="G73" s="228" t="s">
        <v>436</v>
      </c>
      <c r="H73" s="25">
        <v>0</v>
      </c>
      <c r="I73" s="25"/>
      <c r="J73" s="25">
        <v>0</v>
      </c>
      <c r="K73" s="655">
        <v>0</v>
      </c>
      <c r="L73" s="542">
        <v>0</v>
      </c>
      <c r="M73" s="374">
        <v>0</v>
      </c>
      <c r="N73" s="375">
        <v>0</v>
      </c>
      <c r="O73" s="541">
        <v>0</v>
      </c>
      <c r="P73" s="545">
        <v>0</v>
      </c>
      <c r="Q73" s="336">
        <v>0</v>
      </c>
      <c r="R73" s="376">
        <f>P73+Q73</f>
        <v>0</v>
      </c>
      <c r="S73" s="40">
        <v>0</v>
      </c>
      <c r="T73" s="22">
        <v>0</v>
      </c>
      <c r="U73" s="44">
        <v>0</v>
      </c>
      <c r="V73" s="44"/>
      <c r="W73" s="44"/>
      <c r="X73" s="377">
        <v>0</v>
      </c>
      <c r="Y73" s="378">
        <v>0</v>
      </c>
      <c r="Z73" s="378">
        <v>0</v>
      </c>
      <c r="AA73" s="75" t="s">
        <v>1826</v>
      </c>
      <c r="AB73" s="143" t="s">
        <v>1300</v>
      </c>
      <c r="AC73" s="379" t="s">
        <v>846</v>
      </c>
      <c r="AD73" s="495" t="s">
        <v>1282</v>
      </c>
      <c r="AE73" s="795" t="s">
        <v>1282</v>
      </c>
      <c r="AF73" s="722" t="s">
        <v>1361</v>
      </c>
      <c r="AH73" s="516">
        <f>H73-J73-R73-S73-U73-X73-Y73-Z73</f>
        <v>0</v>
      </c>
      <c r="AI73" s="351">
        <f>R73-P73-Q73</f>
        <v>0</v>
      </c>
      <c r="AJ73" s="553">
        <f>K73-R73</f>
        <v>0</v>
      </c>
      <c r="AK73" s="509">
        <f>R73+S73-L73-M73-N73-O73</f>
        <v>0</v>
      </c>
      <c r="AL73" s="1140"/>
      <c r="AM73" s="496"/>
      <c r="AN73" s="662" t="s">
        <v>338</v>
      </c>
      <c r="AO73" s="175">
        <v>6</v>
      </c>
      <c r="AP73" s="175">
        <v>1</v>
      </c>
      <c r="AQ73" s="814">
        <v>2</v>
      </c>
      <c r="AR73" s="1148"/>
      <c r="AS73" s="435"/>
      <c r="AT73" s="581"/>
      <c r="AU73" s="915"/>
      <c r="AV73" s="915"/>
      <c r="AW73" s="774" t="s">
        <v>1469</v>
      </c>
      <c r="AX73" s="143" t="s">
        <v>1209</v>
      </c>
      <c r="AY73" s="755">
        <v>0</v>
      </c>
      <c r="AZ73" s="755">
        <v>1</v>
      </c>
      <c r="BA73" s="497"/>
      <c r="BB73" s="434"/>
      <c r="BC73" s="434"/>
      <c r="BD73" s="434"/>
      <c r="BE73" s="434"/>
      <c r="BF73" s="434"/>
      <c r="BG73" s="497"/>
      <c r="BH73" s="497"/>
      <c r="BI73" s="497"/>
      <c r="BJ73" s="25">
        <v>0</v>
      </c>
    </row>
    <row r="74" spans="1:63" s="1013" customFormat="1" ht="30" hidden="1" x14ac:dyDescent="0.25">
      <c r="A74" s="82" t="s">
        <v>449</v>
      </c>
      <c r="B74" s="144" t="s">
        <v>1323</v>
      </c>
      <c r="C74" s="75">
        <v>2019</v>
      </c>
      <c r="D74" s="75" t="s">
        <v>1265</v>
      </c>
      <c r="E74" s="76" t="s">
        <v>26</v>
      </c>
      <c r="F74" s="84" t="s">
        <v>396</v>
      </c>
      <c r="G74" s="228" t="s">
        <v>450</v>
      </c>
      <c r="H74" s="25">
        <v>0</v>
      </c>
      <c r="I74" s="25">
        <v>10</v>
      </c>
      <c r="J74" s="25">
        <v>0</v>
      </c>
      <c r="K74" s="655">
        <v>0</v>
      </c>
      <c r="L74" s="542">
        <v>0</v>
      </c>
      <c r="M74" s="374">
        <v>0</v>
      </c>
      <c r="N74" s="375">
        <v>0</v>
      </c>
      <c r="O74" s="541">
        <v>0</v>
      </c>
      <c r="P74" s="545">
        <v>0</v>
      </c>
      <c r="Q74" s="676">
        <v>0</v>
      </c>
      <c r="R74" s="376">
        <f>P74+Q74</f>
        <v>0</v>
      </c>
      <c r="S74" s="40">
        <v>0</v>
      </c>
      <c r="T74" s="27">
        <v>0</v>
      </c>
      <c r="U74" s="44">
        <v>0</v>
      </c>
      <c r="V74" s="44"/>
      <c r="W74" s="44"/>
      <c r="X74" s="377">
        <v>0</v>
      </c>
      <c r="Y74" s="378">
        <v>0</v>
      </c>
      <c r="Z74" s="378">
        <v>0</v>
      </c>
      <c r="AA74" s="75" t="s">
        <v>1883</v>
      </c>
      <c r="AB74" s="143" t="s">
        <v>1300</v>
      </c>
      <c r="AC74" s="379" t="s">
        <v>1209</v>
      </c>
      <c r="AD74" s="495" t="s">
        <v>1282</v>
      </c>
      <c r="AE74" s="795" t="s">
        <v>1282</v>
      </c>
      <c r="AF74" s="722" t="s">
        <v>1361</v>
      </c>
      <c r="AH74" s="1011">
        <f>H74-J74-R74-S74-T74-U74-X74-Y74-Z74</f>
        <v>0</v>
      </c>
      <c r="AI74" s="452">
        <f>R74-P74-Q74</f>
        <v>0</v>
      </c>
      <c r="AJ74" s="1012">
        <f>K74-R74</f>
        <v>0</v>
      </c>
      <c r="AK74" s="513">
        <f>R74+S74-L74-M74-N74-O74</f>
        <v>0</v>
      </c>
      <c r="AL74" s="1142"/>
      <c r="AM74" s="496"/>
      <c r="AN74" s="662" t="s">
        <v>338</v>
      </c>
      <c r="AO74" s="175">
        <v>6</v>
      </c>
      <c r="AP74" s="175">
        <v>1</v>
      </c>
      <c r="AQ74" s="814">
        <v>4</v>
      </c>
      <c r="AR74" s="1148"/>
      <c r="AS74" s="435"/>
      <c r="AT74" s="75"/>
      <c r="AU74" s="75"/>
      <c r="AV74" s="1047" t="s">
        <v>1883</v>
      </c>
      <c r="AW74" s="773" t="s">
        <v>1209</v>
      </c>
      <c r="AX74" s="143" t="s">
        <v>1209</v>
      </c>
      <c r="AY74" s="755">
        <v>0</v>
      </c>
      <c r="AZ74" s="755">
        <v>1</v>
      </c>
      <c r="BA74" s="497"/>
      <c r="BB74" s="434"/>
      <c r="BC74" s="434"/>
      <c r="BD74" s="434"/>
      <c r="BE74" s="434"/>
      <c r="BF74" s="434"/>
      <c r="BG74" s="655">
        <v>0</v>
      </c>
      <c r="BH74" s="655"/>
      <c r="BI74" s="655">
        <v>0</v>
      </c>
      <c r="BJ74" s="25">
        <v>0</v>
      </c>
    </row>
    <row r="75" spans="1:63" s="177" customFormat="1" ht="15" hidden="1" x14ac:dyDescent="0.2">
      <c r="A75" s="82"/>
      <c r="B75" s="144"/>
      <c r="C75" s="75"/>
      <c r="D75" s="75"/>
      <c r="E75" s="76"/>
      <c r="F75" s="84"/>
      <c r="G75" s="228"/>
      <c r="H75" s="25"/>
      <c r="I75" s="25"/>
      <c r="J75" s="25"/>
      <c r="K75" s="542"/>
      <c r="L75" s="375"/>
      <c r="M75" s="375"/>
      <c r="N75" s="541"/>
      <c r="O75" s="541"/>
      <c r="P75" s="541"/>
      <c r="Q75" s="606"/>
      <c r="R75" s="27"/>
      <c r="S75" s="44"/>
      <c r="T75" s="44"/>
      <c r="U75" s="377"/>
      <c r="V75" s="378"/>
      <c r="W75" s="378"/>
      <c r="X75" s="378"/>
      <c r="Y75" s="378"/>
      <c r="Z75" s="143"/>
      <c r="AA75" s="75"/>
      <c r="AB75" s="379"/>
      <c r="AC75" s="379"/>
      <c r="AD75" s="379"/>
      <c r="AE75" s="74"/>
      <c r="AF75" s="584"/>
      <c r="AH75" s="633">
        <f>H75-J75-R75-S75-T75-U75-X75-Y75-Z75</f>
        <v>0</v>
      </c>
      <c r="AI75" s="605">
        <f t="shared" si="1"/>
        <v>0</v>
      </c>
      <c r="AJ75" s="120">
        <f t="shared" ref="AJ75:AJ125" si="24">K75-R75</f>
        <v>0</v>
      </c>
      <c r="AK75" s="634">
        <f t="shared" si="4"/>
        <v>0</v>
      </c>
      <c r="AL75" s="120"/>
      <c r="AM75" s="338"/>
      <c r="AN75" s="248" t="s">
        <v>338</v>
      </c>
      <c r="AO75" s="248">
        <v>6</v>
      </c>
      <c r="AP75" s="248"/>
      <c r="AQ75" s="248"/>
      <c r="AR75" s="1135"/>
      <c r="AS75" s="148"/>
      <c r="AT75" s="66"/>
      <c r="AU75" s="66"/>
      <c r="AV75" s="66"/>
      <c r="AW75" s="580"/>
      <c r="AX75" s="580"/>
      <c r="AY75" s="516"/>
      <c r="AZ75" s="351"/>
      <c r="BA75" s="143"/>
      <c r="BB75" s="1134"/>
      <c r="BC75" s="1134"/>
      <c r="BD75" s="1134"/>
      <c r="BE75" s="1134"/>
      <c r="BF75" s="1134"/>
      <c r="BG75" s="594"/>
      <c r="BH75" s="594"/>
      <c r="BI75" s="594"/>
      <c r="BJ75" s="459"/>
    </row>
    <row r="76" spans="1:63" ht="32.25" hidden="1" thickBot="1" x14ac:dyDescent="0.3">
      <c r="A76" s="430" t="s">
        <v>1209</v>
      </c>
      <c r="B76" s="597" t="s">
        <v>1209</v>
      </c>
      <c r="C76" s="140" t="s">
        <v>1209</v>
      </c>
      <c r="D76" s="140" t="s">
        <v>1209</v>
      </c>
      <c r="E76" s="210" t="s">
        <v>1209</v>
      </c>
      <c r="F76" s="211" t="s">
        <v>1209</v>
      </c>
      <c r="G76" s="220" t="s">
        <v>1463</v>
      </c>
      <c r="H76" s="113">
        <f t="shared" ref="H76:Z76" si="25">SUM(H60:H75)</f>
        <v>10096.314</v>
      </c>
      <c r="I76" s="113"/>
      <c r="J76" s="113">
        <f t="shared" si="25"/>
        <v>6096.3140000000003</v>
      </c>
      <c r="K76" s="113">
        <f t="shared" si="25"/>
        <v>0</v>
      </c>
      <c r="L76" s="113">
        <f t="shared" si="25"/>
        <v>0</v>
      </c>
      <c r="M76" s="113">
        <f t="shared" si="25"/>
        <v>0</v>
      </c>
      <c r="N76" s="113">
        <f t="shared" si="25"/>
        <v>0</v>
      </c>
      <c r="O76" s="113">
        <f t="shared" si="25"/>
        <v>0</v>
      </c>
      <c r="P76" s="113">
        <f t="shared" si="25"/>
        <v>1364.662</v>
      </c>
      <c r="Q76" s="113">
        <f t="shared" si="25"/>
        <v>-1364.662</v>
      </c>
      <c r="R76" s="113">
        <f t="shared" si="25"/>
        <v>0</v>
      </c>
      <c r="S76" s="113">
        <f t="shared" si="25"/>
        <v>0</v>
      </c>
      <c r="T76" s="113">
        <f t="shared" si="25"/>
        <v>0</v>
      </c>
      <c r="U76" s="113">
        <f t="shared" si="25"/>
        <v>0</v>
      </c>
      <c r="V76" s="113"/>
      <c r="W76" s="113"/>
      <c r="X76" s="113">
        <f t="shared" si="25"/>
        <v>4000</v>
      </c>
      <c r="Y76" s="113">
        <f t="shared" si="25"/>
        <v>0</v>
      </c>
      <c r="Z76" s="113">
        <f t="shared" si="25"/>
        <v>0</v>
      </c>
      <c r="AA76" s="123" t="s">
        <v>1209</v>
      </c>
      <c r="AB76" s="123" t="s">
        <v>1209</v>
      </c>
      <c r="AC76" s="127" t="s">
        <v>1209</v>
      </c>
      <c r="AD76" s="123" t="s">
        <v>1209</v>
      </c>
      <c r="AE76" s="127" t="s">
        <v>1209</v>
      </c>
      <c r="AF76" s="123" t="s">
        <v>1209</v>
      </c>
      <c r="AH76" s="633">
        <f>H76-J76-R76-S76-T76-U76-X76-Y76-Z76</f>
        <v>0</v>
      </c>
      <c r="AI76" s="605">
        <f t="shared" si="1"/>
        <v>0</v>
      </c>
      <c r="AJ76" s="120">
        <f t="shared" si="24"/>
        <v>0</v>
      </c>
      <c r="AK76" s="634">
        <f t="shared" si="4"/>
        <v>0</v>
      </c>
      <c r="AL76" s="120"/>
      <c r="AM76" s="1176">
        <v>1</v>
      </c>
      <c r="AN76" s="248" t="s">
        <v>338</v>
      </c>
      <c r="AO76" s="248">
        <v>6</v>
      </c>
      <c r="AP76" s="248"/>
      <c r="AQ76" s="248"/>
      <c r="AR76" s="1175"/>
      <c r="AS76" s="148"/>
      <c r="AY76" s="66"/>
      <c r="AZ76" s="66"/>
      <c r="BB76" s="1134"/>
      <c r="BC76" s="1134"/>
      <c r="BD76" s="1134"/>
      <c r="BE76" s="1134"/>
      <c r="BF76" s="1134"/>
    </row>
    <row r="77" spans="1:63" s="180" customFormat="1" ht="30" hidden="1" x14ac:dyDescent="0.2">
      <c r="A77" s="173" t="s">
        <v>462</v>
      </c>
      <c r="B77" s="144" t="s">
        <v>463</v>
      </c>
      <c r="C77" s="191">
        <v>2014</v>
      </c>
      <c r="D77" s="75" t="s">
        <v>464</v>
      </c>
      <c r="E77" s="88" t="s">
        <v>457</v>
      </c>
      <c r="F77" s="88" t="s">
        <v>457</v>
      </c>
      <c r="G77" s="273" t="s">
        <v>465</v>
      </c>
      <c r="H77" s="274">
        <v>48465.499640000002</v>
      </c>
      <c r="I77" s="274"/>
      <c r="J77" s="274">
        <v>17500.499640000002</v>
      </c>
      <c r="K77" s="172"/>
      <c r="L77" s="27">
        <v>0</v>
      </c>
      <c r="M77" s="40">
        <v>0</v>
      </c>
      <c r="N77" s="27">
        <v>0</v>
      </c>
      <c r="O77" s="26">
        <v>0</v>
      </c>
      <c r="P77" s="27">
        <v>0</v>
      </c>
      <c r="Q77" s="1161">
        <v>0</v>
      </c>
      <c r="R77" s="27">
        <v>0</v>
      </c>
      <c r="S77" s="45">
        <v>0</v>
      </c>
      <c r="T77" s="46"/>
      <c r="U77" s="26">
        <v>30965</v>
      </c>
      <c r="V77" s="26"/>
      <c r="W77" s="26"/>
      <c r="X77" s="27">
        <v>0</v>
      </c>
      <c r="Y77" s="26">
        <v>0</v>
      </c>
      <c r="Z77" s="46"/>
      <c r="AA77" s="150" t="s">
        <v>1008</v>
      </c>
      <c r="AB77" s="75" t="s">
        <v>1257</v>
      </c>
      <c r="AC77" s="74" t="s">
        <v>1209</v>
      </c>
      <c r="AD77" s="584"/>
      <c r="AE77" s="584"/>
      <c r="AF77" s="584"/>
      <c r="AH77" s="633">
        <f>H77-J77-R77-S77-T77-U77-X77-Y77-Z77</f>
        <v>0</v>
      </c>
      <c r="AI77" s="605">
        <f t="shared" si="1"/>
        <v>0</v>
      </c>
      <c r="AJ77" s="120">
        <f t="shared" si="24"/>
        <v>0</v>
      </c>
      <c r="AK77" s="634">
        <f t="shared" si="4"/>
        <v>0</v>
      </c>
      <c r="AL77" s="120"/>
      <c r="AM77" s="1179"/>
      <c r="AN77" s="175" t="s">
        <v>458</v>
      </c>
      <c r="AO77" s="175">
        <v>7</v>
      </c>
      <c r="AP77" s="175"/>
      <c r="AQ77" s="175">
        <v>1</v>
      </c>
      <c r="AR77" s="1175"/>
      <c r="AS77" s="148"/>
      <c r="AY77" s="66"/>
      <c r="AZ77" s="66"/>
      <c r="BB77" s="1134"/>
      <c r="BC77" s="1134"/>
      <c r="BD77" s="1134"/>
      <c r="BE77" s="1134"/>
      <c r="BF77" s="1134"/>
    </row>
    <row r="78" spans="1:63" s="179" customFormat="1" ht="31.5" hidden="1" customHeight="1" x14ac:dyDescent="0.2">
      <c r="A78" s="173" t="s">
        <v>473</v>
      </c>
      <c r="B78" s="147" t="s">
        <v>474</v>
      </c>
      <c r="C78" s="290">
        <v>2016</v>
      </c>
      <c r="D78" s="78" t="s">
        <v>1707</v>
      </c>
      <c r="E78" s="84" t="s">
        <v>475</v>
      </c>
      <c r="F78" s="84" t="s">
        <v>475</v>
      </c>
      <c r="G78" s="229" t="s">
        <v>476</v>
      </c>
      <c r="H78" s="42">
        <v>0</v>
      </c>
      <c r="I78" s="42">
        <v>11</v>
      </c>
      <c r="J78" s="42">
        <v>0</v>
      </c>
      <c r="K78" s="710">
        <v>0</v>
      </c>
      <c r="L78" s="542">
        <v>0</v>
      </c>
      <c r="M78" s="374">
        <v>0</v>
      </c>
      <c r="N78" s="375">
        <v>0</v>
      </c>
      <c r="O78" s="541">
        <v>0</v>
      </c>
      <c r="P78" s="545">
        <v>0</v>
      </c>
      <c r="Q78" s="676">
        <v>0</v>
      </c>
      <c r="R78" s="376">
        <f>P78+Q78</f>
        <v>0</v>
      </c>
      <c r="S78" s="40">
        <v>0</v>
      </c>
      <c r="T78" s="22">
        <v>0</v>
      </c>
      <c r="U78" s="26">
        <v>0</v>
      </c>
      <c r="V78" s="26"/>
      <c r="W78" s="26"/>
      <c r="X78" s="27">
        <v>0</v>
      </c>
      <c r="Y78" s="44">
        <v>0</v>
      </c>
      <c r="Z78" s="27">
        <v>0</v>
      </c>
      <c r="AA78" s="717" t="s">
        <v>1591</v>
      </c>
      <c r="AB78" s="75" t="s">
        <v>1300</v>
      </c>
      <c r="AC78" s="716"/>
      <c r="AD78" s="379" t="s">
        <v>1282</v>
      </c>
      <c r="AE78" s="74" t="s">
        <v>1282</v>
      </c>
      <c r="AF78" s="722"/>
      <c r="AH78" s="516">
        <f>H78-J78-R78-S78-U78-X78-Y78-Z78</f>
        <v>0</v>
      </c>
      <c r="AI78" s="351">
        <f>R78-P78-Q78</f>
        <v>0</v>
      </c>
      <c r="AJ78" s="553">
        <f>K78-R78</f>
        <v>0</v>
      </c>
      <c r="AK78" s="509">
        <f>R78+S78-L78-M78-N78-O78</f>
        <v>0</v>
      </c>
      <c r="AL78" s="1140"/>
      <c r="AM78" s="1179"/>
      <c r="AN78" s="662" t="s">
        <v>458</v>
      </c>
      <c r="AO78" s="175">
        <v>7</v>
      </c>
      <c r="AP78" s="175"/>
      <c r="AQ78" s="814">
        <v>3</v>
      </c>
      <c r="AR78" s="1148"/>
      <c r="AS78" s="435"/>
      <c r="AT78" s="581"/>
      <c r="AU78" s="1095"/>
      <c r="AV78" s="1095"/>
      <c r="AW78" s="775" t="s">
        <v>1631</v>
      </c>
      <c r="AX78" s="166" t="s">
        <v>1388</v>
      </c>
      <c r="AY78" s="436">
        <v>0</v>
      </c>
      <c r="AZ78" s="436">
        <v>1</v>
      </c>
      <c r="BA78" s="653"/>
      <c r="BB78" s="434"/>
      <c r="BC78" s="434"/>
      <c r="BD78" s="434"/>
      <c r="BE78" s="434"/>
      <c r="BF78" s="434"/>
      <c r="BG78" s="1101"/>
      <c r="BH78" s="1101"/>
      <c r="BI78" s="1101"/>
      <c r="BJ78" s="710">
        <v>0</v>
      </c>
    </row>
    <row r="79" spans="1:63" s="179" customFormat="1" ht="33.75" hidden="1" customHeight="1" x14ac:dyDescent="0.2">
      <c r="A79" s="173" t="s">
        <v>477</v>
      </c>
      <c r="B79" s="147" t="s">
        <v>478</v>
      </c>
      <c r="C79" s="290">
        <v>2016</v>
      </c>
      <c r="D79" s="78" t="s">
        <v>1707</v>
      </c>
      <c r="E79" s="84" t="s">
        <v>475</v>
      </c>
      <c r="F79" s="84" t="s">
        <v>475</v>
      </c>
      <c r="G79" s="273" t="s">
        <v>479</v>
      </c>
      <c r="H79" s="42">
        <v>0</v>
      </c>
      <c r="I79" s="42">
        <v>11</v>
      </c>
      <c r="J79" s="42">
        <v>0</v>
      </c>
      <c r="K79" s="710">
        <v>0</v>
      </c>
      <c r="L79" s="542">
        <v>0</v>
      </c>
      <c r="M79" s="374">
        <v>0</v>
      </c>
      <c r="N79" s="375">
        <v>0</v>
      </c>
      <c r="O79" s="541">
        <v>0</v>
      </c>
      <c r="P79" s="545">
        <v>0</v>
      </c>
      <c r="Q79" s="676">
        <v>0</v>
      </c>
      <c r="R79" s="376">
        <f>P79+Q79</f>
        <v>0</v>
      </c>
      <c r="S79" s="40">
        <v>0</v>
      </c>
      <c r="T79" s="22">
        <v>0</v>
      </c>
      <c r="U79" s="23">
        <v>0</v>
      </c>
      <c r="V79" s="23"/>
      <c r="W79" s="23"/>
      <c r="X79" s="27">
        <v>0</v>
      </c>
      <c r="Y79" s="87">
        <v>0</v>
      </c>
      <c r="Z79" s="27">
        <v>0</v>
      </c>
      <c r="AA79" s="717" t="s">
        <v>1592</v>
      </c>
      <c r="AB79" s="75" t="s">
        <v>1300</v>
      </c>
      <c r="AC79" s="716"/>
      <c r="AD79" s="379" t="s">
        <v>1282</v>
      </c>
      <c r="AE79" s="74" t="s">
        <v>1282</v>
      </c>
      <c r="AF79" s="722"/>
      <c r="AH79" s="516">
        <f>H79-J79-R79-S79-U79-X79-Y79-Z79</f>
        <v>0</v>
      </c>
      <c r="AI79" s="351">
        <f>R79-P79-Q79</f>
        <v>0</v>
      </c>
      <c r="AJ79" s="553">
        <f>K79-R79</f>
        <v>0</v>
      </c>
      <c r="AK79" s="509">
        <f>R79+S79-L79-M79-N79-O79</f>
        <v>0</v>
      </c>
      <c r="AL79" s="1140"/>
      <c r="AM79" s="1179"/>
      <c r="AN79" s="662" t="s">
        <v>458</v>
      </c>
      <c r="AO79" s="175">
        <v>7</v>
      </c>
      <c r="AP79" s="175"/>
      <c r="AQ79" s="814">
        <v>3</v>
      </c>
      <c r="AR79" s="1148"/>
      <c r="AS79" s="435"/>
      <c r="AT79" s="581"/>
      <c r="AU79" s="1095"/>
      <c r="AV79" s="1095"/>
      <c r="AW79" s="775" t="s">
        <v>1632</v>
      </c>
      <c r="AX79" s="143" t="s">
        <v>1389</v>
      </c>
      <c r="AY79" s="436">
        <v>0</v>
      </c>
      <c r="AZ79" s="436">
        <v>1</v>
      </c>
      <c r="BA79" s="653"/>
      <c r="BB79" s="434"/>
      <c r="BC79" s="434"/>
      <c r="BD79" s="434"/>
      <c r="BE79" s="434"/>
      <c r="BF79" s="434"/>
      <c r="BG79" s="1101"/>
      <c r="BH79" s="1101"/>
      <c r="BI79" s="1101"/>
      <c r="BJ79" s="710">
        <v>0</v>
      </c>
    </row>
    <row r="80" spans="1:63" s="180" customFormat="1" ht="25.5" x14ac:dyDescent="0.2">
      <c r="A80" s="173" t="s">
        <v>480</v>
      </c>
      <c r="B80" s="144" t="s">
        <v>481</v>
      </c>
      <c r="C80" s="191">
        <v>2016</v>
      </c>
      <c r="D80" s="75" t="s">
        <v>40</v>
      </c>
      <c r="E80" s="84" t="s">
        <v>482</v>
      </c>
      <c r="F80" s="84" t="s">
        <v>482</v>
      </c>
      <c r="G80" s="229" t="s">
        <v>483</v>
      </c>
      <c r="H80" s="25">
        <v>12093</v>
      </c>
      <c r="I80" s="25"/>
      <c r="J80" s="130">
        <v>12093.000000000002</v>
      </c>
      <c r="K80" s="172"/>
      <c r="L80" s="181">
        <v>0</v>
      </c>
      <c r="M80" s="40">
        <v>0</v>
      </c>
      <c r="N80" s="27">
        <v>0</v>
      </c>
      <c r="O80" s="26">
        <v>0</v>
      </c>
      <c r="P80" s="27">
        <v>0</v>
      </c>
      <c r="Q80" s="1117">
        <v>0</v>
      </c>
      <c r="R80" s="27">
        <f t="shared" ref="R80:R125" si="26">P80+Q80</f>
        <v>0</v>
      </c>
      <c r="S80" s="27">
        <v>0</v>
      </c>
      <c r="T80" s="26"/>
      <c r="U80" s="26">
        <v>0</v>
      </c>
      <c r="V80" s="26"/>
      <c r="W80" s="26"/>
      <c r="X80" s="27">
        <v>0</v>
      </c>
      <c r="Y80" s="26">
        <v>0</v>
      </c>
      <c r="Z80" s="26"/>
      <c r="AA80" s="192" t="s">
        <v>1209</v>
      </c>
      <c r="AB80" s="191" t="s">
        <v>1256</v>
      </c>
      <c r="AC80" s="74" t="s">
        <v>1209</v>
      </c>
      <c r="AD80" s="584"/>
      <c r="AE80" s="584"/>
      <c r="AF80" s="584"/>
      <c r="AH80" s="633">
        <f>H80-J80-R80-S80-T80-U80-X80-Y80-Z80</f>
        <v>-1.8189894035458565E-12</v>
      </c>
      <c r="AI80" s="605">
        <f t="shared" si="1"/>
        <v>0</v>
      </c>
      <c r="AJ80" s="120">
        <f t="shared" si="24"/>
        <v>0</v>
      </c>
      <c r="AK80" s="634">
        <f t="shared" si="4"/>
        <v>0</v>
      </c>
      <c r="AL80" s="120"/>
      <c r="AM80" s="1179"/>
      <c r="AN80" s="175" t="s">
        <v>458</v>
      </c>
      <c r="AO80" s="175">
        <v>7</v>
      </c>
      <c r="AP80" s="175"/>
      <c r="AQ80" s="175">
        <v>1</v>
      </c>
      <c r="AR80" s="1175"/>
      <c r="AS80" s="148"/>
      <c r="AY80" s="66"/>
      <c r="AZ80" s="66"/>
      <c r="BB80" s="1134"/>
      <c r="BC80" s="1134"/>
      <c r="BD80" s="1134"/>
      <c r="BE80" s="1134"/>
      <c r="BF80" s="1134"/>
    </row>
    <row r="81" spans="1:62" s="179" customFormat="1" ht="48" customHeight="1" x14ac:dyDescent="0.2">
      <c r="A81" s="173" t="s">
        <v>489</v>
      </c>
      <c r="B81" s="144" t="s">
        <v>490</v>
      </c>
      <c r="C81" s="191">
        <v>2016</v>
      </c>
      <c r="D81" s="75" t="s">
        <v>1705</v>
      </c>
      <c r="E81" s="84" t="s">
        <v>460</v>
      </c>
      <c r="F81" s="84" t="s">
        <v>460</v>
      </c>
      <c r="G81" s="229" t="s">
        <v>491</v>
      </c>
      <c r="H81" s="274">
        <v>1800</v>
      </c>
      <c r="I81" s="274">
        <v>2</v>
      </c>
      <c r="J81" s="274">
        <v>378.76979999999998</v>
      </c>
      <c r="K81" s="710">
        <v>0</v>
      </c>
      <c r="L81" s="542">
        <v>0</v>
      </c>
      <c r="M81" s="374">
        <v>0</v>
      </c>
      <c r="N81" s="375">
        <v>0</v>
      </c>
      <c r="O81" s="541">
        <v>0</v>
      </c>
      <c r="P81" s="726">
        <v>0</v>
      </c>
      <c r="Q81" s="676">
        <v>0</v>
      </c>
      <c r="R81" s="376">
        <f>P81+Q81</f>
        <v>0</v>
      </c>
      <c r="S81" s="592">
        <v>0</v>
      </c>
      <c r="T81" s="22">
        <v>0</v>
      </c>
      <c r="U81" s="23">
        <v>1421.2302</v>
      </c>
      <c r="V81" s="23"/>
      <c r="W81" s="23"/>
      <c r="X81" s="27">
        <v>0</v>
      </c>
      <c r="Y81" s="87">
        <v>0</v>
      </c>
      <c r="Z81" s="27">
        <v>0</v>
      </c>
      <c r="AA81" s="582" t="s">
        <v>1593</v>
      </c>
      <c r="AB81" s="75" t="s">
        <v>1329</v>
      </c>
      <c r="AC81" s="713" t="s">
        <v>369</v>
      </c>
      <c r="AD81" s="379" t="s">
        <v>1283</v>
      </c>
      <c r="AE81" s="74" t="s">
        <v>1283</v>
      </c>
      <c r="AF81" s="722"/>
      <c r="AH81" s="516">
        <f>H81-J81-R81-S81-U81-X81-Y81-Z81</f>
        <v>0</v>
      </c>
      <c r="AI81" s="351">
        <f>R81-P81-Q81</f>
        <v>0</v>
      </c>
      <c r="AJ81" s="553">
        <f>K81-R81</f>
        <v>0</v>
      </c>
      <c r="AK81" s="509">
        <f>R81+S81-L81-M81-N81-O81</f>
        <v>0</v>
      </c>
      <c r="AL81" s="1140"/>
      <c r="AM81" s="1179"/>
      <c r="AN81" s="662" t="s">
        <v>458</v>
      </c>
      <c r="AO81" s="175">
        <v>7</v>
      </c>
      <c r="AP81" s="175"/>
      <c r="AQ81" s="814">
        <v>3</v>
      </c>
      <c r="AR81" s="1148"/>
      <c r="AS81" s="435"/>
      <c r="AT81" s="582" t="s">
        <v>1823</v>
      </c>
      <c r="AU81" s="582"/>
      <c r="AV81" s="582"/>
      <c r="AW81" s="776" t="s">
        <v>1633</v>
      </c>
      <c r="AX81" s="594" t="s">
        <v>1391</v>
      </c>
      <c r="AY81" s="436">
        <v>1</v>
      </c>
      <c r="AZ81" s="436">
        <v>0</v>
      </c>
      <c r="BA81" s="653"/>
      <c r="BB81" s="434"/>
      <c r="BC81" s="434"/>
      <c r="BD81" s="434"/>
      <c r="BE81" s="434"/>
      <c r="BF81" s="434"/>
      <c r="BG81" s="1101"/>
      <c r="BH81" s="1101"/>
      <c r="BI81" s="1101"/>
      <c r="BJ81" s="710">
        <v>0</v>
      </c>
    </row>
    <row r="82" spans="1:62" s="206" customFormat="1" ht="25.5" x14ac:dyDescent="0.2">
      <c r="A82" s="173" t="s">
        <v>495</v>
      </c>
      <c r="B82" s="144" t="s">
        <v>496</v>
      </c>
      <c r="C82" s="191">
        <v>2017</v>
      </c>
      <c r="D82" s="75" t="s">
        <v>79</v>
      </c>
      <c r="E82" s="84" t="s">
        <v>460</v>
      </c>
      <c r="F82" s="84" t="s">
        <v>460</v>
      </c>
      <c r="G82" s="229" t="s">
        <v>497</v>
      </c>
      <c r="H82" s="25">
        <v>2178</v>
      </c>
      <c r="I82" s="25"/>
      <c r="J82" s="25">
        <v>2178</v>
      </c>
      <c r="K82" s="172"/>
      <c r="L82" s="24">
        <v>0</v>
      </c>
      <c r="M82" s="43">
        <v>0</v>
      </c>
      <c r="N82" s="24">
        <v>0</v>
      </c>
      <c r="O82" s="23">
        <v>0</v>
      </c>
      <c r="P82" s="24">
        <v>622</v>
      </c>
      <c r="Q82" s="1161">
        <v>-622</v>
      </c>
      <c r="R82" s="24">
        <f t="shared" si="26"/>
        <v>0</v>
      </c>
      <c r="S82" s="27">
        <v>0</v>
      </c>
      <c r="T82" s="26"/>
      <c r="U82" s="26">
        <v>0</v>
      </c>
      <c r="V82" s="26"/>
      <c r="W82" s="26"/>
      <c r="X82" s="27">
        <v>0</v>
      </c>
      <c r="Y82" s="26">
        <v>0</v>
      </c>
      <c r="Z82" s="26"/>
      <c r="AA82" s="192" t="s">
        <v>1197</v>
      </c>
      <c r="AB82" s="191" t="s">
        <v>1256</v>
      </c>
      <c r="AC82" s="74" t="s">
        <v>1209</v>
      </c>
      <c r="AD82" s="584"/>
      <c r="AE82" s="584"/>
      <c r="AF82" s="584"/>
      <c r="AH82" s="633">
        <f t="shared" ref="AH82:AH89" si="27">H82-J82-R82-S82-T82-U82-X82-Y82-Z82</f>
        <v>0</v>
      </c>
      <c r="AI82" s="605">
        <f t="shared" si="1"/>
        <v>0</v>
      </c>
      <c r="AJ82" s="120">
        <f t="shared" si="24"/>
        <v>0</v>
      </c>
      <c r="AK82" s="634">
        <f t="shared" si="4"/>
        <v>0</v>
      </c>
      <c r="AL82" s="120"/>
      <c r="AM82" s="1179"/>
      <c r="AN82" s="175" t="s">
        <v>458</v>
      </c>
      <c r="AO82" s="175">
        <v>7</v>
      </c>
      <c r="AP82" s="175"/>
      <c r="AQ82" s="175">
        <v>1</v>
      </c>
      <c r="AR82" s="1175"/>
      <c r="AS82" s="148"/>
      <c r="AY82" s="66"/>
      <c r="AZ82" s="66"/>
      <c r="BB82" s="1134"/>
      <c r="BC82" s="1134"/>
      <c r="BD82" s="1134"/>
      <c r="BE82" s="1134"/>
      <c r="BF82" s="1134"/>
    </row>
    <row r="83" spans="1:62" s="206" customFormat="1" ht="25.5" x14ac:dyDescent="0.2">
      <c r="A83" s="173" t="s">
        <v>498</v>
      </c>
      <c r="B83" s="144" t="s">
        <v>499</v>
      </c>
      <c r="C83" s="191">
        <v>2017</v>
      </c>
      <c r="D83" s="75" t="s">
        <v>79</v>
      </c>
      <c r="E83" s="84" t="s">
        <v>460</v>
      </c>
      <c r="F83" s="84" t="s">
        <v>460</v>
      </c>
      <c r="G83" s="229" t="s">
        <v>500</v>
      </c>
      <c r="H83" s="25">
        <v>373.89</v>
      </c>
      <c r="I83" s="25"/>
      <c r="J83" s="25">
        <v>373.89</v>
      </c>
      <c r="K83" s="172"/>
      <c r="L83" s="27">
        <v>0</v>
      </c>
      <c r="M83" s="40">
        <v>0</v>
      </c>
      <c r="N83" s="27">
        <v>0</v>
      </c>
      <c r="O83" s="26">
        <v>0</v>
      </c>
      <c r="P83" s="27">
        <v>226.11</v>
      </c>
      <c r="Q83" s="1161">
        <v>-226.11</v>
      </c>
      <c r="R83" s="27">
        <f t="shared" si="26"/>
        <v>0</v>
      </c>
      <c r="S83" s="181">
        <v>0</v>
      </c>
      <c r="T83" s="606"/>
      <c r="U83" s="26">
        <v>0</v>
      </c>
      <c r="V83" s="26"/>
      <c r="W83" s="26"/>
      <c r="X83" s="27">
        <v>0</v>
      </c>
      <c r="Y83" s="26">
        <v>0</v>
      </c>
      <c r="Z83" s="26"/>
      <c r="AA83" s="192" t="s">
        <v>1197</v>
      </c>
      <c r="AB83" s="191" t="s">
        <v>1256</v>
      </c>
      <c r="AC83" s="74" t="s">
        <v>1209</v>
      </c>
      <c r="AD83" s="584"/>
      <c r="AE83" s="584"/>
      <c r="AF83" s="584"/>
      <c r="AH83" s="633">
        <f t="shared" si="27"/>
        <v>0</v>
      </c>
      <c r="AI83" s="605">
        <f t="shared" si="1"/>
        <v>0</v>
      </c>
      <c r="AJ83" s="120">
        <f t="shared" si="24"/>
        <v>0</v>
      </c>
      <c r="AK83" s="634">
        <f t="shared" si="4"/>
        <v>0</v>
      </c>
      <c r="AL83" s="120"/>
      <c r="AM83" s="1179"/>
      <c r="AN83" s="175" t="s">
        <v>458</v>
      </c>
      <c r="AO83" s="175">
        <v>7</v>
      </c>
      <c r="AP83" s="175"/>
      <c r="AQ83" s="175">
        <v>1</v>
      </c>
      <c r="AR83" s="1175"/>
      <c r="AS83" s="148"/>
      <c r="AY83" s="66"/>
      <c r="AZ83" s="66"/>
      <c r="BB83" s="1134"/>
      <c r="BC83" s="1134"/>
      <c r="BD83" s="1134"/>
      <c r="BE83" s="1134"/>
      <c r="BF83" s="1134"/>
    </row>
    <row r="84" spans="1:62" s="206" customFormat="1" ht="25.5" x14ac:dyDescent="0.2">
      <c r="A84" s="173" t="s">
        <v>501</v>
      </c>
      <c r="B84" s="144" t="s">
        <v>502</v>
      </c>
      <c r="C84" s="191">
        <v>2017</v>
      </c>
      <c r="D84" s="75" t="s">
        <v>79</v>
      </c>
      <c r="E84" s="84" t="s">
        <v>460</v>
      </c>
      <c r="F84" s="84" t="s">
        <v>460</v>
      </c>
      <c r="G84" s="229" t="s">
        <v>503</v>
      </c>
      <c r="H84" s="25">
        <v>373.89</v>
      </c>
      <c r="I84" s="25"/>
      <c r="J84" s="25">
        <v>373.89</v>
      </c>
      <c r="K84" s="172"/>
      <c r="L84" s="27">
        <v>0</v>
      </c>
      <c r="M84" s="40">
        <v>0</v>
      </c>
      <c r="N84" s="27">
        <v>0</v>
      </c>
      <c r="O84" s="26">
        <v>0</v>
      </c>
      <c r="P84" s="27">
        <v>76.11</v>
      </c>
      <c r="Q84" s="1161">
        <v>-76.11</v>
      </c>
      <c r="R84" s="27">
        <f t="shared" si="26"/>
        <v>0</v>
      </c>
      <c r="S84" s="181">
        <v>0</v>
      </c>
      <c r="T84" s="606"/>
      <c r="U84" s="26">
        <v>0</v>
      </c>
      <c r="V84" s="26"/>
      <c r="W84" s="26"/>
      <c r="X84" s="27">
        <v>0</v>
      </c>
      <c r="Y84" s="26">
        <v>0</v>
      </c>
      <c r="Z84" s="26"/>
      <c r="AA84" s="192" t="s">
        <v>1197</v>
      </c>
      <c r="AB84" s="191" t="s">
        <v>1256</v>
      </c>
      <c r="AC84" s="74" t="s">
        <v>1209</v>
      </c>
      <c r="AD84" s="584"/>
      <c r="AE84" s="584"/>
      <c r="AF84" s="584"/>
      <c r="AH84" s="633">
        <f t="shared" si="27"/>
        <v>0</v>
      </c>
      <c r="AI84" s="605">
        <f t="shared" si="1"/>
        <v>0</v>
      </c>
      <c r="AJ84" s="120">
        <f t="shared" si="24"/>
        <v>0</v>
      </c>
      <c r="AK84" s="634">
        <f t="shared" si="4"/>
        <v>0</v>
      </c>
      <c r="AL84" s="120"/>
      <c r="AM84" s="1179"/>
      <c r="AN84" s="175" t="s">
        <v>458</v>
      </c>
      <c r="AO84" s="175">
        <v>7</v>
      </c>
      <c r="AP84" s="175"/>
      <c r="AQ84" s="175">
        <v>1</v>
      </c>
      <c r="AR84" s="1175"/>
      <c r="AS84" s="148"/>
      <c r="AY84" s="66"/>
      <c r="AZ84" s="66"/>
      <c r="BB84" s="1134"/>
      <c r="BC84" s="1134"/>
      <c r="BD84" s="1134"/>
      <c r="BE84" s="1134"/>
      <c r="BF84" s="1134"/>
    </row>
    <row r="85" spans="1:62" s="206" customFormat="1" ht="25.5" x14ac:dyDescent="0.2">
      <c r="A85" s="173" t="s">
        <v>508</v>
      </c>
      <c r="B85" s="144" t="s">
        <v>509</v>
      </c>
      <c r="C85" s="191">
        <v>2017</v>
      </c>
      <c r="D85" s="75" t="s">
        <v>79</v>
      </c>
      <c r="E85" s="84" t="s">
        <v>510</v>
      </c>
      <c r="F85" s="84" t="s">
        <v>510</v>
      </c>
      <c r="G85" s="229" t="s">
        <v>511</v>
      </c>
      <c r="H85" s="25">
        <v>598.95000000000005</v>
      </c>
      <c r="I85" s="25"/>
      <c r="J85" s="25">
        <v>598.95000000000005</v>
      </c>
      <c r="K85" s="172"/>
      <c r="L85" s="27">
        <v>0</v>
      </c>
      <c r="M85" s="40">
        <v>0</v>
      </c>
      <c r="N85" s="27">
        <v>0</v>
      </c>
      <c r="O85" s="26">
        <v>0</v>
      </c>
      <c r="P85" s="27">
        <v>6.05</v>
      </c>
      <c r="Q85" s="1161">
        <v>-6.05</v>
      </c>
      <c r="R85" s="27">
        <f t="shared" si="26"/>
        <v>0</v>
      </c>
      <c r="S85" s="181">
        <v>0</v>
      </c>
      <c r="T85" s="606"/>
      <c r="U85" s="26">
        <v>0</v>
      </c>
      <c r="V85" s="26"/>
      <c r="W85" s="26"/>
      <c r="X85" s="27">
        <v>0</v>
      </c>
      <c r="Y85" s="26">
        <v>0</v>
      </c>
      <c r="Z85" s="26"/>
      <c r="AA85" s="192" t="s">
        <v>1197</v>
      </c>
      <c r="AB85" s="191" t="s">
        <v>1256</v>
      </c>
      <c r="AC85" s="74" t="s">
        <v>1209</v>
      </c>
      <c r="AD85" s="584"/>
      <c r="AE85" s="584"/>
      <c r="AF85" s="584"/>
      <c r="AH85" s="633">
        <f t="shared" si="27"/>
        <v>0</v>
      </c>
      <c r="AI85" s="605">
        <f t="shared" si="1"/>
        <v>0</v>
      </c>
      <c r="AJ85" s="120">
        <f t="shared" si="24"/>
        <v>0</v>
      </c>
      <c r="AK85" s="634">
        <f t="shared" si="4"/>
        <v>0</v>
      </c>
      <c r="AL85" s="120"/>
      <c r="AM85" s="1179"/>
      <c r="AN85" s="175" t="s">
        <v>458</v>
      </c>
      <c r="AO85" s="175">
        <v>7</v>
      </c>
      <c r="AP85" s="175"/>
      <c r="AQ85" s="175">
        <v>1</v>
      </c>
      <c r="AR85" s="1175"/>
      <c r="AS85" s="148"/>
      <c r="AY85" s="66"/>
      <c r="AZ85" s="66"/>
      <c r="BB85" s="1134"/>
      <c r="BC85" s="1134"/>
      <c r="BD85" s="1134"/>
      <c r="BE85" s="1134"/>
      <c r="BF85" s="1134"/>
    </row>
    <row r="86" spans="1:62" s="1013" customFormat="1" ht="153" hidden="1" x14ac:dyDescent="0.25">
      <c r="A86" s="173" t="s">
        <v>517</v>
      </c>
      <c r="B86" s="144" t="s">
        <v>518</v>
      </c>
      <c r="C86" s="290">
        <v>2018</v>
      </c>
      <c r="D86" s="78" t="s">
        <v>228</v>
      </c>
      <c r="E86" s="88" t="s">
        <v>487</v>
      </c>
      <c r="F86" s="88" t="s">
        <v>487</v>
      </c>
      <c r="G86" s="273" t="s">
        <v>519</v>
      </c>
      <c r="H86" s="42">
        <v>12000</v>
      </c>
      <c r="I86" s="42">
        <v>11</v>
      </c>
      <c r="J86" s="42">
        <v>500.94</v>
      </c>
      <c r="K86" s="710">
        <v>0</v>
      </c>
      <c r="L86" s="542">
        <v>0</v>
      </c>
      <c r="M86" s="374">
        <v>0</v>
      </c>
      <c r="N86" s="375">
        <v>0</v>
      </c>
      <c r="O86" s="541">
        <v>0</v>
      </c>
      <c r="P86" s="726">
        <v>0</v>
      </c>
      <c r="Q86" s="676">
        <v>0</v>
      </c>
      <c r="R86" s="652">
        <f>P86+Q86</f>
        <v>0</v>
      </c>
      <c r="S86" s="838">
        <v>0</v>
      </c>
      <c r="T86" s="27">
        <v>0</v>
      </c>
      <c r="U86" s="23">
        <v>11499.06</v>
      </c>
      <c r="V86" s="23"/>
      <c r="W86" s="23"/>
      <c r="X86" s="27">
        <v>0</v>
      </c>
      <c r="Y86" s="87">
        <v>0</v>
      </c>
      <c r="Z86" s="27">
        <v>0</v>
      </c>
      <c r="AA86" s="858" t="s">
        <v>1850</v>
      </c>
      <c r="AB86" s="711" t="s">
        <v>1300</v>
      </c>
      <c r="AC86" s="713" t="s">
        <v>846</v>
      </c>
      <c r="AD86" s="379" t="s">
        <v>1282</v>
      </c>
      <c r="AE86" s="74" t="s">
        <v>1282</v>
      </c>
      <c r="AF86" s="722"/>
      <c r="AH86" s="1011">
        <f t="shared" si="27"/>
        <v>0</v>
      </c>
      <c r="AI86" s="452">
        <f>R86-P86-Q86</f>
        <v>0</v>
      </c>
      <c r="AJ86" s="1012">
        <f>K86-R86</f>
        <v>0</v>
      </c>
      <c r="AK86" s="513">
        <f>R86+S86-L86-M86-N86-O86</f>
        <v>0</v>
      </c>
      <c r="AL86" s="1142"/>
      <c r="AM86" s="1179"/>
      <c r="AN86" s="662" t="s">
        <v>458</v>
      </c>
      <c r="AO86" s="175">
        <v>7</v>
      </c>
      <c r="AP86" s="175"/>
      <c r="AQ86" s="814">
        <v>4</v>
      </c>
      <c r="AR86" s="1148"/>
      <c r="AS86" s="435"/>
      <c r="AT86" s="75"/>
      <c r="AU86" s="432"/>
      <c r="AV86" s="858" t="s">
        <v>1850</v>
      </c>
      <c r="AW86" s="1075" t="s">
        <v>1634</v>
      </c>
      <c r="AX86" s="192" t="s">
        <v>1393</v>
      </c>
      <c r="AY86" s="436">
        <v>1</v>
      </c>
      <c r="AZ86" s="436">
        <v>0</v>
      </c>
      <c r="BA86" s="653"/>
      <c r="BB86" s="434"/>
      <c r="BC86" s="434"/>
      <c r="BD86" s="434"/>
      <c r="BE86" s="434"/>
      <c r="BF86" s="434"/>
      <c r="BG86" s="710">
        <v>0</v>
      </c>
      <c r="BH86" s="710"/>
      <c r="BI86" s="710">
        <v>0</v>
      </c>
      <c r="BJ86" s="710">
        <v>0</v>
      </c>
    </row>
    <row r="87" spans="1:62" s="179" customFormat="1" ht="30" x14ac:dyDescent="0.2">
      <c r="A87" s="173" t="s">
        <v>520</v>
      </c>
      <c r="B87" s="144" t="s">
        <v>1012</v>
      </c>
      <c r="C87" s="191">
        <v>2018</v>
      </c>
      <c r="D87" s="75" t="s">
        <v>1232</v>
      </c>
      <c r="E87" s="84" t="s">
        <v>521</v>
      </c>
      <c r="F87" s="84" t="s">
        <v>521</v>
      </c>
      <c r="G87" s="229" t="s">
        <v>522</v>
      </c>
      <c r="H87" s="25">
        <v>7000</v>
      </c>
      <c r="I87" s="25"/>
      <c r="J87" s="25">
        <v>5000</v>
      </c>
      <c r="K87" s="172"/>
      <c r="L87" s="27">
        <v>0</v>
      </c>
      <c r="M87" s="40">
        <v>0</v>
      </c>
      <c r="N87" s="27">
        <v>0</v>
      </c>
      <c r="O87" s="26">
        <v>0</v>
      </c>
      <c r="P87" s="27">
        <v>0</v>
      </c>
      <c r="Q87" s="1161">
        <v>0</v>
      </c>
      <c r="R87" s="27">
        <f t="shared" si="26"/>
        <v>0</v>
      </c>
      <c r="S87" s="181">
        <v>0</v>
      </c>
      <c r="T87" s="606"/>
      <c r="U87" s="26">
        <v>2000</v>
      </c>
      <c r="V87" s="26"/>
      <c r="W87" s="26"/>
      <c r="X87" s="27">
        <v>0</v>
      </c>
      <c r="Y87" s="26">
        <v>0</v>
      </c>
      <c r="Z87" s="26"/>
      <c r="AA87" s="192" t="s">
        <v>1199</v>
      </c>
      <c r="AB87" s="191" t="s">
        <v>1256</v>
      </c>
      <c r="AC87" s="74" t="s">
        <v>1209</v>
      </c>
      <c r="AD87" s="584"/>
      <c r="AE87" s="584"/>
      <c r="AF87" s="584"/>
      <c r="AH87" s="633">
        <f t="shared" si="27"/>
        <v>0</v>
      </c>
      <c r="AI87" s="605">
        <f t="shared" si="1"/>
        <v>0</v>
      </c>
      <c r="AJ87" s="120">
        <f t="shared" si="24"/>
        <v>0</v>
      </c>
      <c r="AK87" s="634">
        <f t="shared" si="4"/>
        <v>0</v>
      </c>
      <c r="AL87" s="120"/>
      <c r="AM87" s="1179"/>
      <c r="AN87" s="175" t="s">
        <v>458</v>
      </c>
      <c r="AO87" s="175">
        <v>7</v>
      </c>
      <c r="AP87" s="175"/>
      <c r="AQ87" s="175">
        <v>1</v>
      </c>
      <c r="AR87" s="1175"/>
      <c r="AS87" s="148"/>
      <c r="AY87" s="66"/>
      <c r="AZ87" s="66"/>
      <c r="BB87" s="1134"/>
      <c r="BC87" s="1134"/>
      <c r="BD87" s="1134"/>
      <c r="BE87" s="1134"/>
      <c r="BF87" s="1134"/>
    </row>
    <row r="88" spans="1:62" s="179" customFormat="1" ht="30" x14ac:dyDescent="0.2">
      <c r="A88" s="173" t="s">
        <v>523</v>
      </c>
      <c r="B88" s="144" t="s">
        <v>1013</v>
      </c>
      <c r="C88" s="191">
        <v>2018</v>
      </c>
      <c r="D88" s="75" t="s">
        <v>1233</v>
      </c>
      <c r="E88" s="84" t="s">
        <v>521</v>
      </c>
      <c r="F88" s="84" t="s">
        <v>521</v>
      </c>
      <c r="G88" s="229" t="s">
        <v>524</v>
      </c>
      <c r="H88" s="25">
        <v>1000</v>
      </c>
      <c r="I88" s="25"/>
      <c r="J88" s="25">
        <v>1000</v>
      </c>
      <c r="K88" s="172"/>
      <c r="L88" s="27">
        <v>0</v>
      </c>
      <c r="M88" s="40">
        <v>0</v>
      </c>
      <c r="N88" s="27">
        <v>0</v>
      </c>
      <c r="O88" s="26">
        <v>0</v>
      </c>
      <c r="P88" s="27">
        <v>0</v>
      </c>
      <c r="Q88" s="1161">
        <v>0</v>
      </c>
      <c r="R88" s="27">
        <f t="shared" si="26"/>
        <v>0</v>
      </c>
      <c r="S88" s="181">
        <v>0</v>
      </c>
      <c r="T88" s="606"/>
      <c r="U88" s="26">
        <v>0</v>
      </c>
      <c r="V88" s="26"/>
      <c r="W88" s="26"/>
      <c r="X88" s="27">
        <v>0</v>
      </c>
      <c r="Y88" s="26">
        <v>0</v>
      </c>
      <c r="Z88" s="26"/>
      <c r="AA88" s="192" t="s">
        <v>1209</v>
      </c>
      <c r="AB88" s="191" t="s">
        <v>1256</v>
      </c>
      <c r="AC88" s="74" t="s">
        <v>1209</v>
      </c>
      <c r="AD88" s="584"/>
      <c r="AE88" s="584"/>
      <c r="AF88" s="584"/>
      <c r="AH88" s="633">
        <f t="shared" si="27"/>
        <v>0</v>
      </c>
      <c r="AI88" s="605">
        <f t="shared" si="1"/>
        <v>0</v>
      </c>
      <c r="AJ88" s="120">
        <f t="shared" si="24"/>
        <v>0</v>
      </c>
      <c r="AK88" s="634">
        <f t="shared" si="4"/>
        <v>0</v>
      </c>
      <c r="AL88" s="120"/>
      <c r="AM88" s="1179"/>
      <c r="AN88" s="175" t="s">
        <v>458</v>
      </c>
      <c r="AO88" s="175">
        <v>7</v>
      </c>
      <c r="AP88" s="175"/>
      <c r="AQ88" s="175">
        <v>1</v>
      </c>
      <c r="AR88" s="1175"/>
      <c r="AS88" s="148"/>
      <c r="AY88" s="66"/>
      <c r="AZ88" s="66"/>
      <c r="BB88" s="1134"/>
      <c r="BC88" s="1134"/>
      <c r="BD88" s="1134"/>
      <c r="BE88" s="1134"/>
      <c r="BF88" s="1134"/>
    </row>
    <row r="89" spans="1:62" s="179" customFormat="1" ht="25.5" x14ac:dyDescent="0.2">
      <c r="A89" s="173" t="s">
        <v>525</v>
      </c>
      <c r="B89" s="144" t="s">
        <v>1014</v>
      </c>
      <c r="C89" s="191">
        <v>2018</v>
      </c>
      <c r="D89" s="75" t="s">
        <v>1234</v>
      </c>
      <c r="E89" s="84" t="s">
        <v>521</v>
      </c>
      <c r="F89" s="84" t="s">
        <v>521</v>
      </c>
      <c r="G89" s="229" t="s">
        <v>526</v>
      </c>
      <c r="H89" s="25">
        <v>22000</v>
      </c>
      <c r="I89" s="25"/>
      <c r="J89" s="25">
        <v>21500</v>
      </c>
      <c r="K89" s="172"/>
      <c r="L89" s="27">
        <v>0</v>
      </c>
      <c r="M89" s="40">
        <v>0</v>
      </c>
      <c r="N89" s="27">
        <v>0</v>
      </c>
      <c r="O89" s="26">
        <v>0</v>
      </c>
      <c r="P89" s="27">
        <v>0</v>
      </c>
      <c r="Q89" s="1161">
        <v>0</v>
      </c>
      <c r="R89" s="27">
        <f t="shared" si="26"/>
        <v>0</v>
      </c>
      <c r="S89" s="181">
        <v>0</v>
      </c>
      <c r="T89" s="606"/>
      <c r="U89" s="26">
        <v>500</v>
      </c>
      <c r="V89" s="26"/>
      <c r="W89" s="26"/>
      <c r="X89" s="27">
        <v>0</v>
      </c>
      <c r="Y89" s="26">
        <v>0</v>
      </c>
      <c r="Z89" s="26"/>
      <c r="AA89" s="192" t="s">
        <v>1199</v>
      </c>
      <c r="AB89" s="191" t="s">
        <v>1256</v>
      </c>
      <c r="AC89" s="74" t="s">
        <v>1209</v>
      </c>
      <c r="AD89" s="584"/>
      <c r="AE89" s="584"/>
      <c r="AF89" s="584"/>
      <c r="AH89" s="633">
        <f t="shared" si="27"/>
        <v>0</v>
      </c>
      <c r="AI89" s="605">
        <f t="shared" si="1"/>
        <v>0</v>
      </c>
      <c r="AJ89" s="120">
        <f t="shared" si="24"/>
        <v>0</v>
      </c>
      <c r="AK89" s="634">
        <f t="shared" si="4"/>
        <v>0</v>
      </c>
      <c r="AL89" s="120"/>
      <c r="AM89" s="1179"/>
      <c r="AN89" s="175" t="s">
        <v>458</v>
      </c>
      <c r="AO89" s="175">
        <v>7</v>
      </c>
      <c r="AP89" s="175"/>
      <c r="AQ89" s="175">
        <v>1</v>
      </c>
      <c r="AR89" s="1175"/>
      <c r="AS89" s="148"/>
      <c r="AY89" s="66"/>
      <c r="AZ89" s="66"/>
      <c r="BB89" s="1134"/>
      <c r="BC89" s="1134"/>
      <c r="BD89" s="1134"/>
      <c r="BE89" s="1134"/>
      <c r="BF89" s="1134"/>
    </row>
    <row r="90" spans="1:62" s="179" customFormat="1" ht="46.5" customHeight="1" x14ac:dyDescent="0.2">
      <c r="A90" s="173" t="s">
        <v>527</v>
      </c>
      <c r="B90" s="144" t="s">
        <v>1015</v>
      </c>
      <c r="C90" s="191">
        <v>2018</v>
      </c>
      <c r="D90" s="75" t="s">
        <v>1362</v>
      </c>
      <c r="E90" s="84" t="s">
        <v>460</v>
      </c>
      <c r="F90" s="77" t="s">
        <v>460</v>
      </c>
      <c r="G90" s="229" t="s">
        <v>528</v>
      </c>
      <c r="H90" s="25">
        <v>13270</v>
      </c>
      <c r="I90" s="25">
        <v>2</v>
      </c>
      <c r="J90" s="25">
        <v>117.685</v>
      </c>
      <c r="K90" s="710">
        <v>0</v>
      </c>
      <c r="L90" s="542">
        <v>0</v>
      </c>
      <c r="M90" s="374">
        <v>0</v>
      </c>
      <c r="N90" s="375">
        <v>0</v>
      </c>
      <c r="O90" s="541">
        <v>0</v>
      </c>
      <c r="P90" s="545">
        <v>0</v>
      </c>
      <c r="Q90" s="676">
        <v>0</v>
      </c>
      <c r="R90" s="376">
        <f>P90+Q90</f>
        <v>0</v>
      </c>
      <c r="S90" s="837">
        <v>0</v>
      </c>
      <c r="T90" s="22">
        <v>0</v>
      </c>
      <c r="U90" s="374">
        <v>3982</v>
      </c>
      <c r="V90" s="86"/>
      <c r="W90" s="86"/>
      <c r="X90" s="45">
        <v>0</v>
      </c>
      <c r="Y90" s="44">
        <v>0</v>
      </c>
      <c r="Z90" s="27">
        <v>9170.3150000000005</v>
      </c>
      <c r="AA90" s="857" t="s">
        <v>1594</v>
      </c>
      <c r="AB90" s="711" t="s">
        <v>1329</v>
      </c>
      <c r="AC90" s="712" t="s">
        <v>986</v>
      </c>
      <c r="AD90" s="379" t="s">
        <v>1283</v>
      </c>
      <c r="AE90" s="74" t="s">
        <v>1283</v>
      </c>
      <c r="AF90" s="722"/>
      <c r="AH90" s="516">
        <f>H90-J90-R90-S90-U90-X90-Y90-Z90</f>
        <v>0</v>
      </c>
      <c r="AI90" s="351">
        <f>R90-P90-Q90</f>
        <v>0</v>
      </c>
      <c r="AJ90" s="553">
        <f>K90-R90</f>
        <v>0</v>
      </c>
      <c r="AK90" s="509">
        <f>R90+S90-L90-M90-N90-O90</f>
        <v>0</v>
      </c>
      <c r="AL90" s="1140"/>
      <c r="AM90" s="1179"/>
      <c r="AN90" s="662" t="s">
        <v>458</v>
      </c>
      <c r="AO90" s="175">
        <v>7</v>
      </c>
      <c r="AP90" s="175"/>
      <c r="AQ90" s="814">
        <v>3</v>
      </c>
      <c r="AR90" s="1148"/>
      <c r="AS90" s="435"/>
      <c r="AT90" s="582" t="s">
        <v>1824</v>
      </c>
      <c r="AU90" s="432"/>
      <c r="AV90" s="432"/>
      <c r="AW90" s="777" t="s">
        <v>1635</v>
      </c>
      <c r="AX90" s="192" t="s">
        <v>1394</v>
      </c>
      <c r="AY90" s="436">
        <v>1</v>
      </c>
      <c r="AZ90" s="436">
        <v>0</v>
      </c>
      <c r="BA90" s="653"/>
      <c r="BB90" s="434"/>
      <c r="BC90" s="434"/>
      <c r="BD90" s="434"/>
      <c r="BE90" s="434"/>
      <c r="BF90" s="434"/>
      <c r="BG90" s="1101"/>
      <c r="BH90" s="1101"/>
      <c r="BI90" s="1101"/>
      <c r="BJ90" s="710">
        <v>0</v>
      </c>
    </row>
    <row r="91" spans="1:62" s="179" customFormat="1" ht="30" x14ac:dyDescent="0.2">
      <c r="A91" s="173" t="s">
        <v>533</v>
      </c>
      <c r="B91" s="75" t="s">
        <v>1018</v>
      </c>
      <c r="C91" s="191">
        <v>2018</v>
      </c>
      <c r="D91" s="75" t="s">
        <v>1239</v>
      </c>
      <c r="E91" s="84" t="s">
        <v>457</v>
      </c>
      <c r="F91" s="84" t="s">
        <v>457</v>
      </c>
      <c r="G91" s="229" t="s">
        <v>534</v>
      </c>
      <c r="H91" s="25">
        <v>4719</v>
      </c>
      <c r="I91" s="25"/>
      <c r="J91" s="25">
        <v>4719</v>
      </c>
      <c r="K91" s="172"/>
      <c r="L91" s="27">
        <v>0</v>
      </c>
      <c r="M91" s="40">
        <v>0</v>
      </c>
      <c r="N91" s="27">
        <v>0</v>
      </c>
      <c r="O91" s="26">
        <v>0</v>
      </c>
      <c r="P91" s="27">
        <v>181</v>
      </c>
      <c r="Q91" s="1161">
        <v>-181</v>
      </c>
      <c r="R91" s="27">
        <f t="shared" si="26"/>
        <v>0</v>
      </c>
      <c r="S91" s="181">
        <v>0</v>
      </c>
      <c r="T91" s="181"/>
      <c r="U91" s="27">
        <v>0</v>
      </c>
      <c r="V91" s="27"/>
      <c r="W91" s="27"/>
      <c r="X91" s="27">
        <v>0</v>
      </c>
      <c r="Y91" s="26">
        <v>0</v>
      </c>
      <c r="Z91" s="26"/>
      <c r="AA91" s="192" t="s">
        <v>1197</v>
      </c>
      <c r="AB91" s="191" t="s">
        <v>1256</v>
      </c>
      <c r="AC91" s="74" t="s">
        <v>1209</v>
      </c>
      <c r="AD91" s="584"/>
      <c r="AE91" s="584"/>
      <c r="AF91" s="584"/>
      <c r="AH91" s="633">
        <f>H91-J91-R91-S91-T91-U91-X91-Y91-Z91</f>
        <v>0</v>
      </c>
      <c r="AI91" s="605">
        <f t="shared" si="1"/>
        <v>0</v>
      </c>
      <c r="AJ91" s="120">
        <f t="shared" si="24"/>
        <v>0</v>
      </c>
      <c r="AK91" s="634">
        <f t="shared" si="4"/>
        <v>0</v>
      </c>
      <c r="AL91" s="120"/>
      <c r="AM91" s="1179"/>
      <c r="AN91" s="175" t="s">
        <v>458</v>
      </c>
      <c r="AO91" s="175">
        <v>7</v>
      </c>
      <c r="AP91" s="175"/>
      <c r="AQ91" s="175">
        <v>1</v>
      </c>
      <c r="AR91" s="1175"/>
      <c r="AS91" s="148"/>
      <c r="AY91" s="66"/>
      <c r="AZ91" s="66"/>
      <c r="BB91" s="1134"/>
      <c r="BC91" s="1134"/>
      <c r="BD91" s="1134"/>
      <c r="BE91" s="1134"/>
      <c r="BF91" s="1134"/>
    </row>
    <row r="92" spans="1:62" s="179" customFormat="1" ht="30" x14ac:dyDescent="0.2">
      <c r="A92" s="173" t="s">
        <v>535</v>
      </c>
      <c r="B92" s="144" t="s">
        <v>1019</v>
      </c>
      <c r="C92" s="191">
        <v>2018</v>
      </c>
      <c r="D92" s="75" t="s">
        <v>1362</v>
      </c>
      <c r="E92" s="84" t="s">
        <v>487</v>
      </c>
      <c r="F92" s="77" t="s">
        <v>487</v>
      </c>
      <c r="G92" s="229" t="s">
        <v>536</v>
      </c>
      <c r="H92" s="25">
        <v>500</v>
      </c>
      <c r="I92" s="25">
        <v>11</v>
      </c>
      <c r="J92" s="25">
        <v>190.03100000000001</v>
      </c>
      <c r="K92" s="710">
        <v>0</v>
      </c>
      <c r="L92" s="542">
        <v>0</v>
      </c>
      <c r="M92" s="374">
        <v>0</v>
      </c>
      <c r="N92" s="375">
        <v>0</v>
      </c>
      <c r="O92" s="541">
        <v>0</v>
      </c>
      <c r="P92" s="545">
        <v>0</v>
      </c>
      <c r="Q92" s="676">
        <v>0</v>
      </c>
      <c r="R92" s="376">
        <f>P92+Q92</f>
        <v>0</v>
      </c>
      <c r="S92" s="837">
        <v>0</v>
      </c>
      <c r="T92" s="22">
        <v>0</v>
      </c>
      <c r="U92" s="26">
        <v>309.96899999999999</v>
      </c>
      <c r="V92" s="26"/>
      <c r="W92" s="26"/>
      <c r="X92" s="27">
        <v>0</v>
      </c>
      <c r="Y92" s="44">
        <v>0</v>
      </c>
      <c r="Z92" s="27">
        <v>0</v>
      </c>
      <c r="AA92" s="858" t="s">
        <v>1587</v>
      </c>
      <c r="AB92" s="75" t="s">
        <v>1329</v>
      </c>
      <c r="AC92" s="713" t="s">
        <v>384</v>
      </c>
      <c r="AD92" s="379" t="s">
        <v>1283</v>
      </c>
      <c r="AE92" s="797" t="s">
        <v>1283</v>
      </c>
      <c r="AF92" s="722"/>
      <c r="AH92" s="516">
        <f>H92-J92-R92-S92-U92-X92-Y92-Z92</f>
        <v>0</v>
      </c>
      <c r="AI92" s="351">
        <f>R92-P92-Q92</f>
        <v>0</v>
      </c>
      <c r="AJ92" s="553">
        <f>K92-R92</f>
        <v>0</v>
      </c>
      <c r="AK92" s="509">
        <f>R92+S92-L92-M92-N92-O92</f>
        <v>0</v>
      </c>
      <c r="AL92" s="1140"/>
      <c r="AM92" s="1179"/>
      <c r="AN92" s="662" t="s">
        <v>458</v>
      </c>
      <c r="AO92" s="175">
        <v>7</v>
      </c>
      <c r="AP92" s="175"/>
      <c r="AQ92" s="814">
        <v>3</v>
      </c>
      <c r="AR92" s="1148"/>
      <c r="AS92" s="435"/>
      <c r="AT92" s="582" t="s">
        <v>1723</v>
      </c>
      <c r="AU92" s="582"/>
      <c r="AV92" s="582"/>
      <c r="AW92" s="699" t="s">
        <v>1574</v>
      </c>
      <c r="AX92" s="192" t="s">
        <v>1391</v>
      </c>
      <c r="AY92" s="436">
        <v>1</v>
      </c>
      <c r="AZ92" s="436">
        <v>0</v>
      </c>
      <c r="BA92" s="653"/>
      <c r="BB92" s="434"/>
      <c r="BC92" s="434"/>
      <c r="BD92" s="434"/>
      <c r="BE92" s="434"/>
      <c r="BF92" s="434"/>
      <c r="BG92" s="1101"/>
      <c r="BH92" s="1101"/>
      <c r="BI92" s="1101"/>
      <c r="BJ92" s="710">
        <v>0</v>
      </c>
    </row>
    <row r="93" spans="1:62" s="1013" customFormat="1" ht="114.75" hidden="1" x14ac:dyDescent="0.25">
      <c r="A93" s="173" t="s">
        <v>537</v>
      </c>
      <c r="B93" s="144" t="s">
        <v>1020</v>
      </c>
      <c r="C93" s="191">
        <v>2018</v>
      </c>
      <c r="D93" s="75" t="s">
        <v>1362</v>
      </c>
      <c r="E93" s="84" t="s">
        <v>487</v>
      </c>
      <c r="F93" s="77" t="s">
        <v>487</v>
      </c>
      <c r="G93" s="229" t="s">
        <v>1396</v>
      </c>
      <c r="H93" s="25">
        <v>500</v>
      </c>
      <c r="I93" s="25">
        <v>7</v>
      </c>
      <c r="J93" s="25">
        <v>0</v>
      </c>
      <c r="K93" s="710">
        <v>0</v>
      </c>
      <c r="L93" s="542">
        <v>0</v>
      </c>
      <c r="M93" s="374">
        <v>0</v>
      </c>
      <c r="N93" s="375">
        <v>0</v>
      </c>
      <c r="O93" s="541">
        <v>0</v>
      </c>
      <c r="P93" s="545">
        <v>0</v>
      </c>
      <c r="Q93" s="676">
        <v>0</v>
      </c>
      <c r="R93" s="376">
        <f>P93+Q93</f>
        <v>0</v>
      </c>
      <c r="S93" s="837">
        <v>0</v>
      </c>
      <c r="T93" s="27">
        <v>0</v>
      </c>
      <c r="U93" s="26">
        <v>500</v>
      </c>
      <c r="V93" s="26"/>
      <c r="W93" s="26"/>
      <c r="X93" s="27">
        <v>0</v>
      </c>
      <c r="Y93" s="44">
        <v>0</v>
      </c>
      <c r="Z93" s="27">
        <v>0</v>
      </c>
      <c r="AA93" s="854" t="s">
        <v>1851</v>
      </c>
      <c r="AB93" s="711" t="s">
        <v>1300</v>
      </c>
      <c r="AC93" s="713" t="s">
        <v>355</v>
      </c>
      <c r="AD93" s="942" t="s">
        <v>1283</v>
      </c>
      <c r="AE93" s="797" t="s">
        <v>1282</v>
      </c>
      <c r="AF93" s="722"/>
      <c r="AH93" s="1011">
        <f>H93-J93-R93-S93-T93-U93-X93-Y93-Z93</f>
        <v>0</v>
      </c>
      <c r="AI93" s="452">
        <f>R93-P93-Q93</f>
        <v>0</v>
      </c>
      <c r="AJ93" s="1012">
        <f>K93-R93</f>
        <v>0</v>
      </c>
      <c r="AK93" s="513">
        <f>R93+S93-L93-M93-N93-O93</f>
        <v>0</v>
      </c>
      <c r="AL93" s="1142"/>
      <c r="AM93" s="1179"/>
      <c r="AN93" s="662" t="s">
        <v>458</v>
      </c>
      <c r="AO93" s="175">
        <v>7</v>
      </c>
      <c r="AP93" s="175"/>
      <c r="AQ93" s="814">
        <v>4</v>
      </c>
      <c r="AR93" s="1148"/>
      <c r="AS93" s="435"/>
      <c r="AT93" s="75"/>
      <c r="AU93" s="1404"/>
      <c r="AV93" s="854" t="s">
        <v>1851</v>
      </c>
      <c r="AW93" s="854" t="s">
        <v>1575</v>
      </c>
      <c r="AX93" s="724" t="s">
        <v>1397</v>
      </c>
      <c r="AY93" s="436">
        <v>1</v>
      </c>
      <c r="AZ93" s="436">
        <v>0</v>
      </c>
      <c r="BA93" s="653"/>
      <c r="BB93" s="434"/>
      <c r="BC93" s="434"/>
      <c r="BD93" s="434"/>
      <c r="BE93" s="434"/>
      <c r="BF93" s="434"/>
      <c r="BG93" s="710">
        <v>0</v>
      </c>
      <c r="BH93" s="710"/>
      <c r="BI93" s="710">
        <v>0</v>
      </c>
      <c r="BJ93" s="710">
        <v>0</v>
      </c>
    </row>
    <row r="94" spans="1:62" s="179" customFormat="1" ht="25.5" hidden="1" x14ac:dyDescent="0.2">
      <c r="A94" s="173" t="s">
        <v>538</v>
      </c>
      <c r="B94" s="144" t="s">
        <v>1021</v>
      </c>
      <c r="C94" s="191">
        <v>2018</v>
      </c>
      <c r="D94" s="75" t="s">
        <v>1362</v>
      </c>
      <c r="E94" s="84" t="s">
        <v>487</v>
      </c>
      <c r="F94" s="77" t="s">
        <v>487</v>
      </c>
      <c r="G94" s="229" t="s">
        <v>539</v>
      </c>
      <c r="H94" s="25">
        <v>1000</v>
      </c>
      <c r="I94" s="25">
        <v>7</v>
      </c>
      <c r="J94" s="25">
        <v>0</v>
      </c>
      <c r="K94" s="710">
        <v>0</v>
      </c>
      <c r="L94" s="542">
        <v>0</v>
      </c>
      <c r="M94" s="374">
        <v>0</v>
      </c>
      <c r="N94" s="375">
        <v>0</v>
      </c>
      <c r="O94" s="541">
        <v>0</v>
      </c>
      <c r="P94" s="61">
        <v>0</v>
      </c>
      <c r="Q94" s="676">
        <v>0</v>
      </c>
      <c r="R94" s="337">
        <f>P94+Q94</f>
        <v>0</v>
      </c>
      <c r="S94" s="837">
        <v>0</v>
      </c>
      <c r="T94" s="22">
        <v>0</v>
      </c>
      <c r="U94" s="44">
        <v>0</v>
      </c>
      <c r="V94" s="44"/>
      <c r="W94" s="44"/>
      <c r="X94" s="27">
        <v>0</v>
      </c>
      <c r="Y94" s="44">
        <v>0</v>
      </c>
      <c r="Z94" s="27">
        <v>1000</v>
      </c>
      <c r="AA94" s="714" t="s">
        <v>1579</v>
      </c>
      <c r="AB94" s="711" t="s">
        <v>1300</v>
      </c>
      <c r="AC94" s="713" t="s">
        <v>845</v>
      </c>
      <c r="AD94" s="379" t="s">
        <v>1282</v>
      </c>
      <c r="AE94" s="74" t="s">
        <v>1282</v>
      </c>
      <c r="AF94" s="722"/>
      <c r="AH94" s="516">
        <f>H94-J94-R94-S94-U94-X94-Y94-Z94</f>
        <v>0</v>
      </c>
      <c r="AI94" s="351">
        <f>R94-P94-Q94</f>
        <v>0</v>
      </c>
      <c r="AJ94" s="553">
        <f>K94-R94</f>
        <v>0</v>
      </c>
      <c r="AK94" s="509">
        <f>R94+S94-L94-M94-N94-O94</f>
        <v>0</v>
      </c>
      <c r="AL94" s="1140"/>
      <c r="AM94" s="1179"/>
      <c r="AN94" s="662" t="s">
        <v>458</v>
      </c>
      <c r="AO94" s="175">
        <v>7</v>
      </c>
      <c r="AP94" s="175"/>
      <c r="AQ94" s="814">
        <v>3</v>
      </c>
      <c r="AR94" s="1148"/>
      <c r="AS94" s="148"/>
      <c r="AT94" s="581"/>
      <c r="AU94" s="1096"/>
      <c r="AV94" s="1096"/>
      <c r="AW94" s="778" t="s">
        <v>1579</v>
      </c>
      <c r="AX94" s="192" t="s">
        <v>1391</v>
      </c>
      <c r="AY94" s="436">
        <v>0</v>
      </c>
      <c r="AZ94" s="436">
        <v>1</v>
      </c>
      <c r="BA94" s="653"/>
      <c r="BB94" s="434"/>
      <c r="BC94" s="434"/>
      <c r="BD94" s="434"/>
      <c r="BE94" s="434"/>
      <c r="BF94" s="434"/>
      <c r="BG94" s="1101"/>
      <c r="BH94" s="1101"/>
      <c r="BI94" s="1101"/>
      <c r="BJ94" s="710">
        <v>0</v>
      </c>
    </row>
    <row r="95" spans="1:62" s="1013" customFormat="1" ht="101.25" hidden="1" customHeight="1" x14ac:dyDescent="0.25">
      <c r="A95" s="173" t="s">
        <v>540</v>
      </c>
      <c r="B95" s="144" t="s">
        <v>1022</v>
      </c>
      <c r="C95" s="191">
        <v>2018</v>
      </c>
      <c r="D95" s="75" t="s">
        <v>1362</v>
      </c>
      <c r="E95" s="84" t="s">
        <v>510</v>
      </c>
      <c r="F95" s="77" t="s">
        <v>510</v>
      </c>
      <c r="G95" s="229" t="s">
        <v>541</v>
      </c>
      <c r="H95" s="25">
        <v>50000</v>
      </c>
      <c r="I95" s="25" t="s">
        <v>1230</v>
      </c>
      <c r="J95" s="25">
        <v>0</v>
      </c>
      <c r="K95" s="710">
        <v>0</v>
      </c>
      <c r="L95" s="542">
        <v>0</v>
      </c>
      <c r="M95" s="374">
        <v>0</v>
      </c>
      <c r="N95" s="375">
        <v>0</v>
      </c>
      <c r="O95" s="541">
        <v>0</v>
      </c>
      <c r="P95" s="545">
        <v>0</v>
      </c>
      <c r="Q95" s="676">
        <v>0</v>
      </c>
      <c r="R95" s="376">
        <f>P95+Q95</f>
        <v>0</v>
      </c>
      <c r="S95" s="837">
        <v>0</v>
      </c>
      <c r="T95" s="27">
        <v>0</v>
      </c>
      <c r="U95" s="44">
        <v>50000</v>
      </c>
      <c r="V95" s="44"/>
      <c r="W95" s="44"/>
      <c r="X95" s="27">
        <v>0</v>
      </c>
      <c r="Y95" s="943">
        <v>0</v>
      </c>
      <c r="Z95" s="27">
        <v>0</v>
      </c>
      <c r="AA95" s="432" t="s">
        <v>1852</v>
      </c>
      <c r="AB95" s="711" t="s">
        <v>1300</v>
      </c>
      <c r="AC95" s="712" t="s">
        <v>912</v>
      </c>
      <c r="AD95" s="379" t="s">
        <v>1282</v>
      </c>
      <c r="AE95" s="74" t="s">
        <v>1282</v>
      </c>
      <c r="AF95" s="722"/>
      <c r="AH95" s="1011">
        <f>H95-J95-R95-S95-T95-U95-X95-Y95-Z95</f>
        <v>0</v>
      </c>
      <c r="AI95" s="452">
        <f>R95-P95-Q95</f>
        <v>0</v>
      </c>
      <c r="AJ95" s="1012">
        <f>K95-R95</f>
        <v>0</v>
      </c>
      <c r="AK95" s="513">
        <f>R95+S95-L95-M95-N95-O95</f>
        <v>0</v>
      </c>
      <c r="AL95" s="1142"/>
      <c r="AM95" s="1180"/>
      <c r="AN95" s="662" t="s">
        <v>458</v>
      </c>
      <c r="AO95" s="175">
        <v>7</v>
      </c>
      <c r="AP95" s="175"/>
      <c r="AQ95" s="814">
        <v>4</v>
      </c>
      <c r="AR95" s="1178"/>
      <c r="AS95" s="455"/>
      <c r="AT95" s="979"/>
      <c r="AU95" s="1405"/>
      <c r="AV95" s="432" t="s">
        <v>1852</v>
      </c>
      <c r="AW95" s="1077" t="s">
        <v>1636</v>
      </c>
      <c r="AX95" s="982" t="s">
        <v>1917</v>
      </c>
      <c r="AY95" s="1076">
        <v>1</v>
      </c>
      <c r="AZ95" s="1076">
        <v>0</v>
      </c>
      <c r="BA95" s="1078"/>
      <c r="BB95" s="366"/>
      <c r="BC95" s="366"/>
      <c r="BD95" s="366"/>
      <c r="BE95" s="366"/>
      <c r="BF95" s="366"/>
      <c r="BG95" s="710">
        <v>0</v>
      </c>
      <c r="BH95" s="710"/>
      <c r="BI95" s="710">
        <v>0</v>
      </c>
      <c r="BJ95" s="1079">
        <v>0</v>
      </c>
    </row>
    <row r="96" spans="1:62" s="179" customFormat="1" ht="25.5" x14ac:dyDescent="0.2">
      <c r="A96" s="173" t="s">
        <v>542</v>
      </c>
      <c r="B96" s="144" t="s">
        <v>1023</v>
      </c>
      <c r="C96" s="191">
        <v>2018</v>
      </c>
      <c r="D96" s="75" t="s">
        <v>284</v>
      </c>
      <c r="E96" s="84" t="s">
        <v>543</v>
      </c>
      <c r="F96" s="84" t="s">
        <v>543</v>
      </c>
      <c r="G96" s="229" t="s">
        <v>544</v>
      </c>
      <c r="H96" s="25">
        <v>24000</v>
      </c>
      <c r="I96" s="25"/>
      <c r="J96" s="25">
        <v>24000</v>
      </c>
      <c r="K96" s="172"/>
      <c r="L96" s="27">
        <v>0</v>
      </c>
      <c r="M96" s="40">
        <v>0</v>
      </c>
      <c r="N96" s="27">
        <v>0</v>
      </c>
      <c r="O96" s="26">
        <v>0</v>
      </c>
      <c r="P96" s="27">
        <v>0</v>
      </c>
      <c r="Q96" s="1117">
        <v>0</v>
      </c>
      <c r="R96" s="27">
        <f t="shared" si="26"/>
        <v>0</v>
      </c>
      <c r="S96" s="181">
        <v>0</v>
      </c>
      <c r="T96" s="606"/>
      <c r="U96" s="26">
        <v>0</v>
      </c>
      <c r="V96" s="26"/>
      <c r="W96" s="26"/>
      <c r="X96" s="27">
        <v>0</v>
      </c>
      <c r="Y96" s="26">
        <v>0</v>
      </c>
      <c r="Z96" s="26"/>
      <c r="AA96" s="192" t="s">
        <v>1209</v>
      </c>
      <c r="AB96" s="191" t="s">
        <v>1256</v>
      </c>
      <c r="AC96" s="74" t="s">
        <v>1209</v>
      </c>
      <c r="AD96" s="584"/>
      <c r="AE96" s="584"/>
      <c r="AF96" s="584"/>
      <c r="AH96" s="633">
        <f>H96-J96-R96-S96-T96-U96-X96-Y96-Z96</f>
        <v>0</v>
      </c>
      <c r="AI96" s="605">
        <f t="shared" si="1"/>
        <v>0</v>
      </c>
      <c r="AJ96" s="120">
        <f t="shared" si="24"/>
        <v>0</v>
      </c>
      <c r="AK96" s="634">
        <f t="shared" si="4"/>
        <v>0</v>
      </c>
      <c r="AL96" s="120"/>
      <c r="AM96" s="1179"/>
      <c r="AN96" s="175" t="s">
        <v>458</v>
      </c>
      <c r="AO96" s="175">
        <v>7</v>
      </c>
      <c r="AP96" s="175"/>
      <c r="AQ96" s="175">
        <v>1</v>
      </c>
      <c r="AR96" s="1175"/>
      <c r="AS96" s="148"/>
      <c r="AY96" s="66"/>
      <c r="AZ96" s="66"/>
      <c r="BB96" s="1134"/>
      <c r="BC96" s="1134"/>
      <c r="BD96" s="1134"/>
      <c r="BE96" s="1134"/>
      <c r="BF96" s="1134"/>
    </row>
    <row r="97" spans="1:62" s="179" customFormat="1" ht="30" hidden="1" x14ac:dyDescent="0.2">
      <c r="A97" s="173" t="s">
        <v>545</v>
      </c>
      <c r="B97" s="144" t="s">
        <v>1024</v>
      </c>
      <c r="C97" s="191">
        <v>2018</v>
      </c>
      <c r="D97" s="75" t="s">
        <v>284</v>
      </c>
      <c r="E97" s="84" t="s">
        <v>487</v>
      </c>
      <c r="F97" s="84" t="s">
        <v>487</v>
      </c>
      <c r="G97" s="229" t="s">
        <v>546</v>
      </c>
      <c r="H97" s="25">
        <v>11488.27</v>
      </c>
      <c r="I97" s="25">
        <v>11</v>
      </c>
      <c r="J97" s="25">
        <v>0</v>
      </c>
      <c r="K97" s="710">
        <v>0</v>
      </c>
      <c r="L97" s="542">
        <v>0</v>
      </c>
      <c r="M97" s="374">
        <v>0</v>
      </c>
      <c r="N97" s="375">
        <v>0</v>
      </c>
      <c r="O97" s="541">
        <v>0</v>
      </c>
      <c r="P97" s="545">
        <v>0</v>
      </c>
      <c r="Q97" s="676">
        <v>0</v>
      </c>
      <c r="R97" s="376">
        <f>P97+Q97</f>
        <v>0</v>
      </c>
      <c r="S97" s="837">
        <v>0</v>
      </c>
      <c r="T97" s="22">
        <v>0</v>
      </c>
      <c r="U97" s="44">
        <v>6500</v>
      </c>
      <c r="V97" s="44"/>
      <c r="W97" s="44"/>
      <c r="X97" s="27">
        <v>0</v>
      </c>
      <c r="Y97" s="44">
        <v>0</v>
      </c>
      <c r="Z97" s="27">
        <v>4988.2700000000004</v>
      </c>
      <c r="AA97" s="854" t="s">
        <v>1595</v>
      </c>
      <c r="AB97" s="711" t="s">
        <v>1300</v>
      </c>
      <c r="AC97" s="713" t="s">
        <v>912</v>
      </c>
      <c r="AD97" s="379" t="s">
        <v>1282</v>
      </c>
      <c r="AE97" s="74" t="s">
        <v>1282</v>
      </c>
      <c r="AF97" s="721"/>
      <c r="AH97" s="516">
        <f>H97-J97-R97-S97-U97-X97-Y97-Z97</f>
        <v>0</v>
      </c>
      <c r="AI97" s="351">
        <f>R97-P97-Q97</f>
        <v>0</v>
      </c>
      <c r="AJ97" s="553">
        <f>K97-R97</f>
        <v>0</v>
      </c>
      <c r="AK97" s="509">
        <f>R97+S97-L97-M97-N97-O97</f>
        <v>0</v>
      </c>
      <c r="AL97" s="1140"/>
      <c r="AM97" s="1179"/>
      <c r="AN97" s="175" t="s">
        <v>458</v>
      </c>
      <c r="AO97" s="175">
        <v>7</v>
      </c>
      <c r="AP97" s="175"/>
      <c r="AQ97" s="814">
        <v>3</v>
      </c>
      <c r="AR97" s="1148"/>
      <c r="AS97" s="484"/>
      <c r="AT97" s="581"/>
      <c r="AU97" s="1097"/>
      <c r="AV97" s="1097"/>
      <c r="AW97" s="701" t="s">
        <v>1637</v>
      </c>
      <c r="AX97" s="724" t="s">
        <v>1391</v>
      </c>
      <c r="AY97" s="436">
        <v>0</v>
      </c>
      <c r="AZ97" s="436">
        <v>1</v>
      </c>
      <c r="BA97" s="653"/>
      <c r="BB97" s="1157"/>
      <c r="BC97" s="1157"/>
      <c r="BD97" s="1157"/>
      <c r="BE97" s="1157"/>
      <c r="BF97" s="1157"/>
      <c r="BG97" s="1101"/>
      <c r="BH97" s="1101"/>
      <c r="BI97" s="1101"/>
      <c r="BJ97" s="710">
        <v>0</v>
      </c>
    </row>
    <row r="98" spans="1:62" s="179" customFormat="1" ht="25.5" x14ac:dyDescent="0.2">
      <c r="A98" s="173" t="s">
        <v>547</v>
      </c>
      <c r="B98" s="144" t="s">
        <v>1025</v>
      </c>
      <c r="C98" s="191">
        <v>2018</v>
      </c>
      <c r="D98" s="75" t="s">
        <v>101</v>
      </c>
      <c r="E98" s="84" t="s">
        <v>457</v>
      </c>
      <c r="F98" s="84" t="s">
        <v>457</v>
      </c>
      <c r="G98" s="229" t="s">
        <v>548</v>
      </c>
      <c r="H98" s="25">
        <v>11495</v>
      </c>
      <c r="I98" s="25"/>
      <c r="J98" s="25">
        <v>9500</v>
      </c>
      <c r="K98" s="172"/>
      <c r="L98" s="27">
        <v>0</v>
      </c>
      <c r="M98" s="40">
        <v>0</v>
      </c>
      <c r="N98" s="27">
        <v>0</v>
      </c>
      <c r="O98" s="26">
        <v>0</v>
      </c>
      <c r="P98" s="27">
        <v>0</v>
      </c>
      <c r="Q98" s="1161">
        <v>0</v>
      </c>
      <c r="R98" s="27">
        <f t="shared" si="26"/>
        <v>0</v>
      </c>
      <c r="S98" s="181">
        <v>0</v>
      </c>
      <c r="T98" s="606"/>
      <c r="U98" s="26">
        <v>1995</v>
      </c>
      <c r="V98" s="26"/>
      <c r="W98" s="26"/>
      <c r="X98" s="27">
        <v>0</v>
      </c>
      <c r="Y98" s="26">
        <v>0</v>
      </c>
      <c r="Z98" s="26"/>
      <c r="AA98" s="192" t="s">
        <v>549</v>
      </c>
      <c r="AB98" s="191" t="s">
        <v>1256</v>
      </c>
      <c r="AC98" s="74" t="s">
        <v>1209</v>
      </c>
      <c r="AD98" s="584"/>
      <c r="AE98" s="584"/>
      <c r="AF98" s="584"/>
      <c r="AH98" s="633">
        <f t="shared" ref="AH98:AH125" si="28">H98-J98-R98-S98-T98-U98-X98-Y98-Z98</f>
        <v>0</v>
      </c>
      <c r="AI98" s="605">
        <f t="shared" si="1"/>
        <v>0</v>
      </c>
      <c r="AJ98" s="120">
        <f t="shared" si="24"/>
        <v>0</v>
      </c>
      <c r="AK98" s="634">
        <f t="shared" si="4"/>
        <v>0</v>
      </c>
      <c r="AL98" s="120"/>
      <c r="AM98" s="1179"/>
      <c r="AN98" s="175" t="s">
        <v>458</v>
      </c>
      <c r="AO98" s="175">
        <v>7</v>
      </c>
      <c r="AP98" s="175"/>
      <c r="AQ98" s="175">
        <v>1</v>
      </c>
      <c r="AR98" s="1175"/>
      <c r="AS98" s="148"/>
      <c r="AY98" s="66"/>
      <c r="AZ98" s="66"/>
      <c r="BB98" s="1134"/>
      <c r="BC98" s="1134"/>
      <c r="BD98" s="1134"/>
      <c r="BE98" s="1134"/>
      <c r="BF98" s="1134"/>
    </row>
    <row r="99" spans="1:62" s="179" customFormat="1" ht="25.5" x14ac:dyDescent="0.2">
      <c r="A99" s="173" t="s">
        <v>550</v>
      </c>
      <c r="B99" s="144" t="s">
        <v>1026</v>
      </c>
      <c r="C99" s="191">
        <v>2018</v>
      </c>
      <c r="D99" s="75" t="s">
        <v>551</v>
      </c>
      <c r="E99" s="84" t="s">
        <v>457</v>
      </c>
      <c r="F99" s="84" t="s">
        <v>457</v>
      </c>
      <c r="G99" s="229" t="s">
        <v>552</v>
      </c>
      <c r="H99" s="25">
        <v>3146</v>
      </c>
      <c r="I99" s="25"/>
      <c r="J99" s="25">
        <v>2600</v>
      </c>
      <c r="K99" s="172"/>
      <c r="L99" s="27">
        <v>0</v>
      </c>
      <c r="M99" s="40">
        <v>0</v>
      </c>
      <c r="N99" s="27">
        <v>0</v>
      </c>
      <c r="O99" s="26">
        <v>0</v>
      </c>
      <c r="P99" s="27">
        <v>0</v>
      </c>
      <c r="Q99" s="1161">
        <v>0</v>
      </c>
      <c r="R99" s="27">
        <f t="shared" si="26"/>
        <v>0</v>
      </c>
      <c r="S99" s="181">
        <v>0</v>
      </c>
      <c r="T99" s="606"/>
      <c r="U99" s="26">
        <v>546</v>
      </c>
      <c r="V99" s="26"/>
      <c r="W99" s="26"/>
      <c r="X99" s="27">
        <v>0</v>
      </c>
      <c r="Y99" s="26">
        <v>0</v>
      </c>
      <c r="Z99" s="26"/>
      <c r="AA99" s="192" t="s">
        <v>549</v>
      </c>
      <c r="AB99" s="191" t="s">
        <v>1256</v>
      </c>
      <c r="AC99" s="74" t="s">
        <v>1209</v>
      </c>
      <c r="AD99" s="584"/>
      <c r="AE99" s="584"/>
      <c r="AF99" s="584"/>
      <c r="AH99" s="633">
        <f t="shared" si="28"/>
        <v>0</v>
      </c>
      <c r="AI99" s="605">
        <f t="shared" si="1"/>
        <v>0</v>
      </c>
      <c r="AJ99" s="120">
        <f t="shared" si="24"/>
        <v>0</v>
      </c>
      <c r="AK99" s="634">
        <f t="shared" si="4"/>
        <v>0</v>
      </c>
      <c r="AL99" s="120"/>
      <c r="AM99" s="1179"/>
      <c r="AN99" s="175" t="s">
        <v>458</v>
      </c>
      <c r="AO99" s="175">
        <v>7</v>
      </c>
      <c r="AP99" s="175"/>
      <c r="AQ99" s="175">
        <v>1</v>
      </c>
      <c r="AR99" s="1175"/>
      <c r="AS99" s="148"/>
      <c r="AY99" s="66"/>
      <c r="AZ99" s="66"/>
      <c r="BB99" s="1134"/>
      <c r="BC99" s="1134"/>
      <c r="BD99" s="1134"/>
      <c r="BE99" s="1134"/>
      <c r="BF99" s="1134"/>
    </row>
    <row r="100" spans="1:62" s="179" customFormat="1" ht="25.5" x14ac:dyDescent="0.2">
      <c r="A100" s="173" t="s">
        <v>555</v>
      </c>
      <c r="B100" s="144" t="s">
        <v>1028</v>
      </c>
      <c r="C100" s="191">
        <v>2018</v>
      </c>
      <c r="D100" s="75" t="s">
        <v>556</v>
      </c>
      <c r="E100" s="84" t="s">
        <v>457</v>
      </c>
      <c r="F100" s="84" t="s">
        <v>457</v>
      </c>
      <c r="G100" s="229" t="s">
        <v>557</v>
      </c>
      <c r="H100" s="25">
        <v>16700</v>
      </c>
      <c r="I100" s="25"/>
      <c r="J100" s="25">
        <v>16700</v>
      </c>
      <c r="K100" s="172"/>
      <c r="L100" s="27">
        <v>0</v>
      </c>
      <c r="M100" s="40">
        <v>0</v>
      </c>
      <c r="N100" s="27">
        <v>0</v>
      </c>
      <c r="O100" s="26">
        <v>0</v>
      </c>
      <c r="P100" s="27">
        <v>0</v>
      </c>
      <c r="Q100" s="1117">
        <v>0</v>
      </c>
      <c r="R100" s="27">
        <f t="shared" si="26"/>
        <v>0</v>
      </c>
      <c r="S100" s="181">
        <v>0</v>
      </c>
      <c r="T100" s="606"/>
      <c r="U100" s="26">
        <v>0</v>
      </c>
      <c r="V100" s="26"/>
      <c r="W100" s="26"/>
      <c r="X100" s="27">
        <v>0</v>
      </c>
      <c r="Y100" s="26">
        <v>0</v>
      </c>
      <c r="Z100" s="26"/>
      <c r="AA100" s="192" t="s">
        <v>1209</v>
      </c>
      <c r="AB100" s="191" t="s">
        <v>1256</v>
      </c>
      <c r="AC100" s="74" t="s">
        <v>1209</v>
      </c>
      <c r="AD100" s="584"/>
      <c r="AE100" s="584"/>
      <c r="AF100" s="584"/>
      <c r="AH100" s="633">
        <f t="shared" si="28"/>
        <v>0</v>
      </c>
      <c r="AI100" s="605">
        <f t="shared" si="1"/>
        <v>0</v>
      </c>
      <c r="AJ100" s="120">
        <f t="shared" si="24"/>
        <v>0</v>
      </c>
      <c r="AK100" s="634">
        <f t="shared" si="4"/>
        <v>0</v>
      </c>
      <c r="AL100" s="120"/>
      <c r="AM100" s="1179"/>
      <c r="AN100" s="175" t="s">
        <v>458</v>
      </c>
      <c r="AO100" s="175">
        <v>7</v>
      </c>
      <c r="AP100" s="175"/>
      <c r="AQ100" s="175">
        <v>1</v>
      </c>
      <c r="AR100" s="1175"/>
      <c r="AS100" s="148"/>
      <c r="AY100" s="66"/>
      <c r="AZ100" s="66"/>
      <c r="BB100" s="1134"/>
      <c r="BC100" s="1134"/>
      <c r="BD100" s="1134"/>
      <c r="BE100" s="1134"/>
      <c r="BF100" s="1134"/>
    </row>
    <row r="101" spans="1:62" s="179" customFormat="1" ht="25.5" x14ac:dyDescent="0.2">
      <c r="A101" s="173" t="s">
        <v>558</v>
      </c>
      <c r="B101" s="144" t="s">
        <v>1029</v>
      </c>
      <c r="C101" s="191">
        <v>2018</v>
      </c>
      <c r="D101" s="75" t="s">
        <v>559</v>
      </c>
      <c r="E101" s="84" t="s">
        <v>521</v>
      </c>
      <c r="F101" s="84" t="s">
        <v>521</v>
      </c>
      <c r="G101" s="229" t="s">
        <v>560</v>
      </c>
      <c r="H101" s="25">
        <v>9470</v>
      </c>
      <c r="I101" s="25"/>
      <c r="J101" s="25">
        <v>9470</v>
      </c>
      <c r="K101" s="172"/>
      <c r="L101" s="27">
        <v>0</v>
      </c>
      <c r="M101" s="40">
        <v>0</v>
      </c>
      <c r="N101" s="27">
        <v>0</v>
      </c>
      <c r="O101" s="26">
        <v>0</v>
      </c>
      <c r="P101" s="27">
        <v>0</v>
      </c>
      <c r="Q101" s="1161">
        <v>0</v>
      </c>
      <c r="R101" s="27">
        <f t="shared" si="26"/>
        <v>0</v>
      </c>
      <c r="S101" s="181">
        <v>0</v>
      </c>
      <c r="T101" s="606"/>
      <c r="U101" s="26">
        <v>0</v>
      </c>
      <c r="V101" s="26"/>
      <c r="W101" s="26"/>
      <c r="X101" s="27">
        <v>0</v>
      </c>
      <c r="Y101" s="26">
        <v>0</v>
      </c>
      <c r="Z101" s="26"/>
      <c r="AA101" s="192" t="s">
        <v>1209</v>
      </c>
      <c r="AB101" s="191" t="s">
        <v>1256</v>
      </c>
      <c r="AC101" s="74" t="s">
        <v>1209</v>
      </c>
      <c r="AD101" s="584"/>
      <c r="AE101" s="584"/>
      <c r="AF101" s="584"/>
      <c r="AH101" s="633">
        <f t="shared" si="28"/>
        <v>0</v>
      </c>
      <c r="AI101" s="605">
        <f t="shared" si="1"/>
        <v>0</v>
      </c>
      <c r="AJ101" s="120">
        <f t="shared" si="24"/>
        <v>0</v>
      </c>
      <c r="AK101" s="634">
        <f t="shared" si="4"/>
        <v>0</v>
      </c>
      <c r="AL101" s="120"/>
      <c r="AM101" s="1179"/>
      <c r="AN101" s="175" t="s">
        <v>458</v>
      </c>
      <c r="AO101" s="175">
        <v>7</v>
      </c>
      <c r="AP101" s="175"/>
      <c r="AQ101" s="175">
        <v>1</v>
      </c>
      <c r="AR101" s="1175"/>
      <c r="AS101" s="148"/>
      <c r="AY101" s="66"/>
      <c r="AZ101" s="66"/>
      <c r="BB101" s="1134"/>
      <c r="BC101" s="1134"/>
      <c r="BD101" s="1134"/>
      <c r="BE101" s="1134"/>
      <c r="BF101" s="1134"/>
    </row>
    <row r="102" spans="1:62" s="179" customFormat="1" ht="25.5" x14ac:dyDescent="0.2">
      <c r="A102" s="173" t="s">
        <v>561</v>
      </c>
      <c r="B102" s="144" t="s">
        <v>1030</v>
      </c>
      <c r="C102" s="191">
        <v>2018</v>
      </c>
      <c r="D102" s="75" t="s">
        <v>562</v>
      </c>
      <c r="E102" s="84" t="s">
        <v>521</v>
      </c>
      <c r="F102" s="84" t="s">
        <v>521</v>
      </c>
      <c r="G102" s="229" t="s">
        <v>563</v>
      </c>
      <c r="H102" s="25">
        <v>10000</v>
      </c>
      <c r="I102" s="25"/>
      <c r="J102" s="25">
        <v>9800</v>
      </c>
      <c r="K102" s="172"/>
      <c r="L102" s="27">
        <v>0</v>
      </c>
      <c r="M102" s="40">
        <v>0</v>
      </c>
      <c r="N102" s="27">
        <v>0</v>
      </c>
      <c r="O102" s="26">
        <v>0</v>
      </c>
      <c r="P102" s="27">
        <v>0</v>
      </c>
      <c r="Q102" s="1161">
        <v>0</v>
      </c>
      <c r="R102" s="27">
        <f t="shared" si="26"/>
        <v>0</v>
      </c>
      <c r="S102" s="181">
        <v>0</v>
      </c>
      <c r="T102" s="606"/>
      <c r="U102" s="26">
        <v>200</v>
      </c>
      <c r="V102" s="26"/>
      <c r="W102" s="26"/>
      <c r="X102" s="27">
        <v>0</v>
      </c>
      <c r="Y102" s="26">
        <v>0</v>
      </c>
      <c r="Z102" s="26"/>
      <c r="AA102" s="192" t="s">
        <v>1200</v>
      </c>
      <c r="AB102" s="191" t="s">
        <v>1256</v>
      </c>
      <c r="AC102" s="74" t="s">
        <v>1209</v>
      </c>
      <c r="AD102" s="584"/>
      <c r="AE102" s="584"/>
      <c r="AF102" s="584"/>
      <c r="AH102" s="633">
        <f t="shared" si="28"/>
        <v>0</v>
      </c>
      <c r="AI102" s="605">
        <f t="shared" si="1"/>
        <v>0</v>
      </c>
      <c r="AJ102" s="120">
        <f t="shared" si="24"/>
        <v>0</v>
      </c>
      <c r="AK102" s="634">
        <f t="shared" si="4"/>
        <v>0</v>
      </c>
      <c r="AL102" s="120"/>
      <c r="AM102" s="1179"/>
      <c r="AN102" s="175" t="s">
        <v>458</v>
      </c>
      <c r="AO102" s="175">
        <v>7</v>
      </c>
      <c r="AP102" s="175"/>
      <c r="AQ102" s="175">
        <v>1</v>
      </c>
      <c r="AR102" s="1175"/>
      <c r="AS102" s="148"/>
      <c r="AY102" s="66"/>
      <c r="AZ102" s="66"/>
      <c r="BB102" s="1134"/>
      <c r="BC102" s="1134"/>
      <c r="BD102" s="1134"/>
      <c r="BE102" s="1134"/>
      <c r="BF102" s="1134"/>
    </row>
    <row r="103" spans="1:62" s="179" customFormat="1" ht="25.5" x14ac:dyDescent="0.2">
      <c r="A103" s="173" t="s">
        <v>564</v>
      </c>
      <c r="B103" s="144" t="s">
        <v>1031</v>
      </c>
      <c r="C103" s="191">
        <v>2018</v>
      </c>
      <c r="D103" s="75" t="s">
        <v>565</v>
      </c>
      <c r="E103" s="84" t="s">
        <v>521</v>
      </c>
      <c r="F103" s="84" t="s">
        <v>521</v>
      </c>
      <c r="G103" s="229" t="s">
        <v>566</v>
      </c>
      <c r="H103" s="25">
        <v>4000</v>
      </c>
      <c r="I103" s="25"/>
      <c r="J103" s="25">
        <v>3900</v>
      </c>
      <c r="K103" s="172"/>
      <c r="L103" s="27">
        <v>0</v>
      </c>
      <c r="M103" s="40">
        <v>0</v>
      </c>
      <c r="N103" s="27">
        <v>0</v>
      </c>
      <c r="O103" s="26">
        <v>0</v>
      </c>
      <c r="P103" s="27">
        <v>0</v>
      </c>
      <c r="Q103" s="1117">
        <v>0</v>
      </c>
      <c r="R103" s="27">
        <f t="shared" si="26"/>
        <v>0</v>
      </c>
      <c r="S103" s="181">
        <v>0</v>
      </c>
      <c r="T103" s="606"/>
      <c r="U103" s="26">
        <v>100</v>
      </c>
      <c r="V103" s="26"/>
      <c r="W103" s="26"/>
      <c r="X103" s="27">
        <v>0</v>
      </c>
      <c r="Y103" s="26">
        <v>0</v>
      </c>
      <c r="Z103" s="26"/>
      <c r="AA103" s="192" t="s">
        <v>1200</v>
      </c>
      <c r="AB103" s="191" t="s">
        <v>1256</v>
      </c>
      <c r="AC103" s="74" t="s">
        <v>1209</v>
      </c>
      <c r="AD103" s="584"/>
      <c r="AE103" s="584"/>
      <c r="AF103" s="584"/>
      <c r="AH103" s="633">
        <f t="shared" si="28"/>
        <v>0</v>
      </c>
      <c r="AI103" s="605">
        <f t="shared" si="1"/>
        <v>0</v>
      </c>
      <c r="AJ103" s="120">
        <f t="shared" si="24"/>
        <v>0</v>
      </c>
      <c r="AK103" s="634">
        <f t="shared" si="4"/>
        <v>0</v>
      </c>
      <c r="AL103" s="120"/>
      <c r="AM103" s="1179"/>
      <c r="AN103" s="175" t="s">
        <v>458</v>
      </c>
      <c r="AO103" s="175">
        <v>7</v>
      </c>
      <c r="AP103" s="175"/>
      <c r="AQ103" s="175">
        <v>1</v>
      </c>
      <c r="AR103" s="1175"/>
      <c r="AS103" s="148"/>
      <c r="AY103" s="66"/>
      <c r="AZ103" s="66"/>
      <c r="BB103" s="1134"/>
      <c r="BC103" s="1134"/>
      <c r="BD103" s="1134"/>
      <c r="BE103" s="1134"/>
      <c r="BF103" s="1134"/>
    </row>
    <row r="104" spans="1:62" s="179" customFormat="1" ht="25.5" x14ac:dyDescent="0.2">
      <c r="A104" s="173" t="s">
        <v>567</v>
      </c>
      <c r="B104" s="144" t="s">
        <v>1032</v>
      </c>
      <c r="C104" s="191">
        <v>2018</v>
      </c>
      <c r="D104" s="75" t="s">
        <v>568</v>
      </c>
      <c r="E104" s="84" t="s">
        <v>521</v>
      </c>
      <c r="F104" s="84" t="s">
        <v>521</v>
      </c>
      <c r="G104" s="229" t="s">
        <v>569</v>
      </c>
      <c r="H104" s="25">
        <v>801.37056999999993</v>
      </c>
      <c r="I104" s="25"/>
      <c r="J104" s="25">
        <v>801.37056999999993</v>
      </c>
      <c r="K104" s="172"/>
      <c r="L104" s="27">
        <v>0</v>
      </c>
      <c r="M104" s="40">
        <v>0</v>
      </c>
      <c r="N104" s="27">
        <v>0</v>
      </c>
      <c r="O104" s="26">
        <v>0</v>
      </c>
      <c r="P104" s="27">
        <v>0.62943000000000005</v>
      </c>
      <c r="Q104" s="1161">
        <v>-0.62943000000000005</v>
      </c>
      <c r="R104" s="27">
        <f t="shared" si="26"/>
        <v>0</v>
      </c>
      <c r="S104" s="181">
        <v>0</v>
      </c>
      <c r="T104" s="606"/>
      <c r="U104" s="26">
        <v>0</v>
      </c>
      <c r="V104" s="26"/>
      <c r="W104" s="26"/>
      <c r="X104" s="27">
        <v>0</v>
      </c>
      <c r="Y104" s="26">
        <v>0</v>
      </c>
      <c r="Z104" s="26"/>
      <c r="AA104" s="192" t="s">
        <v>1197</v>
      </c>
      <c r="AB104" s="191" t="s">
        <v>1256</v>
      </c>
      <c r="AC104" s="74" t="s">
        <v>1209</v>
      </c>
      <c r="AD104" s="584"/>
      <c r="AE104" s="584"/>
      <c r="AF104" s="584"/>
      <c r="AH104" s="633">
        <f t="shared" si="28"/>
        <v>0</v>
      </c>
      <c r="AI104" s="605">
        <f t="shared" si="1"/>
        <v>0</v>
      </c>
      <c r="AJ104" s="120">
        <f t="shared" si="24"/>
        <v>0</v>
      </c>
      <c r="AK104" s="634">
        <f t="shared" si="4"/>
        <v>0</v>
      </c>
      <c r="AL104" s="120"/>
      <c r="AM104" s="1179"/>
      <c r="AN104" s="175" t="s">
        <v>458</v>
      </c>
      <c r="AO104" s="175">
        <v>7</v>
      </c>
      <c r="AP104" s="175"/>
      <c r="AQ104" s="175">
        <v>1</v>
      </c>
      <c r="AR104" s="1175"/>
      <c r="AS104" s="148"/>
      <c r="AY104" s="66"/>
      <c r="AZ104" s="66"/>
      <c r="BB104" s="1134"/>
      <c r="BC104" s="1134"/>
      <c r="BD104" s="1134"/>
      <c r="BE104" s="1134"/>
      <c r="BF104" s="1134"/>
    </row>
    <row r="105" spans="1:62" s="180" customFormat="1" ht="25.5" x14ac:dyDescent="0.2">
      <c r="A105" s="173" t="s">
        <v>570</v>
      </c>
      <c r="B105" s="144" t="s">
        <v>1033</v>
      </c>
      <c r="C105" s="191">
        <v>2018</v>
      </c>
      <c r="D105" s="75" t="s">
        <v>571</v>
      </c>
      <c r="E105" s="84" t="s">
        <v>521</v>
      </c>
      <c r="F105" s="84" t="s">
        <v>521</v>
      </c>
      <c r="G105" s="229" t="s">
        <v>572</v>
      </c>
      <c r="H105" s="25">
        <v>968.68600000000004</v>
      </c>
      <c r="I105" s="25"/>
      <c r="J105" s="25">
        <v>968.68600000000004</v>
      </c>
      <c r="K105" s="172"/>
      <c r="L105" s="27">
        <v>0</v>
      </c>
      <c r="M105" s="40">
        <v>0</v>
      </c>
      <c r="N105" s="27">
        <v>0</v>
      </c>
      <c r="O105" s="26">
        <v>0</v>
      </c>
      <c r="P105" s="27">
        <v>0</v>
      </c>
      <c r="Q105" s="1117">
        <v>0</v>
      </c>
      <c r="R105" s="27">
        <f t="shared" si="26"/>
        <v>0</v>
      </c>
      <c r="S105" s="181">
        <v>0</v>
      </c>
      <c r="T105" s="606"/>
      <c r="U105" s="26">
        <v>0</v>
      </c>
      <c r="V105" s="26"/>
      <c r="W105" s="26"/>
      <c r="X105" s="27">
        <v>0</v>
      </c>
      <c r="Y105" s="26">
        <v>0</v>
      </c>
      <c r="Z105" s="26"/>
      <c r="AA105" s="192" t="s">
        <v>1209</v>
      </c>
      <c r="AB105" s="191" t="s">
        <v>1256</v>
      </c>
      <c r="AC105" s="74" t="s">
        <v>1209</v>
      </c>
      <c r="AD105" s="584"/>
      <c r="AE105" s="584"/>
      <c r="AF105" s="584"/>
      <c r="AH105" s="633">
        <f t="shared" si="28"/>
        <v>0</v>
      </c>
      <c r="AI105" s="605">
        <f t="shared" si="1"/>
        <v>0</v>
      </c>
      <c r="AJ105" s="120">
        <f t="shared" si="24"/>
        <v>0</v>
      </c>
      <c r="AK105" s="634">
        <f t="shared" si="4"/>
        <v>0</v>
      </c>
      <c r="AL105" s="120"/>
      <c r="AM105" s="1179"/>
      <c r="AN105" s="175" t="s">
        <v>458</v>
      </c>
      <c r="AO105" s="175">
        <v>7</v>
      </c>
      <c r="AP105" s="175"/>
      <c r="AQ105" s="175">
        <v>1</v>
      </c>
      <c r="AR105" s="1175"/>
      <c r="AS105" s="148"/>
      <c r="AY105" s="66"/>
      <c r="AZ105" s="66"/>
      <c r="BB105" s="1134"/>
      <c r="BC105" s="1134"/>
      <c r="BD105" s="1134"/>
      <c r="BE105" s="1134"/>
      <c r="BF105" s="1134"/>
    </row>
    <row r="106" spans="1:62" s="180" customFormat="1" ht="30" x14ac:dyDescent="0.2">
      <c r="A106" s="173" t="s">
        <v>573</v>
      </c>
      <c r="B106" s="144" t="s">
        <v>1034</v>
      </c>
      <c r="C106" s="191">
        <v>2018</v>
      </c>
      <c r="D106" s="75" t="s">
        <v>574</v>
      </c>
      <c r="E106" s="84" t="s">
        <v>506</v>
      </c>
      <c r="F106" s="84" t="s">
        <v>506</v>
      </c>
      <c r="G106" s="229" t="s">
        <v>575</v>
      </c>
      <c r="H106" s="25">
        <v>9700</v>
      </c>
      <c r="I106" s="25"/>
      <c r="J106" s="25">
        <v>9700</v>
      </c>
      <c r="K106" s="172"/>
      <c r="L106" s="27">
        <v>0</v>
      </c>
      <c r="M106" s="40">
        <v>0</v>
      </c>
      <c r="N106" s="27">
        <v>0</v>
      </c>
      <c r="O106" s="26">
        <v>0</v>
      </c>
      <c r="P106" s="27">
        <v>0</v>
      </c>
      <c r="Q106" s="1161">
        <v>0</v>
      </c>
      <c r="R106" s="27">
        <f t="shared" si="26"/>
        <v>0</v>
      </c>
      <c r="S106" s="181">
        <v>0</v>
      </c>
      <c r="T106" s="606"/>
      <c r="U106" s="26">
        <v>0</v>
      </c>
      <c r="V106" s="26"/>
      <c r="W106" s="26"/>
      <c r="X106" s="27">
        <v>0</v>
      </c>
      <c r="Y106" s="26">
        <v>0</v>
      </c>
      <c r="Z106" s="26"/>
      <c r="AA106" s="192" t="s">
        <v>1209</v>
      </c>
      <c r="AB106" s="191" t="s">
        <v>1256</v>
      </c>
      <c r="AC106" s="74" t="s">
        <v>1209</v>
      </c>
      <c r="AD106" s="584"/>
      <c r="AE106" s="584"/>
      <c r="AF106" s="584"/>
      <c r="AH106" s="633">
        <f t="shared" si="28"/>
        <v>0</v>
      </c>
      <c r="AI106" s="605">
        <f t="shared" si="1"/>
        <v>0</v>
      </c>
      <c r="AJ106" s="120">
        <f t="shared" si="24"/>
        <v>0</v>
      </c>
      <c r="AK106" s="634">
        <f t="shared" si="4"/>
        <v>0</v>
      </c>
      <c r="AL106" s="120"/>
      <c r="AM106" s="1179"/>
      <c r="AN106" s="175" t="s">
        <v>458</v>
      </c>
      <c r="AO106" s="175">
        <v>7</v>
      </c>
      <c r="AP106" s="175"/>
      <c r="AQ106" s="175">
        <v>1</v>
      </c>
      <c r="AR106" s="1175"/>
      <c r="AS106" s="148"/>
      <c r="AY106" s="66"/>
      <c r="AZ106" s="66"/>
      <c r="BB106" s="1134"/>
      <c r="BC106" s="1134"/>
      <c r="BD106" s="1134"/>
      <c r="BE106" s="1134"/>
      <c r="BF106" s="1134"/>
    </row>
    <row r="107" spans="1:62" s="180" customFormat="1" ht="25.5" x14ac:dyDescent="0.2">
      <c r="A107" s="173" t="s">
        <v>576</v>
      </c>
      <c r="B107" s="144" t="s">
        <v>1035</v>
      </c>
      <c r="C107" s="191">
        <v>2018</v>
      </c>
      <c r="D107" s="75" t="s">
        <v>1232</v>
      </c>
      <c r="E107" s="84" t="s">
        <v>521</v>
      </c>
      <c r="F107" s="84" t="s">
        <v>521</v>
      </c>
      <c r="G107" s="229" t="s">
        <v>577</v>
      </c>
      <c r="H107" s="25">
        <v>2300</v>
      </c>
      <c r="I107" s="25"/>
      <c r="J107" s="25">
        <v>2300</v>
      </c>
      <c r="K107" s="172"/>
      <c r="L107" s="27">
        <v>0</v>
      </c>
      <c r="M107" s="40">
        <v>0</v>
      </c>
      <c r="N107" s="27">
        <v>0</v>
      </c>
      <c r="O107" s="26">
        <v>0</v>
      </c>
      <c r="P107" s="27">
        <v>0</v>
      </c>
      <c r="Q107" s="1117">
        <v>0</v>
      </c>
      <c r="R107" s="27">
        <f t="shared" si="26"/>
        <v>0</v>
      </c>
      <c r="S107" s="181">
        <v>0</v>
      </c>
      <c r="T107" s="606"/>
      <c r="U107" s="26">
        <v>0</v>
      </c>
      <c r="V107" s="26"/>
      <c r="W107" s="26"/>
      <c r="X107" s="27">
        <v>0</v>
      </c>
      <c r="Y107" s="26">
        <v>0</v>
      </c>
      <c r="Z107" s="26"/>
      <c r="AA107" s="192" t="s">
        <v>1209</v>
      </c>
      <c r="AB107" s="191" t="s">
        <v>1256</v>
      </c>
      <c r="AC107" s="74" t="s">
        <v>1209</v>
      </c>
      <c r="AD107" s="584"/>
      <c r="AE107" s="584"/>
      <c r="AF107" s="584"/>
      <c r="AH107" s="633">
        <f t="shared" si="28"/>
        <v>0</v>
      </c>
      <c r="AI107" s="605">
        <f t="shared" si="1"/>
        <v>0</v>
      </c>
      <c r="AJ107" s="120">
        <f t="shared" si="24"/>
        <v>0</v>
      </c>
      <c r="AK107" s="634">
        <f t="shared" si="4"/>
        <v>0</v>
      </c>
      <c r="AL107" s="120"/>
      <c r="AM107" s="1179"/>
      <c r="AN107" s="175" t="s">
        <v>458</v>
      </c>
      <c r="AO107" s="175">
        <v>7</v>
      </c>
      <c r="AP107" s="175"/>
      <c r="AQ107" s="175">
        <v>1</v>
      </c>
      <c r="AR107" s="1175"/>
      <c r="AS107" s="148"/>
      <c r="AY107" s="66"/>
      <c r="AZ107" s="66"/>
      <c r="BB107" s="1134"/>
      <c r="BC107" s="1134"/>
      <c r="BD107" s="1134"/>
      <c r="BE107" s="1134"/>
      <c r="BF107" s="1134"/>
    </row>
    <row r="108" spans="1:62" s="179" customFormat="1" ht="25.5" x14ac:dyDescent="0.2">
      <c r="A108" s="173" t="s">
        <v>578</v>
      </c>
      <c r="B108" s="144" t="s">
        <v>1036</v>
      </c>
      <c r="C108" s="191">
        <v>2018</v>
      </c>
      <c r="D108" s="75" t="s">
        <v>1233</v>
      </c>
      <c r="E108" s="84" t="s">
        <v>521</v>
      </c>
      <c r="F108" s="84" t="s">
        <v>521</v>
      </c>
      <c r="G108" s="229" t="s">
        <v>579</v>
      </c>
      <c r="H108" s="25">
        <v>900</v>
      </c>
      <c r="I108" s="25"/>
      <c r="J108" s="25">
        <v>900</v>
      </c>
      <c r="K108" s="172"/>
      <c r="L108" s="27">
        <v>0</v>
      </c>
      <c r="M108" s="40">
        <v>0</v>
      </c>
      <c r="N108" s="27">
        <v>0</v>
      </c>
      <c r="O108" s="26">
        <v>0</v>
      </c>
      <c r="P108" s="27">
        <v>0</v>
      </c>
      <c r="Q108" s="1161">
        <v>0</v>
      </c>
      <c r="R108" s="27">
        <f t="shared" si="26"/>
        <v>0</v>
      </c>
      <c r="S108" s="181">
        <v>0</v>
      </c>
      <c r="T108" s="606"/>
      <c r="U108" s="26">
        <v>0</v>
      </c>
      <c r="V108" s="26"/>
      <c r="W108" s="26"/>
      <c r="X108" s="27">
        <v>0</v>
      </c>
      <c r="Y108" s="26">
        <v>0</v>
      </c>
      <c r="Z108" s="26"/>
      <c r="AA108" s="192" t="s">
        <v>1209</v>
      </c>
      <c r="AB108" s="191" t="s">
        <v>1256</v>
      </c>
      <c r="AC108" s="74" t="s">
        <v>1209</v>
      </c>
      <c r="AD108" s="584"/>
      <c r="AE108" s="584"/>
      <c r="AF108" s="584"/>
      <c r="AH108" s="633">
        <f t="shared" si="28"/>
        <v>0</v>
      </c>
      <c r="AI108" s="605">
        <f t="shared" si="1"/>
        <v>0</v>
      </c>
      <c r="AJ108" s="120">
        <f t="shared" si="24"/>
        <v>0</v>
      </c>
      <c r="AK108" s="634">
        <f t="shared" si="4"/>
        <v>0</v>
      </c>
      <c r="AL108" s="120"/>
      <c r="AM108" s="1179"/>
      <c r="AN108" s="175" t="s">
        <v>458</v>
      </c>
      <c r="AO108" s="175">
        <v>7</v>
      </c>
      <c r="AP108" s="175"/>
      <c r="AQ108" s="175">
        <v>1</v>
      </c>
      <c r="AR108" s="1175"/>
      <c r="AS108" s="148"/>
      <c r="AY108" s="66"/>
      <c r="AZ108" s="66"/>
      <c r="BB108" s="1134"/>
      <c r="BC108" s="1134"/>
      <c r="BD108" s="1134"/>
      <c r="BE108" s="1134"/>
      <c r="BF108" s="1134"/>
    </row>
    <row r="109" spans="1:62" s="180" customFormat="1" ht="25.5" x14ac:dyDescent="0.2">
      <c r="A109" s="173" t="s">
        <v>580</v>
      </c>
      <c r="B109" s="144" t="s">
        <v>1037</v>
      </c>
      <c r="C109" s="191">
        <v>2018</v>
      </c>
      <c r="D109" s="75" t="s">
        <v>1234</v>
      </c>
      <c r="E109" s="84" t="s">
        <v>521</v>
      </c>
      <c r="F109" s="84" t="s">
        <v>521</v>
      </c>
      <c r="G109" s="229" t="s">
        <v>581</v>
      </c>
      <c r="H109" s="25">
        <v>2100</v>
      </c>
      <c r="I109" s="25"/>
      <c r="J109" s="25">
        <v>2100</v>
      </c>
      <c r="K109" s="172"/>
      <c r="L109" s="27">
        <v>0</v>
      </c>
      <c r="M109" s="40">
        <v>0</v>
      </c>
      <c r="N109" s="27">
        <v>0</v>
      </c>
      <c r="O109" s="26">
        <v>0</v>
      </c>
      <c r="P109" s="27">
        <v>0</v>
      </c>
      <c r="Q109" s="1161">
        <v>0</v>
      </c>
      <c r="R109" s="27">
        <f t="shared" si="26"/>
        <v>0</v>
      </c>
      <c r="S109" s="181">
        <v>0</v>
      </c>
      <c r="T109" s="606"/>
      <c r="U109" s="26">
        <v>0</v>
      </c>
      <c r="V109" s="26"/>
      <c r="W109" s="26"/>
      <c r="X109" s="27">
        <v>0</v>
      </c>
      <c r="Y109" s="26">
        <v>0</v>
      </c>
      <c r="Z109" s="26"/>
      <c r="AA109" s="192" t="s">
        <v>1209</v>
      </c>
      <c r="AB109" s="191" t="s">
        <v>1256</v>
      </c>
      <c r="AC109" s="74" t="s">
        <v>1209</v>
      </c>
      <c r="AD109" s="584"/>
      <c r="AE109" s="584"/>
      <c r="AF109" s="584"/>
      <c r="AH109" s="633">
        <f t="shared" si="28"/>
        <v>0</v>
      </c>
      <c r="AI109" s="605">
        <f t="shared" ref="AI109:AI125" si="29">R109-P109-Q109</f>
        <v>0</v>
      </c>
      <c r="AJ109" s="120">
        <f t="shared" si="24"/>
        <v>0</v>
      </c>
      <c r="AK109" s="634">
        <f t="shared" si="4"/>
        <v>0</v>
      </c>
      <c r="AL109" s="120"/>
      <c r="AM109" s="1179"/>
      <c r="AN109" s="175" t="s">
        <v>458</v>
      </c>
      <c r="AO109" s="175">
        <v>7</v>
      </c>
      <c r="AP109" s="175"/>
      <c r="AQ109" s="175">
        <v>1</v>
      </c>
      <c r="AR109" s="1175"/>
      <c r="AS109" s="148"/>
      <c r="AY109" s="66"/>
      <c r="AZ109" s="66"/>
      <c r="BB109" s="1134"/>
      <c r="BC109" s="1134"/>
      <c r="BD109" s="1134"/>
      <c r="BE109" s="1134"/>
      <c r="BF109" s="1134"/>
    </row>
    <row r="110" spans="1:62" s="180" customFormat="1" ht="25.5" x14ac:dyDescent="0.2">
      <c r="A110" s="173" t="s">
        <v>582</v>
      </c>
      <c r="B110" s="144" t="s">
        <v>1038</v>
      </c>
      <c r="C110" s="191">
        <v>2018</v>
      </c>
      <c r="D110" s="75" t="s">
        <v>1235</v>
      </c>
      <c r="E110" s="84" t="s">
        <v>521</v>
      </c>
      <c r="F110" s="84" t="s">
        <v>521</v>
      </c>
      <c r="G110" s="229" t="s">
        <v>583</v>
      </c>
      <c r="H110" s="25">
        <v>3000</v>
      </c>
      <c r="I110" s="25"/>
      <c r="J110" s="25">
        <v>3000</v>
      </c>
      <c r="K110" s="172"/>
      <c r="L110" s="27">
        <v>0</v>
      </c>
      <c r="M110" s="40">
        <v>0</v>
      </c>
      <c r="N110" s="27">
        <v>0</v>
      </c>
      <c r="O110" s="26">
        <v>0</v>
      </c>
      <c r="P110" s="27">
        <v>0</v>
      </c>
      <c r="Q110" s="1161">
        <v>0</v>
      </c>
      <c r="R110" s="27">
        <f t="shared" si="26"/>
        <v>0</v>
      </c>
      <c r="S110" s="181">
        <v>0</v>
      </c>
      <c r="T110" s="606"/>
      <c r="U110" s="26">
        <v>0</v>
      </c>
      <c r="V110" s="26"/>
      <c r="W110" s="26"/>
      <c r="X110" s="27">
        <v>0</v>
      </c>
      <c r="Y110" s="26">
        <v>0</v>
      </c>
      <c r="Z110" s="26"/>
      <c r="AA110" s="192" t="s">
        <v>1209</v>
      </c>
      <c r="AB110" s="191" t="s">
        <v>1256</v>
      </c>
      <c r="AC110" s="74" t="s">
        <v>1209</v>
      </c>
      <c r="AD110" s="584"/>
      <c r="AE110" s="584"/>
      <c r="AF110" s="584"/>
      <c r="AH110" s="633">
        <f t="shared" si="28"/>
        <v>0</v>
      </c>
      <c r="AI110" s="605">
        <f t="shared" si="29"/>
        <v>0</v>
      </c>
      <c r="AJ110" s="120">
        <f t="shared" si="24"/>
        <v>0</v>
      </c>
      <c r="AK110" s="634">
        <f t="shared" ref="AK110:AK125" si="30">R110+S110-L110-M110-N110-O110</f>
        <v>0</v>
      </c>
      <c r="AL110" s="120"/>
      <c r="AM110" s="1179"/>
      <c r="AN110" s="175" t="s">
        <v>458</v>
      </c>
      <c r="AO110" s="175">
        <v>7</v>
      </c>
      <c r="AP110" s="175"/>
      <c r="AQ110" s="175">
        <v>1</v>
      </c>
      <c r="AR110" s="1175"/>
      <c r="AS110" s="148"/>
      <c r="AY110" s="66"/>
      <c r="AZ110" s="66"/>
      <c r="BB110" s="1134"/>
      <c r="BC110" s="1134"/>
      <c r="BD110" s="1134"/>
      <c r="BE110" s="1134"/>
      <c r="BF110" s="1134"/>
    </row>
    <row r="111" spans="1:62" s="180" customFormat="1" ht="25.5" x14ac:dyDescent="0.2">
      <c r="A111" s="173" t="s">
        <v>584</v>
      </c>
      <c r="B111" s="144" t="s">
        <v>1039</v>
      </c>
      <c r="C111" s="191">
        <v>2018</v>
      </c>
      <c r="D111" s="75" t="s">
        <v>1236</v>
      </c>
      <c r="E111" s="84" t="s">
        <v>521</v>
      </c>
      <c r="F111" s="84" t="s">
        <v>521</v>
      </c>
      <c r="G111" s="229" t="s">
        <v>585</v>
      </c>
      <c r="H111" s="25">
        <v>2000</v>
      </c>
      <c r="I111" s="25"/>
      <c r="J111" s="25">
        <v>2000</v>
      </c>
      <c r="K111" s="172"/>
      <c r="L111" s="27">
        <v>0</v>
      </c>
      <c r="M111" s="40">
        <v>0</v>
      </c>
      <c r="N111" s="27">
        <v>0</v>
      </c>
      <c r="O111" s="26">
        <v>0</v>
      </c>
      <c r="P111" s="27">
        <v>0</v>
      </c>
      <c r="Q111" s="1161">
        <v>0</v>
      </c>
      <c r="R111" s="27">
        <f t="shared" si="26"/>
        <v>0</v>
      </c>
      <c r="S111" s="181">
        <v>0</v>
      </c>
      <c r="T111" s="606"/>
      <c r="U111" s="26">
        <v>0</v>
      </c>
      <c r="V111" s="26"/>
      <c r="W111" s="26"/>
      <c r="X111" s="27">
        <v>0</v>
      </c>
      <c r="Y111" s="26">
        <v>0</v>
      </c>
      <c r="Z111" s="26"/>
      <c r="AA111" s="192" t="s">
        <v>1209</v>
      </c>
      <c r="AB111" s="191" t="s">
        <v>1256</v>
      </c>
      <c r="AC111" s="74" t="s">
        <v>1209</v>
      </c>
      <c r="AD111" s="584"/>
      <c r="AE111" s="584"/>
      <c r="AF111" s="584"/>
      <c r="AH111" s="633">
        <f t="shared" si="28"/>
        <v>0</v>
      </c>
      <c r="AI111" s="605">
        <f t="shared" si="29"/>
        <v>0</v>
      </c>
      <c r="AJ111" s="120">
        <f t="shared" si="24"/>
        <v>0</v>
      </c>
      <c r="AK111" s="634">
        <f t="shared" si="30"/>
        <v>0</v>
      </c>
      <c r="AL111" s="120"/>
      <c r="AM111" s="1179"/>
      <c r="AN111" s="175" t="s">
        <v>458</v>
      </c>
      <c r="AO111" s="175">
        <v>7</v>
      </c>
      <c r="AP111" s="175"/>
      <c r="AQ111" s="175">
        <v>1</v>
      </c>
      <c r="AR111" s="1175"/>
      <c r="AS111" s="148"/>
      <c r="AY111" s="66"/>
      <c r="AZ111" s="66"/>
      <c r="BB111" s="1134"/>
      <c r="BC111" s="1134"/>
      <c r="BD111" s="1134"/>
      <c r="BE111" s="1134"/>
      <c r="BF111" s="1134"/>
    </row>
    <row r="112" spans="1:62" s="180" customFormat="1" ht="25.5" x14ac:dyDescent="0.2">
      <c r="A112" s="173" t="s">
        <v>586</v>
      </c>
      <c r="B112" s="144" t="s">
        <v>1040</v>
      </c>
      <c r="C112" s="191">
        <v>2018</v>
      </c>
      <c r="D112" s="75" t="s">
        <v>1237</v>
      </c>
      <c r="E112" s="84" t="s">
        <v>521</v>
      </c>
      <c r="F112" s="84" t="s">
        <v>521</v>
      </c>
      <c r="G112" s="229" t="s">
        <v>587</v>
      </c>
      <c r="H112" s="25">
        <v>1800</v>
      </c>
      <c r="I112" s="25"/>
      <c r="J112" s="25">
        <v>1800</v>
      </c>
      <c r="K112" s="172"/>
      <c r="L112" s="27">
        <v>0</v>
      </c>
      <c r="M112" s="40">
        <v>0</v>
      </c>
      <c r="N112" s="27">
        <v>0</v>
      </c>
      <c r="O112" s="26">
        <v>0</v>
      </c>
      <c r="P112" s="27">
        <v>0</v>
      </c>
      <c r="Q112" s="1161">
        <v>0</v>
      </c>
      <c r="R112" s="27">
        <f t="shared" si="26"/>
        <v>0</v>
      </c>
      <c r="S112" s="181">
        <v>0</v>
      </c>
      <c r="T112" s="606"/>
      <c r="U112" s="26">
        <v>0</v>
      </c>
      <c r="V112" s="26"/>
      <c r="W112" s="26"/>
      <c r="X112" s="27">
        <v>0</v>
      </c>
      <c r="Y112" s="26">
        <v>0</v>
      </c>
      <c r="Z112" s="26"/>
      <c r="AA112" s="192" t="s">
        <v>1209</v>
      </c>
      <c r="AB112" s="191" t="s">
        <v>1256</v>
      </c>
      <c r="AC112" s="74" t="s">
        <v>1209</v>
      </c>
      <c r="AD112" s="584"/>
      <c r="AE112" s="584"/>
      <c r="AF112" s="584"/>
      <c r="AH112" s="633">
        <f t="shared" si="28"/>
        <v>0</v>
      </c>
      <c r="AI112" s="605">
        <f t="shared" si="29"/>
        <v>0</v>
      </c>
      <c r="AJ112" s="120">
        <f t="shared" si="24"/>
        <v>0</v>
      </c>
      <c r="AK112" s="634">
        <f t="shared" si="30"/>
        <v>0</v>
      </c>
      <c r="AL112" s="120"/>
      <c r="AM112" s="1179"/>
      <c r="AN112" s="175" t="s">
        <v>458</v>
      </c>
      <c r="AO112" s="175">
        <v>7</v>
      </c>
      <c r="AP112" s="175"/>
      <c r="AQ112" s="175">
        <v>1</v>
      </c>
      <c r="AR112" s="1175"/>
      <c r="AS112" s="148"/>
      <c r="AY112" s="66"/>
      <c r="AZ112" s="66"/>
      <c r="BB112" s="1134"/>
      <c r="BC112" s="1134"/>
      <c r="BD112" s="1134"/>
      <c r="BE112" s="1134"/>
      <c r="BF112" s="1134"/>
    </row>
    <row r="113" spans="1:62" s="180" customFormat="1" ht="30" x14ac:dyDescent="0.2">
      <c r="A113" s="173" t="s">
        <v>588</v>
      </c>
      <c r="B113" s="144" t="s">
        <v>1041</v>
      </c>
      <c r="C113" s="191">
        <v>2018</v>
      </c>
      <c r="D113" s="75" t="s">
        <v>1238</v>
      </c>
      <c r="E113" s="84" t="s">
        <v>521</v>
      </c>
      <c r="F113" s="84" t="s">
        <v>521</v>
      </c>
      <c r="G113" s="229" t="s">
        <v>589</v>
      </c>
      <c r="H113" s="25">
        <v>6700</v>
      </c>
      <c r="I113" s="25"/>
      <c r="J113" s="25">
        <v>6700</v>
      </c>
      <c r="K113" s="172"/>
      <c r="L113" s="27">
        <v>0</v>
      </c>
      <c r="M113" s="40">
        <v>0</v>
      </c>
      <c r="N113" s="27">
        <v>0</v>
      </c>
      <c r="O113" s="26">
        <v>0</v>
      </c>
      <c r="P113" s="27">
        <v>0</v>
      </c>
      <c r="Q113" s="1161">
        <v>0</v>
      </c>
      <c r="R113" s="27">
        <f t="shared" si="26"/>
        <v>0</v>
      </c>
      <c r="S113" s="181">
        <v>0</v>
      </c>
      <c r="T113" s="606"/>
      <c r="U113" s="26">
        <v>0</v>
      </c>
      <c r="V113" s="26"/>
      <c r="W113" s="26"/>
      <c r="X113" s="27">
        <v>0</v>
      </c>
      <c r="Y113" s="26">
        <v>0</v>
      </c>
      <c r="Z113" s="26"/>
      <c r="AA113" s="192" t="s">
        <v>1209</v>
      </c>
      <c r="AB113" s="191" t="s">
        <v>1256</v>
      </c>
      <c r="AC113" s="74" t="s">
        <v>1209</v>
      </c>
      <c r="AD113" s="584"/>
      <c r="AE113" s="584"/>
      <c r="AF113" s="584"/>
      <c r="AH113" s="633">
        <f t="shared" si="28"/>
        <v>0</v>
      </c>
      <c r="AI113" s="605">
        <f t="shared" si="29"/>
        <v>0</v>
      </c>
      <c r="AJ113" s="120">
        <f t="shared" si="24"/>
        <v>0</v>
      </c>
      <c r="AK113" s="634">
        <f t="shared" si="30"/>
        <v>0</v>
      </c>
      <c r="AL113" s="120"/>
      <c r="AM113" s="1179"/>
      <c r="AN113" s="175" t="s">
        <v>458</v>
      </c>
      <c r="AO113" s="175">
        <v>7</v>
      </c>
      <c r="AP113" s="175"/>
      <c r="AQ113" s="175">
        <v>1</v>
      </c>
      <c r="AR113" s="1175"/>
      <c r="AS113" s="148"/>
      <c r="AY113" s="66"/>
      <c r="AZ113" s="66"/>
      <c r="BB113" s="1134"/>
      <c r="BC113" s="1134"/>
      <c r="BD113" s="1134"/>
      <c r="BE113" s="1134"/>
      <c r="BF113" s="1134"/>
    </row>
    <row r="114" spans="1:62" s="180" customFormat="1" ht="25.5" x14ac:dyDescent="0.2">
      <c r="A114" s="173" t="s">
        <v>590</v>
      </c>
      <c r="B114" s="144" t="s">
        <v>1042</v>
      </c>
      <c r="C114" s="191">
        <v>2018</v>
      </c>
      <c r="D114" s="75" t="s">
        <v>1239</v>
      </c>
      <c r="E114" s="84" t="s">
        <v>521</v>
      </c>
      <c r="F114" s="84" t="s">
        <v>521</v>
      </c>
      <c r="G114" s="229" t="s">
        <v>591</v>
      </c>
      <c r="H114" s="25">
        <v>3500</v>
      </c>
      <c r="I114" s="25"/>
      <c r="J114" s="25">
        <v>3500</v>
      </c>
      <c r="K114" s="172"/>
      <c r="L114" s="27">
        <v>0</v>
      </c>
      <c r="M114" s="40">
        <v>0</v>
      </c>
      <c r="N114" s="27">
        <v>0</v>
      </c>
      <c r="O114" s="26">
        <v>0</v>
      </c>
      <c r="P114" s="27">
        <v>0</v>
      </c>
      <c r="Q114" s="1161">
        <v>0</v>
      </c>
      <c r="R114" s="27">
        <f t="shared" si="26"/>
        <v>0</v>
      </c>
      <c r="S114" s="181">
        <v>0</v>
      </c>
      <c r="T114" s="606"/>
      <c r="U114" s="26">
        <v>0</v>
      </c>
      <c r="V114" s="26"/>
      <c r="W114" s="26"/>
      <c r="X114" s="27">
        <v>0</v>
      </c>
      <c r="Y114" s="26">
        <v>0</v>
      </c>
      <c r="Z114" s="26"/>
      <c r="AA114" s="192" t="s">
        <v>1209</v>
      </c>
      <c r="AB114" s="191" t="s">
        <v>1256</v>
      </c>
      <c r="AC114" s="74" t="s">
        <v>1209</v>
      </c>
      <c r="AD114" s="584"/>
      <c r="AE114" s="584"/>
      <c r="AF114" s="584"/>
      <c r="AH114" s="633">
        <f t="shared" si="28"/>
        <v>0</v>
      </c>
      <c r="AI114" s="605">
        <f t="shared" si="29"/>
        <v>0</v>
      </c>
      <c r="AJ114" s="120">
        <f t="shared" si="24"/>
        <v>0</v>
      </c>
      <c r="AK114" s="634">
        <f t="shared" si="30"/>
        <v>0</v>
      </c>
      <c r="AL114" s="120"/>
      <c r="AM114" s="1179"/>
      <c r="AN114" s="175" t="s">
        <v>458</v>
      </c>
      <c r="AO114" s="175">
        <v>7</v>
      </c>
      <c r="AP114" s="175"/>
      <c r="AQ114" s="175">
        <v>1</v>
      </c>
      <c r="AR114" s="1175"/>
      <c r="AS114" s="148"/>
      <c r="AY114" s="66"/>
      <c r="AZ114" s="66"/>
      <c r="BB114" s="1134"/>
      <c r="BC114" s="1134"/>
      <c r="BD114" s="1134"/>
      <c r="BE114" s="1134"/>
      <c r="BF114" s="1134"/>
    </row>
    <row r="115" spans="1:62" s="180" customFormat="1" ht="45" x14ac:dyDescent="0.2">
      <c r="A115" s="173" t="s">
        <v>592</v>
      </c>
      <c r="B115" s="144" t="s">
        <v>1043</v>
      </c>
      <c r="C115" s="191">
        <v>2018</v>
      </c>
      <c r="D115" s="75" t="s">
        <v>1240</v>
      </c>
      <c r="E115" s="84" t="s">
        <v>521</v>
      </c>
      <c r="F115" s="84" t="s">
        <v>521</v>
      </c>
      <c r="G115" s="229" t="s">
        <v>593</v>
      </c>
      <c r="H115" s="25">
        <v>2800</v>
      </c>
      <c r="I115" s="25"/>
      <c r="J115" s="25">
        <v>2800</v>
      </c>
      <c r="K115" s="172"/>
      <c r="L115" s="27">
        <v>0</v>
      </c>
      <c r="M115" s="40">
        <v>0</v>
      </c>
      <c r="N115" s="27">
        <v>0</v>
      </c>
      <c r="O115" s="26">
        <v>0</v>
      </c>
      <c r="P115" s="27">
        <v>0</v>
      </c>
      <c r="Q115" s="1161">
        <v>0</v>
      </c>
      <c r="R115" s="27">
        <f t="shared" si="26"/>
        <v>0</v>
      </c>
      <c r="S115" s="181">
        <v>0</v>
      </c>
      <c r="T115" s="606"/>
      <c r="U115" s="26">
        <v>0</v>
      </c>
      <c r="V115" s="26"/>
      <c r="W115" s="26"/>
      <c r="X115" s="27">
        <v>0</v>
      </c>
      <c r="Y115" s="26">
        <v>0</v>
      </c>
      <c r="Z115" s="26"/>
      <c r="AA115" s="192" t="s">
        <v>1209</v>
      </c>
      <c r="AB115" s="191" t="s">
        <v>1256</v>
      </c>
      <c r="AC115" s="74" t="s">
        <v>1209</v>
      </c>
      <c r="AD115" s="584"/>
      <c r="AE115" s="584"/>
      <c r="AF115" s="584"/>
      <c r="AH115" s="633">
        <f t="shared" si="28"/>
        <v>0</v>
      </c>
      <c r="AI115" s="605">
        <f t="shared" si="29"/>
        <v>0</v>
      </c>
      <c r="AJ115" s="120">
        <f t="shared" si="24"/>
        <v>0</v>
      </c>
      <c r="AK115" s="634">
        <f t="shared" si="30"/>
        <v>0</v>
      </c>
      <c r="AL115" s="120"/>
      <c r="AM115" s="1179"/>
      <c r="AN115" s="175" t="s">
        <v>458</v>
      </c>
      <c r="AO115" s="175">
        <v>7</v>
      </c>
      <c r="AP115" s="175"/>
      <c r="AQ115" s="175">
        <v>1</v>
      </c>
      <c r="AR115" s="1175"/>
      <c r="AS115" s="148"/>
      <c r="AY115" s="66"/>
      <c r="AZ115" s="66"/>
      <c r="BB115" s="1134"/>
      <c r="BC115" s="1134"/>
      <c r="BD115" s="1134"/>
      <c r="BE115" s="1134"/>
      <c r="BF115" s="1134"/>
    </row>
    <row r="116" spans="1:62" s="180" customFormat="1" ht="25.5" x14ac:dyDescent="0.2">
      <c r="A116" s="173" t="s">
        <v>594</v>
      </c>
      <c r="B116" s="144" t="s">
        <v>1044</v>
      </c>
      <c r="C116" s="191">
        <v>2018</v>
      </c>
      <c r="D116" s="75" t="s">
        <v>1243</v>
      </c>
      <c r="E116" s="84" t="s">
        <v>595</v>
      </c>
      <c r="F116" s="84" t="s">
        <v>596</v>
      </c>
      <c r="G116" s="229" t="s">
        <v>597</v>
      </c>
      <c r="H116" s="25">
        <v>2969</v>
      </c>
      <c r="I116" s="25"/>
      <c r="J116" s="25">
        <v>2969</v>
      </c>
      <c r="K116" s="172"/>
      <c r="L116" s="27">
        <v>0</v>
      </c>
      <c r="M116" s="40">
        <v>0</v>
      </c>
      <c r="N116" s="27">
        <v>0</v>
      </c>
      <c r="O116" s="26">
        <v>0</v>
      </c>
      <c r="P116" s="27">
        <v>0</v>
      </c>
      <c r="Q116" s="1161">
        <v>0</v>
      </c>
      <c r="R116" s="27">
        <f t="shared" si="26"/>
        <v>0</v>
      </c>
      <c r="S116" s="181">
        <v>0</v>
      </c>
      <c r="T116" s="606"/>
      <c r="U116" s="26">
        <v>0</v>
      </c>
      <c r="V116" s="26"/>
      <c r="W116" s="26"/>
      <c r="X116" s="27">
        <v>0</v>
      </c>
      <c r="Y116" s="26">
        <v>0</v>
      </c>
      <c r="Z116" s="26"/>
      <c r="AA116" s="192" t="s">
        <v>1209</v>
      </c>
      <c r="AB116" s="191" t="s">
        <v>1256</v>
      </c>
      <c r="AC116" s="74" t="s">
        <v>1209</v>
      </c>
      <c r="AD116" s="584"/>
      <c r="AE116" s="584"/>
      <c r="AF116" s="584"/>
      <c r="AH116" s="633">
        <f t="shared" si="28"/>
        <v>0</v>
      </c>
      <c r="AI116" s="605">
        <f t="shared" si="29"/>
        <v>0</v>
      </c>
      <c r="AJ116" s="120">
        <f t="shared" si="24"/>
        <v>0</v>
      </c>
      <c r="AK116" s="634">
        <f t="shared" si="30"/>
        <v>0</v>
      </c>
      <c r="AL116" s="120"/>
      <c r="AM116" s="1179"/>
      <c r="AN116" s="175" t="s">
        <v>458</v>
      </c>
      <c r="AO116" s="175">
        <v>7</v>
      </c>
      <c r="AP116" s="175"/>
      <c r="AQ116" s="175">
        <v>1</v>
      </c>
      <c r="AR116" s="1175"/>
      <c r="AS116" s="148"/>
      <c r="AY116" s="66"/>
      <c r="AZ116" s="66"/>
      <c r="BB116" s="1134"/>
      <c r="BC116" s="1134"/>
      <c r="BD116" s="1134"/>
      <c r="BE116" s="1134"/>
      <c r="BF116" s="1134"/>
    </row>
    <row r="117" spans="1:62" s="180" customFormat="1" ht="25.5" x14ac:dyDescent="0.2">
      <c r="A117" s="173" t="s">
        <v>598</v>
      </c>
      <c r="B117" s="144" t="s">
        <v>1045</v>
      </c>
      <c r="C117" s="191">
        <v>2018</v>
      </c>
      <c r="D117" s="75" t="s">
        <v>1244</v>
      </c>
      <c r="E117" s="84" t="s">
        <v>595</v>
      </c>
      <c r="F117" s="84" t="s">
        <v>596</v>
      </c>
      <c r="G117" s="229" t="s">
        <v>599</v>
      </c>
      <c r="H117" s="25">
        <v>5539.8446399999993</v>
      </c>
      <c r="I117" s="25"/>
      <c r="J117" s="25">
        <v>5539.8446399999993</v>
      </c>
      <c r="K117" s="172"/>
      <c r="L117" s="27">
        <v>0</v>
      </c>
      <c r="M117" s="40">
        <v>0</v>
      </c>
      <c r="N117" s="27">
        <v>0</v>
      </c>
      <c r="O117" s="26">
        <v>0</v>
      </c>
      <c r="P117" s="27">
        <v>0.15536</v>
      </c>
      <c r="Q117" s="1161">
        <v>-0.15536</v>
      </c>
      <c r="R117" s="27">
        <f t="shared" si="26"/>
        <v>0</v>
      </c>
      <c r="S117" s="181">
        <v>0</v>
      </c>
      <c r="T117" s="606"/>
      <c r="U117" s="26">
        <v>0</v>
      </c>
      <c r="V117" s="26"/>
      <c r="W117" s="26"/>
      <c r="X117" s="27">
        <v>0</v>
      </c>
      <c r="Y117" s="26">
        <v>0</v>
      </c>
      <c r="Z117" s="26"/>
      <c r="AA117" s="192" t="s">
        <v>1209</v>
      </c>
      <c r="AB117" s="191" t="s">
        <v>1256</v>
      </c>
      <c r="AC117" s="74" t="s">
        <v>1209</v>
      </c>
      <c r="AD117" s="584"/>
      <c r="AE117" s="584"/>
      <c r="AF117" s="584"/>
      <c r="AH117" s="633">
        <f t="shared" si="28"/>
        <v>0</v>
      </c>
      <c r="AI117" s="605">
        <f t="shared" si="29"/>
        <v>0</v>
      </c>
      <c r="AJ117" s="120">
        <f t="shared" si="24"/>
        <v>0</v>
      </c>
      <c r="AK117" s="634">
        <f t="shared" si="30"/>
        <v>0</v>
      </c>
      <c r="AL117" s="120"/>
      <c r="AM117" s="1179"/>
      <c r="AN117" s="175" t="s">
        <v>458</v>
      </c>
      <c r="AO117" s="175">
        <v>7</v>
      </c>
      <c r="AP117" s="175"/>
      <c r="AQ117" s="175">
        <v>1</v>
      </c>
      <c r="AR117" s="1175"/>
      <c r="AS117" s="148"/>
      <c r="AY117" s="66"/>
      <c r="AZ117" s="66"/>
      <c r="BB117" s="1134"/>
      <c r="BC117" s="1134"/>
      <c r="BD117" s="1134"/>
      <c r="BE117" s="1134"/>
      <c r="BF117" s="1134"/>
    </row>
    <row r="118" spans="1:62" s="180" customFormat="1" ht="25.5" x14ac:dyDescent="0.2">
      <c r="A118" s="173" t="s">
        <v>600</v>
      </c>
      <c r="B118" s="144" t="s">
        <v>1046</v>
      </c>
      <c r="C118" s="191">
        <v>2018</v>
      </c>
      <c r="D118" s="75" t="s">
        <v>1245</v>
      </c>
      <c r="E118" s="84" t="s">
        <v>595</v>
      </c>
      <c r="F118" s="84" t="s">
        <v>596</v>
      </c>
      <c r="G118" s="229" t="s">
        <v>601</v>
      </c>
      <c r="H118" s="25">
        <v>6176.8975399999999</v>
      </c>
      <c r="I118" s="25"/>
      <c r="J118" s="25">
        <v>6176.8975399999999</v>
      </c>
      <c r="K118" s="172"/>
      <c r="L118" s="27">
        <v>0</v>
      </c>
      <c r="M118" s="40">
        <v>0</v>
      </c>
      <c r="N118" s="27">
        <v>0</v>
      </c>
      <c r="O118" s="26">
        <v>0</v>
      </c>
      <c r="P118" s="27">
        <v>0.10246</v>
      </c>
      <c r="Q118" s="1117">
        <v>-0.10246</v>
      </c>
      <c r="R118" s="27">
        <f t="shared" si="26"/>
        <v>0</v>
      </c>
      <c r="S118" s="181">
        <v>0</v>
      </c>
      <c r="T118" s="606"/>
      <c r="U118" s="26">
        <v>0</v>
      </c>
      <c r="V118" s="26"/>
      <c r="W118" s="26"/>
      <c r="X118" s="27">
        <v>0</v>
      </c>
      <c r="Y118" s="26">
        <v>0</v>
      </c>
      <c r="Z118" s="26"/>
      <c r="AA118" s="192" t="s">
        <v>1209</v>
      </c>
      <c r="AB118" s="191" t="s">
        <v>1256</v>
      </c>
      <c r="AC118" s="74" t="s">
        <v>1209</v>
      </c>
      <c r="AD118" s="584"/>
      <c r="AE118" s="584"/>
      <c r="AF118" s="584"/>
      <c r="AH118" s="633">
        <f t="shared" si="28"/>
        <v>0</v>
      </c>
      <c r="AI118" s="605">
        <f t="shared" si="29"/>
        <v>0</v>
      </c>
      <c r="AJ118" s="120">
        <f t="shared" si="24"/>
        <v>0</v>
      </c>
      <c r="AK118" s="634">
        <f t="shared" si="30"/>
        <v>0</v>
      </c>
      <c r="AL118" s="120"/>
      <c r="AM118" s="1179"/>
      <c r="AN118" s="175" t="s">
        <v>458</v>
      </c>
      <c r="AO118" s="175">
        <v>7</v>
      </c>
      <c r="AP118" s="175"/>
      <c r="AQ118" s="175">
        <v>1</v>
      </c>
      <c r="AR118" s="1175"/>
      <c r="AS118" s="148"/>
      <c r="AY118" s="66"/>
      <c r="AZ118" s="66"/>
      <c r="BB118" s="1134"/>
      <c r="BC118" s="1134"/>
      <c r="BD118" s="1134"/>
      <c r="BE118" s="1134"/>
      <c r="BF118" s="1134"/>
    </row>
    <row r="119" spans="1:62" s="180" customFormat="1" ht="45" x14ac:dyDescent="0.2">
      <c r="A119" s="173" t="s">
        <v>602</v>
      </c>
      <c r="B119" s="144" t="s">
        <v>1047</v>
      </c>
      <c r="C119" s="191">
        <v>2018</v>
      </c>
      <c r="D119" s="75" t="s">
        <v>1246</v>
      </c>
      <c r="E119" s="84" t="s">
        <v>457</v>
      </c>
      <c r="F119" s="84" t="s">
        <v>457</v>
      </c>
      <c r="G119" s="229" t="s">
        <v>603</v>
      </c>
      <c r="H119" s="25">
        <v>1731</v>
      </c>
      <c r="I119" s="25"/>
      <c r="J119" s="25">
        <v>1731</v>
      </c>
      <c r="K119" s="172"/>
      <c r="L119" s="27">
        <v>0</v>
      </c>
      <c r="M119" s="40">
        <v>0</v>
      </c>
      <c r="N119" s="27">
        <v>0</v>
      </c>
      <c r="O119" s="26">
        <v>0</v>
      </c>
      <c r="P119" s="27">
        <v>0</v>
      </c>
      <c r="Q119" s="1161">
        <v>0</v>
      </c>
      <c r="R119" s="27">
        <f t="shared" si="26"/>
        <v>0</v>
      </c>
      <c r="S119" s="181">
        <v>0</v>
      </c>
      <c r="T119" s="606"/>
      <c r="U119" s="26">
        <v>0</v>
      </c>
      <c r="V119" s="26"/>
      <c r="W119" s="26"/>
      <c r="X119" s="27">
        <v>0</v>
      </c>
      <c r="Y119" s="26">
        <v>0</v>
      </c>
      <c r="Z119" s="26"/>
      <c r="AA119" s="192" t="s">
        <v>1209</v>
      </c>
      <c r="AB119" s="191" t="s">
        <v>1256</v>
      </c>
      <c r="AC119" s="74" t="s">
        <v>1209</v>
      </c>
      <c r="AD119" s="584"/>
      <c r="AE119" s="584"/>
      <c r="AF119" s="584"/>
      <c r="AH119" s="633">
        <f t="shared" si="28"/>
        <v>0</v>
      </c>
      <c r="AI119" s="605">
        <f t="shared" si="29"/>
        <v>0</v>
      </c>
      <c r="AJ119" s="120">
        <f t="shared" si="24"/>
        <v>0</v>
      </c>
      <c r="AK119" s="634">
        <f t="shared" si="30"/>
        <v>0</v>
      </c>
      <c r="AL119" s="120"/>
      <c r="AM119" s="1179"/>
      <c r="AN119" s="175" t="s">
        <v>458</v>
      </c>
      <c r="AO119" s="175">
        <v>7</v>
      </c>
      <c r="AP119" s="175"/>
      <c r="AQ119" s="175">
        <v>1</v>
      </c>
      <c r="AR119" s="1175"/>
      <c r="AS119" s="148"/>
      <c r="AY119" s="66"/>
      <c r="AZ119" s="66"/>
      <c r="BB119" s="1134"/>
      <c r="BC119" s="1134"/>
      <c r="BD119" s="1134"/>
      <c r="BE119" s="1134"/>
      <c r="BF119" s="1134"/>
    </row>
    <row r="120" spans="1:62" s="180" customFormat="1" ht="15" x14ac:dyDescent="0.2">
      <c r="A120" s="173" t="s">
        <v>604</v>
      </c>
      <c r="B120" s="144" t="s">
        <v>1048</v>
      </c>
      <c r="C120" s="191">
        <v>2018</v>
      </c>
      <c r="D120" s="78" t="s">
        <v>1247</v>
      </c>
      <c r="E120" s="84" t="s">
        <v>457</v>
      </c>
      <c r="F120" s="84" t="s">
        <v>457</v>
      </c>
      <c r="G120" s="229" t="s">
        <v>605</v>
      </c>
      <c r="H120" s="25">
        <v>2100</v>
      </c>
      <c r="I120" s="25"/>
      <c r="J120" s="25">
        <v>2100</v>
      </c>
      <c r="K120" s="172"/>
      <c r="L120" s="27">
        <v>0</v>
      </c>
      <c r="M120" s="40">
        <v>0</v>
      </c>
      <c r="N120" s="27">
        <v>0</v>
      </c>
      <c r="O120" s="26">
        <v>0</v>
      </c>
      <c r="P120" s="27">
        <v>0</v>
      </c>
      <c r="Q120" s="1117">
        <v>0</v>
      </c>
      <c r="R120" s="27">
        <f t="shared" si="26"/>
        <v>0</v>
      </c>
      <c r="S120" s="181">
        <v>0</v>
      </c>
      <c r="T120" s="606"/>
      <c r="U120" s="26">
        <v>0</v>
      </c>
      <c r="V120" s="26"/>
      <c r="W120" s="26"/>
      <c r="X120" s="27">
        <v>0</v>
      </c>
      <c r="Y120" s="26">
        <v>0</v>
      </c>
      <c r="Z120" s="26"/>
      <c r="AA120" s="192" t="s">
        <v>1209</v>
      </c>
      <c r="AB120" s="191" t="s">
        <v>1256</v>
      </c>
      <c r="AC120" s="74" t="s">
        <v>1209</v>
      </c>
      <c r="AD120" s="584"/>
      <c r="AE120" s="584"/>
      <c r="AF120" s="584"/>
      <c r="AH120" s="633">
        <f t="shared" si="28"/>
        <v>0</v>
      </c>
      <c r="AI120" s="605">
        <f t="shared" si="29"/>
        <v>0</v>
      </c>
      <c r="AJ120" s="120">
        <f t="shared" si="24"/>
        <v>0</v>
      </c>
      <c r="AK120" s="634">
        <f t="shared" si="30"/>
        <v>0</v>
      </c>
      <c r="AL120" s="120"/>
      <c r="AM120" s="1179"/>
      <c r="AN120" s="175" t="s">
        <v>458</v>
      </c>
      <c r="AO120" s="175">
        <v>7</v>
      </c>
      <c r="AP120" s="175"/>
      <c r="AQ120" s="175">
        <v>1</v>
      </c>
      <c r="AR120" s="1175"/>
      <c r="AS120" s="148"/>
      <c r="AY120" s="66"/>
      <c r="AZ120" s="66"/>
      <c r="BB120" s="1134"/>
      <c r="BC120" s="1134"/>
      <c r="BD120" s="1134"/>
      <c r="BE120" s="1134"/>
      <c r="BF120" s="1134"/>
    </row>
    <row r="121" spans="1:62" s="179" customFormat="1" ht="30" x14ac:dyDescent="0.2">
      <c r="A121" s="173" t="s">
        <v>606</v>
      </c>
      <c r="B121" s="144" t="s">
        <v>1049</v>
      </c>
      <c r="C121" s="191">
        <v>2018</v>
      </c>
      <c r="D121" s="75" t="s">
        <v>1248</v>
      </c>
      <c r="E121" s="84" t="s">
        <v>457</v>
      </c>
      <c r="F121" s="84" t="s">
        <v>457</v>
      </c>
      <c r="G121" s="229" t="s">
        <v>607</v>
      </c>
      <c r="H121" s="25">
        <v>14225.20824</v>
      </c>
      <c r="I121" s="25"/>
      <c r="J121" s="25">
        <v>14225.20824</v>
      </c>
      <c r="K121" s="172"/>
      <c r="L121" s="27">
        <v>0</v>
      </c>
      <c r="M121" s="40">
        <v>0</v>
      </c>
      <c r="N121" s="27">
        <v>0</v>
      </c>
      <c r="O121" s="26">
        <v>0</v>
      </c>
      <c r="P121" s="27">
        <v>774.79175999999995</v>
      </c>
      <c r="Q121" s="1161">
        <v>-774.79175999999995</v>
      </c>
      <c r="R121" s="27">
        <f t="shared" si="26"/>
        <v>0</v>
      </c>
      <c r="S121" s="181">
        <v>0</v>
      </c>
      <c r="T121" s="606"/>
      <c r="U121" s="26">
        <v>0</v>
      </c>
      <c r="V121" s="26"/>
      <c r="W121" s="26"/>
      <c r="X121" s="27">
        <v>0</v>
      </c>
      <c r="Y121" s="26">
        <v>0</v>
      </c>
      <c r="Z121" s="26"/>
      <c r="AA121" s="192" t="s">
        <v>1197</v>
      </c>
      <c r="AB121" s="191" t="s">
        <v>1256</v>
      </c>
      <c r="AC121" s="74" t="s">
        <v>1209</v>
      </c>
      <c r="AD121" s="584"/>
      <c r="AE121" s="584"/>
      <c r="AF121" s="584"/>
      <c r="AH121" s="633">
        <f t="shared" si="28"/>
        <v>0</v>
      </c>
      <c r="AI121" s="605">
        <f t="shared" si="29"/>
        <v>0</v>
      </c>
      <c r="AJ121" s="120">
        <f t="shared" si="24"/>
        <v>0</v>
      </c>
      <c r="AK121" s="634">
        <f t="shared" si="30"/>
        <v>0</v>
      </c>
      <c r="AL121" s="120"/>
      <c r="AM121" s="1179"/>
      <c r="AN121" s="175" t="s">
        <v>458</v>
      </c>
      <c r="AO121" s="175">
        <v>7</v>
      </c>
      <c r="AP121" s="175"/>
      <c r="AQ121" s="175">
        <v>1</v>
      </c>
      <c r="AR121" s="1175"/>
      <c r="AS121" s="148"/>
      <c r="AY121" s="66"/>
      <c r="AZ121" s="66"/>
      <c r="BB121" s="1134"/>
      <c r="BC121" s="1134"/>
      <c r="BD121" s="1134"/>
      <c r="BE121" s="1134"/>
      <c r="BF121" s="1134"/>
    </row>
    <row r="122" spans="1:62" s="64" customFormat="1" ht="15" x14ac:dyDescent="0.2">
      <c r="A122" s="173" t="s">
        <v>608</v>
      </c>
      <c r="B122" s="144" t="s">
        <v>1050</v>
      </c>
      <c r="C122" s="191">
        <v>2018</v>
      </c>
      <c r="D122" s="75" t="s">
        <v>1249</v>
      </c>
      <c r="E122" s="84" t="s">
        <v>506</v>
      </c>
      <c r="F122" s="84" t="s">
        <v>506</v>
      </c>
      <c r="G122" s="229" t="s">
        <v>609</v>
      </c>
      <c r="H122" s="25">
        <v>5000</v>
      </c>
      <c r="I122" s="25"/>
      <c r="J122" s="25">
        <v>5000</v>
      </c>
      <c r="K122" s="172"/>
      <c r="L122" s="27">
        <v>0</v>
      </c>
      <c r="M122" s="40">
        <v>0</v>
      </c>
      <c r="N122" s="27">
        <v>0</v>
      </c>
      <c r="O122" s="26">
        <v>0</v>
      </c>
      <c r="P122" s="27">
        <v>0</v>
      </c>
      <c r="Q122" s="1117">
        <v>0</v>
      </c>
      <c r="R122" s="27">
        <f t="shared" si="26"/>
        <v>0</v>
      </c>
      <c r="S122" s="181">
        <v>0</v>
      </c>
      <c r="T122" s="606"/>
      <c r="U122" s="26">
        <v>0</v>
      </c>
      <c r="V122" s="26"/>
      <c r="W122" s="26"/>
      <c r="X122" s="27">
        <v>0</v>
      </c>
      <c r="Y122" s="26">
        <v>0</v>
      </c>
      <c r="Z122" s="26"/>
      <c r="AA122" s="192" t="s">
        <v>1209</v>
      </c>
      <c r="AB122" s="191" t="s">
        <v>1256</v>
      </c>
      <c r="AC122" s="74" t="s">
        <v>1209</v>
      </c>
      <c r="AD122" s="584"/>
      <c r="AE122" s="584"/>
      <c r="AF122" s="584"/>
      <c r="AH122" s="633">
        <f t="shared" si="28"/>
        <v>0</v>
      </c>
      <c r="AI122" s="605">
        <f t="shared" si="29"/>
        <v>0</v>
      </c>
      <c r="AJ122" s="120">
        <f t="shared" si="24"/>
        <v>0</v>
      </c>
      <c r="AK122" s="634">
        <f t="shared" si="30"/>
        <v>0</v>
      </c>
      <c r="AL122" s="120"/>
      <c r="AM122" s="1151"/>
      <c r="AN122" s="248" t="s">
        <v>458</v>
      </c>
      <c r="AO122" s="248">
        <v>7</v>
      </c>
      <c r="AP122" s="248"/>
      <c r="AQ122" s="175">
        <v>1</v>
      </c>
      <c r="AR122" s="1175"/>
      <c r="AS122" s="148"/>
      <c r="AY122" s="66"/>
      <c r="AZ122" s="66"/>
      <c r="BB122" s="1134"/>
      <c r="BC122" s="1134"/>
      <c r="BD122" s="1134"/>
      <c r="BE122" s="1134"/>
      <c r="BF122" s="1134"/>
    </row>
    <row r="123" spans="1:62" s="180" customFormat="1" ht="15" x14ac:dyDescent="0.2">
      <c r="A123" s="173" t="s">
        <v>610</v>
      </c>
      <c r="B123" s="144" t="s">
        <v>1051</v>
      </c>
      <c r="C123" s="191">
        <v>2018</v>
      </c>
      <c r="D123" s="75" t="s">
        <v>1250</v>
      </c>
      <c r="E123" s="84" t="s">
        <v>506</v>
      </c>
      <c r="F123" s="84" t="s">
        <v>506</v>
      </c>
      <c r="G123" s="229" t="s">
        <v>611</v>
      </c>
      <c r="H123" s="25">
        <v>2000</v>
      </c>
      <c r="I123" s="25"/>
      <c r="J123" s="25">
        <v>2000</v>
      </c>
      <c r="K123" s="172"/>
      <c r="L123" s="27">
        <v>0</v>
      </c>
      <c r="M123" s="40">
        <v>0</v>
      </c>
      <c r="N123" s="27">
        <v>0</v>
      </c>
      <c r="O123" s="26">
        <v>0</v>
      </c>
      <c r="P123" s="27">
        <v>0</v>
      </c>
      <c r="Q123" s="1161">
        <v>0</v>
      </c>
      <c r="R123" s="27">
        <f t="shared" si="26"/>
        <v>0</v>
      </c>
      <c r="S123" s="181">
        <v>0</v>
      </c>
      <c r="T123" s="606"/>
      <c r="U123" s="26">
        <v>0</v>
      </c>
      <c r="V123" s="26"/>
      <c r="W123" s="26"/>
      <c r="X123" s="27">
        <v>0</v>
      </c>
      <c r="Y123" s="26">
        <v>0</v>
      </c>
      <c r="Z123" s="26"/>
      <c r="AA123" s="192" t="s">
        <v>1209</v>
      </c>
      <c r="AB123" s="191" t="s">
        <v>1256</v>
      </c>
      <c r="AC123" s="74" t="s">
        <v>1209</v>
      </c>
      <c r="AD123" s="584"/>
      <c r="AE123" s="584"/>
      <c r="AF123" s="584"/>
      <c r="AH123" s="633">
        <f t="shared" si="28"/>
        <v>0</v>
      </c>
      <c r="AI123" s="605">
        <f t="shared" si="29"/>
        <v>0</v>
      </c>
      <c r="AJ123" s="120">
        <f t="shared" si="24"/>
        <v>0</v>
      </c>
      <c r="AK123" s="634">
        <f t="shared" si="30"/>
        <v>0</v>
      </c>
      <c r="AL123" s="120"/>
      <c r="AM123" s="1179"/>
      <c r="AN123" s="175" t="s">
        <v>458</v>
      </c>
      <c r="AO123" s="175">
        <v>7</v>
      </c>
      <c r="AP123" s="175"/>
      <c r="AQ123" s="175">
        <v>1</v>
      </c>
      <c r="AR123" s="1175"/>
      <c r="AS123" s="148"/>
      <c r="AY123" s="66"/>
      <c r="AZ123" s="66"/>
      <c r="BB123" s="1134"/>
      <c r="BC123" s="1134"/>
      <c r="BD123" s="1134"/>
      <c r="BE123" s="1134"/>
      <c r="BF123" s="1134"/>
    </row>
    <row r="124" spans="1:62" s="179" customFormat="1" ht="15" x14ac:dyDescent="0.2">
      <c r="A124" s="173" t="s">
        <v>612</v>
      </c>
      <c r="B124" s="144" t="s">
        <v>1052</v>
      </c>
      <c r="C124" s="191">
        <v>2018</v>
      </c>
      <c r="D124" s="75" t="s">
        <v>1251</v>
      </c>
      <c r="E124" s="84" t="s">
        <v>506</v>
      </c>
      <c r="F124" s="84" t="s">
        <v>506</v>
      </c>
      <c r="G124" s="229" t="s">
        <v>613</v>
      </c>
      <c r="H124" s="25">
        <v>2778.85655</v>
      </c>
      <c r="I124" s="25"/>
      <c r="J124" s="25">
        <v>2778.85655</v>
      </c>
      <c r="K124" s="172"/>
      <c r="L124" s="27">
        <v>0</v>
      </c>
      <c r="M124" s="40">
        <v>0</v>
      </c>
      <c r="N124" s="27">
        <v>0</v>
      </c>
      <c r="O124" s="26">
        <v>0</v>
      </c>
      <c r="P124" s="27">
        <v>221.14345</v>
      </c>
      <c r="Q124" s="1117">
        <v>-221.14345</v>
      </c>
      <c r="R124" s="27">
        <f t="shared" si="26"/>
        <v>0</v>
      </c>
      <c r="S124" s="181">
        <v>0</v>
      </c>
      <c r="T124" s="606"/>
      <c r="U124" s="26">
        <v>0</v>
      </c>
      <c r="V124" s="26"/>
      <c r="W124" s="26"/>
      <c r="X124" s="27">
        <v>0</v>
      </c>
      <c r="Y124" s="26">
        <v>0</v>
      </c>
      <c r="Z124" s="26"/>
      <c r="AA124" s="192" t="s">
        <v>1197</v>
      </c>
      <c r="AB124" s="191" t="s">
        <v>1256</v>
      </c>
      <c r="AC124" s="74" t="s">
        <v>1209</v>
      </c>
      <c r="AD124" s="584"/>
      <c r="AE124" s="584"/>
      <c r="AF124" s="584"/>
      <c r="AH124" s="633">
        <f t="shared" si="28"/>
        <v>0</v>
      </c>
      <c r="AI124" s="605">
        <f t="shared" si="29"/>
        <v>0</v>
      </c>
      <c r="AJ124" s="120">
        <f t="shared" si="24"/>
        <v>0</v>
      </c>
      <c r="AK124" s="634">
        <f t="shared" si="30"/>
        <v>0</v>
      </c>
      <c r="AL124" s="120"/>
      <c r="AM124" s="1179"/>
      <c r="AN124" s="175" t="s">
        <v>458</v>
      </c>
      <c r="AO124" s="175">
        <v>7</v>
      </c>
      <c r="AP124" s="175"/>
      <c r="AQ124" s="175">
        <v>1</v>
      </c>
      <c r="AR124" s="1175"/>
      <c r="AS124" s="148"/>
      <c r="AY124" s="66"/>
      <c r="AZ124" s="66"/>
      <c r="BB124" s="1134"/>
      <c r="BC124" s="1134"/>
      <c r="BD124" s="1134"/>
      <c r="BE124" s="1134"/>
      <c r="BF124" s="1134"/>
    </row>
    <row r="125" spans="1:62" s="179" customFormat="1" thickBot="1" x14ac:dyDescent="0.25">
      <c r="A125" s="173" t="s">
        <v>614</v>
      </c>
      <c r="B125" s="144" t="s">
        <v>1053</v>
      </c>
      <c r="C125" s="191">
        <v>2018</v>
      </c>
      <c r="D125" s="75" t="s">
        <v>1252</v>
      </c>
      <c r="E125" s="84" t="s">
        <v>506</v>
      </c>
      <c r="F125" s="84" t="s">
        <v>506</v>
      </c>
      <c r="G125" s="229" t="s">
        <v>615</v>
      </c>
      <c r="H125" s="25">
        <v>1722.943</v>
      </c>
      <c r="I125" s="25"/>
      <c r="J125" s="25">
        <v>1722.943</v>
      </c>
      <c r="K125" s="172"/>
      <c r="L125" s="27">
        <v>0</v>
      </c>
      <c r="M125" s="40">
        <v>0</v>
      </c>
      <c r="N125" s="27">
        <v>0</v>
      </c>
      <c r="O125" s="26">
        <v>0</v>
      </c>
      <c r="P125" s="27">
        <v>277.05700000000002</v>
      </c>
      <c r="Q125" s="1117">
        <v>-277.05700000000002</v>
      </c>
      <c r="R125" s="27">
        <f t="shared" si="26"/>
        <v>0</v>
      </c>
      <c r="S125" s="181">
        <v>0</v>
      </c>
      <c r="T125" s="606"/>
      <c r="U125" s="26">
        <v>0</v>
      </c>
      <c r="V125" s="26"/>
      <c r="W125" s="26"/>
      <c r="X125" s="27">
        <v>0</v>
      </c>
      <c r="Y125" s="26">
        <v>0</v>
      </c>
      <c r="Z125" s="26"/>
      <c r="AA125" s="192" t="s">
        <v>1197</v>
      </c>
      <c r="AB125" s="191" t="s">
        <v>1256</v>
      </c>
      <c r="AC125" s="74" t="s">
        <v>1209</v>
      </c>
      <c r="AD125" s="864"/>
      <c r="AE125" s="864"/>
      <c r="AF125" s="864"/>
      <c r="AH125" s="633">
        <f t="shared" si="28"/>
        <v>0</v>
      </c>
      <c r="AI125" s="605">
        <f t="shared" si="29"/>
        <v>0</v>
      </c>
      <c r="AJ125" s="120">
        <f t="shared" si="24"/>
        <v>0</v>
      </c>
      <c r="AK125" s="634">
        <f t="shared" si="30"/>
        <v>0</v>
      </c>
      <c r="AL125" s="120"/>
      <c r="AM125" s="1179"/>
      <c r="AN125" s="175" t="s">
        <v>458</v>
      </c>
      <c r="AO125" s="175">
        <v>7</v>
      </c>
      <c r="AP125" s="175"/>
      <c r="AQ125" s="175">
        <v>1</v>
      </c>
      <c r="AR125" s="1175"/>
      <c r="AS125" s="148"/>
      <c r="AY125" s="66"/>
      <c r="AZ125" s="66"/>
      <c r="BB125" s="1134"/>
      <c r="BC125" s="1134"/>
      <c r="BD125" s="1134"/>
      <c r="BE125" s="1134"/>
      <c r="BF125" s="1134"/>
    </row>
    <row r="126" spans="1:62" s="179" customFormat="1" ht="31.5" hidden="1" customHeight="1" x14ac:dyDescent="0.2">
      <c r="A126" s="173" t="s">
        <v>1054</v>
      </c>
      <c r="B126" s="709" t="s">
        <v>1230</v>
      </c>
      <c r="C126" s="75">
        <v>2019</v>
      </c>
      <c r="D126" s="75" t="s">
        <v>1265</v>
      </c>
      <c r="E126" s="76" t="s">
        <v>521</v>
      </c>
      <c r="F126" s="84" t="s">
        <v>521</v>
      </c>
      <c r="G126" s="229" t="s">
        <v>1055</v>
      </c>
      <c r="H126" s="25">
        <v>12200</v>
      </c>
      <c r="I126" s="25">
        <v>11</v>
      </c>
      <c r="J126" s="25">
        <v>0</v>
      </c>
      <c r="K126" s="710">
        <v>0</v>
      </c>
      <c r="L126" s="542">
        <v>0</v>
      </c>
      <c r="M126" s="374">
        <v>0</v>
      </c>
      <c r="N126" s="375">
        <v>0</v>
      </c>
      <c r="O126" s="541">
        <v>0</v>
      </c>
      <c r="P126" s="545">
        <v>0</v>
      </c>
      <c r="Q126" s="676">
        <v>0</v>
      </c>
      <c r="R126" s="376">
        <f t="shared" ref="R126:R157" si="31">P126+Q126</f>
        <v>0</v>
      </c>
      <c r="S126" s="837">
        <v>0</v>
      </c>
      <c r="T126" s="22">
        <v>0</v>
      </c>
      <c r="U126" s="26">
        <v>200</v>
      </c>
      <c r="V126" s="26"/>
      <c r="W126" s="26"/>
      <c r="X126" s="27">
        <v>0</v>
      </c>
      <c r="Y126" s="44">
        <v>0</v>
      </c>
      <c r="Z126" s="27">
        <v>12000</v>
      </c>
      <c r="AA126" s="432" t="s">
        <v>1604</v>
      </c>
      <c r="AB126" s="711" t="s">
        <v>1300</v>
      </c>
      <c r="AC126" s="712" t="s">
        <v>369</v>
      </c>
      <c r="AD126" s="379" t="s">
        <v>1282</v>
      </c>
      <c r="AE126" s="74" t="s">
        <v>1282</v>
      </c>
      <c r="AF126" s="722"/>
      <c r="AH126" s="516">
        <f t="shared" ref="AH126:AH157" si="32">H126-J126-R126-S126-U126-X126-Y126-Z126</f>
        <v>0</v>
      </c>
      <c r="AI126" s="351">
        <f t="shared" ref="AI126:AI157" si="33">R126-P126-Q126</f>
        <v>0</v>
      </c>
      <c r="AJ126" s="553">
        <f t="shared" ref="AJ126:AJ157" si="34">K126-R126</f>
        <v>0</v>
      </c>
      <c r="AK126" s="509">
        <f t="shared" ref="AK126:AK157" si="35">R126+S126-L126-M126-N126-O126</f>
        <v>0</v>
      </c>
      <c r="AL126" s="1140"/>
      <c r="AM126" s="1179"/>
      <c r="AN126" s="662" t="s">
        <v>458</v>
      </c>
      <c r="AO126" s="175">
        <v>7</v>
      </c>
      <c r="AP126" s="175">
        <v>1</v>
      </c>
      <c r="AQ126" s="814">
        <v>3</v>
      </c>
      <c r="AR126" s="1148"/>
      <c r="AS126" s="435"/>
      <c r="AT126" s="581"/>
      <c r="AU126" s="1096"/>
      <c r="AV126" s="1096"/>
      <c r="AW126" s="702" t="s">
        <v>1639</v>
      </c>
      <c r="AX126" s="143" t="s">
        <v>1435</v>
      </c>
      <c r="AY126" s="436">
        <v>0</v>
      </c>
      <c r="AZ126" s="436">
        <v>1</v>
      </c>
      <c r="BA126" s="653"/>
      <c r="BB126" s="434"/>
      <c r="BC126" s="434"/>
      <c r="BD126" s="434"/>
      <c r="BE126" s="434"/>
      <c r="BF126" s="434"/>
      <c r="BG126" s="1101"/>
      <c r="BH126" s="1101"/>
      <c r="BI126" s="1101"/>
      <c r="BJ126" s="710">
        <v>0</v>
      </c>
    </row>
    <row r="127" spans="1:62" s="179" customFormat="1" ht="42.75" hidden="1" customHeight="1" x14ac:dyDescent="0.2">
      <c r="A127" s="173" t="s">
        <v>1056</v>
      </c>
      <c r="B127" s="709" t="s">
        <v>1230</v>
      </c>
      <c r="C127" s="75">
        <v>2019</v>
      </c>
      <c r="D127" s="75" t="s">
        <v>1265</v>
      </c>
      <c r="E127" s="76" t="s">
        <v>521</v>
      </c>
      <c r="F127" s="84" t="s">
        <v>521</v>
      </c>
      <c r="G127" s="229" t="s">
        <v>1057</v>
      </c>
      <c r="H127" s="25">
        <v>7000</v>
      </c>
      <c r="I127" s="25">
        <v>11</v>
      </c>
      <c r="J127" s="25">
        <v>0</v>
      </c>
      <c r="K127" s="710">
        <v>0</v>
      </c>
      <c r="L127" s="542">
        <v>0</v>
      </c>
      <c r="M127" s="374">
        <v>0</v>
      </c>
      <c r="N127" s="375">
        <v>0</v>
      </c>
      <c r="O127" s="541">
        <v>0</v>
      </c>
      <c r="P127" s="545">
        <v>0</v>
      </c>
      <c r="Q127" s="676">
        <v>0</v>
      </c>
      <c r="R127" s="376">
        <f t="shared" si="31"/>
        <v>0</v>
      </c>
      <c r="S127" s="837">
        <v>0</v>
      </c>
      <c r="T127" s="22">
        <v>0</v>
      </c>
      <c r="U127" s="26">
        <v>2900</v>
      </c>
      <c r="V127" s="26"/>
      <c r="W127" s="26"/>
      <c r="X127" s="27">
        <v>0</v>
      </c>
      <c r="Y127" s="44">
        <v>0</v>
      </c>
      <c r="Z127" s="27">
        <v>4100</v>
      </c>
      <c r="AA127" s="432" t="s">
        <v>1605</v>
      </c>
      <c r="AB127" s="711" t="s">
        <v>1300</v>
      </c>
      <c r="AC127" s="713" t="s">
        <v>369</v>
      </c>
      <c r="AD127" s="379" t="s">
        <v>1282</v>
      </c>
      <c r="AE127" s="74" t="s">
        <v>1282</v>
      </c>
      <c r="AF127" s="722"/>
      <c r="AH127" s="516">
        <f t="shared" si="32"/>
        <v>0</v>
      </c>
      <c r="AI127" s="351">
        <f t="shared" si="33"/>
        <v>0</v>
      </c>
      <c r="AJ127" s="553">
        <f t="shared" si="34"/>
        <v>0</v>
      </c>
      <c r="AK127" s="509">
        <f t="shared" si="35"/>
        <v>0</v>
      </c>
      <c r="AL127" s="1140"/>
      <c r="AM127" s="1179"/>
      <c r="AN127" s="662" t="s">
        <v>458</v>
      </c>
      <c r="AO127" s="175">
        <v>7</v>
      </c>
      <c r="AP127" s="175">
        <v>1</v>
      </c>
      <c r="AQ127" s="814">
        <v>3</v>
      </c>
      <c r="AR127" s="1148"/>
      <c r="AS127" s="435"/>
      <c r="AT127" s="581"/>
      <c r="AU127" s="1096"/>
      <c r="AV127" s="1096"/>
      <c r="AW127" s="702" t="s">
        <v>1640</v>
      </c>
      <c r="AX127" s="143" t="s">
        <v>1398</v>
      </c>
      <c r="AY127" s="436">
        <v>0</v>
      </c>
      <c r="AZ127" s="436">
        <v>1</v>
      </c>
      <c r="BA127" s="653"/>
      <c r="BB127" s="434">
        <v>8</v>
      </c>
      <c r="BC127" s="434"/>
      <c r="BD127" s="434"/>
      <c r="BE127" s="434"/>
      <c r="BF127" s="434"/>
      <c r="BG127" s="1101"/>
      <c r="BH127" s="1101"/>
      <c r="BI127" s="1101"/>
      <c r="BJ127" s="710">
        <v>0</v>
      </c>
    </row>
    <row r="128" spans="1:62" s="179" customFormat="1" ht="43.5" hidden="1" customHeight="1" x14ac:dyDescent="0.2">
      <c r="A128" s="173" t="s">
        <v>1058</v>
      </c>
      <c r="B128" s="709" t="s">
        <v>1230</v>
      </c>
      <c r="C128" s="75">
        <v>2019</v>
      </c>
      <c r="D128" s="75" t="s">
        <v>1265</v>
      </c>
      <c r="E128" s="76" t="s">
        <v>521</v>
      </c>
      <c r="F128" s="84" t="s">
        <v>521</v>
      </c>
      <c r="G128" s="229" t="s">
        <v>1059</v>
      </c>
      <c r="H128" s="25">
        <v>5000</v>
      </c>
      <c r="I128" s="25">
        <v>11</v>
      </c>
      <c r="J128" s="25">
        <v>0</v>
      </c>
      <c r="K128" s="710">
        <v>0</v>
      </c>
      <c r="L128" s="542">
        <v>0</v>
      </c>
      <c r="M128" s="374">
        <v>0</v>
      </c>
      <c r="N128" s="375">
        <v>0</v>
      </c>
      <c r="O128" s="541">
        <v>0</v>
      </c>
      <c r="P128" s="545">
        <v>0</v>
      </c>
      <c r="Q128" s="676">
        <v>0</v>
      </c>
      <c r="R128" s="376">
        <f t="shared" si="31"/>
        <v>0</v>
      </c>
      <c r="S128" s="837">
        <v>0</v>
      </c>
      <c r="T128" s="22">
        <v>0</v>
      </c>
      <c r="U128" s="26">
        <v>2100</v>
      </c>
      <c r="V128" s="26"/>
      <c r="W128" s="26"/>
      <c r="X128" s="27">
        <v>0</v>
      </c>
      <c r="Y128" s="44">
        <v>0</v>
      </c>
      <c r="Z128" s="27">
        <v>2900</v>
      </c>
      <c r="AA128" s="582" t="s">
        <v>1606</v>
      </c>
      <c r="AB128" s="75" t="s">
        <v>1300</v>
      </c>
      <c r="AC128" s="713" t="s">
        <v>369</v>
      </c>
      <c r="AD128" s="379" t="s">
        <v>1282</v>
      </c>
      <c r="AE128" s="74" t="s">
        <v>1282</v>
      </c>
      <c r="AF128" s="722"/>
      <c r="AH128" s="516">
        <f t="shared" si="32"/>
        <v>0</v>
      </c>
      <c r="AI128" s="351">
        <f t="shared" si="33"/>
        <v>0</v>
      </c>
      <c r="AJ128" s="553">
        <f t="shared" si="34"/>
        <v>0</v>
      </c>
      <c r="AK128" s="509">
        <f t="shared" si="35"/>
        <v>0</v>
      </c>
      <c r="AL128" s="1140"/>
      <c r="AM128" s="1179"/>
      <c r="AN128" s="662" t="s">
        <v>458</v>
      </c>
      <c r="AO128" s="175">
        <v>7</v>
      </c>
      <c r="AP128" s="175">
        <v>1</v>
      </c>
      <c r="AQ128" s="814">
        <v>3</v>
      </c>
      <c r="AR128" s="1148"/>
      <c r="AS128" s="435"/>
      <c r="AT128" s="581"/>
      <c r="AU128" s="581"/>
      <c r="AV128" s="581"/>
      <c r="AW128" s="779" t="s">
        <v>1641</v>
      </c>
      <c r="AX128" s="143" t="s">
        <v>1399</v>
      </c>
      <c r="AY128" s="436">
        <v>0</v>
      </c>
      <c r="AZ128" s="436">
        <v>1</v>
      </c>
      <c r="BA128" s="653"/>
      <c r="BB128" s="434">
        <v>8</v>
      </c>
      <c r="BC128" s="434"/>
      <c r="BD128" s="434"/>
      <c r="BE128" s="434"/>
      <c r="BF128" s="434"/>
      <c r="BG128" s="1101"/>
      <c r="BH128" s="1101"/>
      <c r="BI128" s="1101"/>
      <c r="BJ128" s="710">
        <v>0</v>
      </c>
    </row>
    <row r="129" spans="1:62" s="179" customFormat="1" ht="39" hidden="1" thickBot="1" x14ac:dyDescent="0.25">
      <c r="A129" s="173" t="s">
        <v>1060</v>
      </c>
      <c r="B129" s="709" t="s">
        <v>1230</v>
      </c>
      <c r="C129" s="75">
        <v>2019</v>
      </c>
      <c r="D129" s="75" t="s">
        <v>1265</v>
      </c>
      <c r="E129" s="76" t="s">
        <v>521</v>
      </c>
      <c r="F129" s="84" t="s">
        <v>521</v>
      </c>
      <c r="G129" s="229" t="s">
        <v>1061</v>
      </c>
      <c r="H129" s="25">
        <v>2500</v>
      </c>
      <c r="I129" s="25">
        <v>11</v>
      </c>
      <c r="J129" s="25">
        <v>0</v>
      </c>
      <c r="K129" s="710">
        <v>0</v>
      </c>
      <c r="L129" s="542">
        <v>0</v>
      </c>
      <c r="M129" s="374">
        <v>0</v>
      </c>
      <c r="N129" s="375">
        <v>0</v>
      </c>
      <c r="O129" s="541">
        <v>0</v>
      </c>
      <c r="P129" s="545">
        <v>0</v>
      </c>
      <c r="Q129" s="676">
        <v>0</v>
      </c>
      <c r="R129" s="376">
        <f t="shared" si="31"/>
        <v>0</v>
      </c>
      <c r="S129" s="837">
        <v>0</v>
      </c>
      <c r="T129" s="22">
        <v>0</v>
      </c>
      <c r="U129" s="26">
        <v>100</v>
      </c>
      <c r="V129" s="26"/>
      <c r="W129" s="26"/>
      <c r="X129" s="27">
        <v>0</v>
      </c>
      <c r="Y129" s="44">
        <v>0</v>
      </c>
      <c r="Z129" s="27">
        <v>2400</v>
      </c>
      <c r="AA129" s="432" t="s">
        <v>1607</v>
      </c>
      <c r="AB129" s="711" t="s">
        <v>1300</v>
      </c>
      <c r="AC129" s="712" t="s">
        <v>846</v>
      </c>
      <c r="AD129" s="379" t="s">
        <v>1282</v>
      </c>
      <c r="AE129" s="74" t="s">
        <v>1282</v>
      </c>
      <c r="AF129" s="722"/>
      <c r="AH129" s="516">
        <f t="shared" si="32"/>
        <v>0</v>
      </c>
      <c r="AI129" s="351">
        <f t="shared" si="33"/>
        <v>0</v>
      </c>
      <c r="AJ129" s="553">
        <f t="shared" si="34"/>
        <v>0</v>
      </c>
      <c r="AK129" s="509">
        <f t="shared" si="35"/>
        <v>0</v>
      </c>
      <c r="AL129" s="1140"/>
      <c r="AM129" s="1179"/>
      <c r="AN129" s="662" t="s">
        <v>458</v>
      </c>
      <c r="AO129" s="175">
        <v>7</v>
      </c>
      <c r="AP129" s="175">
        <v>1</v>
      </c>
      <c r="AQ129" s="814">
        <v>3</v>
      </c>
      <c r="AR129" s="1148"/>
      <c r="AS129" s="435"/>
      <c r="AT129" s="581"/>
      <c r="AU129" s="1096"/>
      <c r="AV129" s="1096"/>
      <c r="AW129" s="702" t="s">
        <v>1642</v>
      </c>
      <c r="AX129" s="143" t="s">
        <v>1400</v>
      </c>
      <c r="AY129" s="436">
        <v>1</v>
      </c>
      <c r="AZ129" s="436">
        <v>0</v>
      </c>
      <c r="BA129" s="653"/>
      <c r="BB129" s="434"/>
      <c r="BC129" s="434"/>
      <c r="BD129" s="434"/>
      <c r="BE129" s="434"/>
      <c r="BF129" s="434"/>
      <c r="BG129" s="1101"/>
      <c r="BH129" s="1101"/>
      <c r="BI129" s="1101"/>
      <c r="BJ129" s="710">
        <v>0</v>
      </c>
    </row>
    <row r="130" spans="1:62" s="179" customFormat="1" ht="51.75" hidden="1" thickBot="1" x14ac:dyDescent="0.25">
      <c r="A130" s="173" t="s">
        <v>1062</v>
      </c>
      <c r="B130" s="709" t="s">
        <v>1230</v>
      </c>
      <c r="C130" s="75">
        <v>2019</v>
      </c>
      <c r="D130" s="75" t="s">
        <v>1265</v>
      </c>
      <c r="E130" s="76" t="s">
        <v>521</v>
      </c>
      <c r="F130" s="84" t="s">
        <v>521</v>
      </c>
      <c r="G130" s="229" t="s">
        <v>1063</v>
      </c>
      <c r="H130" s="25">
        <v>28508.614000000001</v>
      </c>
      <c r="I130" s="25">
        <v>11</v>
      </c>
      <c r="J130" s="25">
        <v>0</v>
      </c>
      <c r="K130" s="710">
        <v>0</v>
      </c>
      <c r="L130" s="542">
        <v>0</v>
      </c>
      <c r="M130" s="374">
        <v>0</v>
      </c>
      <c r="N130" s="375">
        <v>0</v>
      </c>
      <c r="O130" s="541">
        <v>0</v>
      </c>
      <c r="P130" s="545">
        <v>0</v>
      </c>
      <c r="Q130" s="676">
        <v>0</v>
      </c>
      <c r="R130" s="376">
        <f t="shared" si="31"/>
        <v>0</v>
      </c>
      <c r="S130" s="837">
        <v>0</v>
      </c>
      <c r="T130" s="22">
        <v>0</v>
      </c>
      <c r="U130" s="26">
        <v>24232.322</v>
      </c>
      <c r="V130" s="26"/>
      <c r="W130" s="26"/>
      <c r="X130" s="27">
        <v>0</v>
      </c>
      <c r="Y130" s="44">
        <v>0</v>
      </c>
      <c r="Z130" s="27">
        <v>4276.2920000000004</v>
      </c>
      <c r="AA130" s="432" t="s">
        <v>1608</v>
      </c>
      <c r="AB130" s="711" t="s">
        <v>1300</v>
      </c>
      <c r="AC130" s="712" t="s">
        <v>1178</v>
      </c>
      <c r="AD130" s="379" t="s">
        <v>1282</v>
      </c>
      <c r="AE130" s="74" t="s">
        <v>1282</v>
      </c>
      <c r="AF130" s="722"/>
      <c r="AH130" s="516">
        <f t="shared" si="32"/>
        <v>0</v>
      </c>
      <c r="AI130" s="351">
        <f t="shared" si="33"/>
        <v>0</v>
      </c>
      <c r="AJ130" s="553">
        <f t="shared" si="34"/>
        <v>0</v>
      </c>
      <c r="AK130" s="509">
        <f t="shared" si="35"/>
        <v>0</v>
      </c>
      <c r="AL130" s="1140"/>
      <c r="AM130" s="1179"/>
      <c r="AN130" s="662" t="s">
        <v>458</v>
      </c>
      <c r="AO130" s="175">
        <v>7</v>
      </c>
      <c r="AP130" s="175">
        <v>1</v>
      </c>
      <c r="AQ130" s="814">
        <v>3</v>
      </c>
      <c r="AR130" s="1148"/>
      <c r="AS130" s="435"/>
      <c r="AT130" s="581"/>
      <c r="AU130" s="1096"/>
      <c r="AV130" s="1096"/>
      <c r="AW130" s="702" t="s">
        <v>1643</v>
      </c>
      <c r="AX130" s="143" t="s">
        <v>1401</v>
      </c>
      <c r="AY130" s="436">
        <v>1</v>
      </c>
      <c r="AZ130" s="436">
        <v>0</v>
      </c>
      <c r="BA130" s="653"/>
      <c r="BB130" s="434">
        <v>8</v>
      </c>
      <c r="BC130" s="434"/>
      <c r="BD130" s="434"/>
      <c r="BE130" s="434"/>
      <c r="BF130" s="434"/>
      <c r="BG130" s="1101"/>
      <c r="BH130" s="1101"/>
      <c r="BI130" s="1101"/>
      <c r="BJ130" s="710">
        <v>0</v>
      </c>
    </row>
    <row r="131" spans="1:62" s="179" customFormat="1" ht="25.5" hidden="1" customHeight="1" x14ac:dyDescent="0.2">
      <c r="A131" s="173" t="s">
        <v>1064</v>
      </c>
      <c r="B131" s="709" t="s">
        <v>1230</v>
      </c>
      <c r="C131" s="75">
        <v>2019</v>
      </c>
      <c r="D131" s="75" t="s">
        <v>1265</v>
      </c>
      <c r="E131" s="76" t="s">
        <v>521</v>
      </c>
      <c r="F131" s="84" t="s">
        <v>521</v>
      </c>
      <c r="G131" s="229" t="s">
        <v>1065</v>
      </c>
      <c r="H131" s="25">
        <v>30828.38</v>
      </c>
      <c r="I131" s="25">
        <v>11</v>
      </c>
      <c r="J131" s="25">
        <v>0</v>
      </c>
      <c r="K131" s="710">
        <v>0</v>
      </c>
      <c r="L131" s="542">
        <v>0</v>
      </c>
      <c r="M131" s="374">
        <v>0</v>
      </c>
      <c r="N131" s="375">
        <v>0</v>
      </c>
      <c r="O131" s="541">
        <v>0</v>
      </c>
      <c r="P131" s="545">
        <v>0</v>
      </c>
      <c r="Q131" s="676">
        <v>0</v>
      </c>
      <c r="R131" s="376">
        <f t="shared" si="31"/>
        <v>0</v>
      </c>
      <c r="S131" s="837">
        <v>0</v>
      </c>
      <c r="T131" s="22">
        <v>0</v>
      </c>
      <c r="U131" s="26">
        <v>26204.123</v>
      </c>
      <c r="V131" s="26"/>
      <c r="W131" s="26"/>
      <c r="X131" s="27">
        <v>0</v>
      </c>
      <c r="Y131" s="44">
        <v>0</v>
      </c>
      <c r="Z131" s="27">
        <v>4624.2569999999996</v>
      </c>
      <c r="AA131" s="582" t="s">
        <v>1596</v>
      </c>
      <c r="AB131" s="75" t="s">
        <v>1300</v>
      </c>
      <c r="AC131" s="712" t="s">
        <v>1576</v>
      </c>
      <c r="AD131" s="379" t="s">
        <v>1282</v>
      </c>
      <c r="AE131" s="74" t="s">
        <v>1282</v>
      </c>
      <c r="AF131" s="722"/>
      <c r="AH131" s="516">
        <f t="shared" si="32"/>
        <v>0</v>
      </c>
      <c r="AI131" s="351">
        <f t="shared" si="33"/>
        <v>0</v>
      </c>
      <c r="AJ131" s="553">
        <f t="shared" si="34"/>
        <v>0</v>
      </c>
      <c r="AK131" s="509">
        <f t="shared" si="35"/>
        <v>0</v>
      </c>
      <c r="AL131" s="1140"/>
      <c r="AM131" s="1179"/>
      <c r="AN131" s="662" t="s">
        <v>458</v>
      </c>
      <c r="AO131" s="175">
        <v>7</v>
      </c>
      <c r="AP131" s="175">
        <v>1</v>
      </c>
      <c r="AQ131" s="814">
        <v>3</v>
      </c>
      <c r="AR131" s="1148"/>
      <c r="AS131" s="435"/>
      <c r="AT131" s="581"/>
      <c r="AU131" s="581"/>
      <c r="AV131" s="581"/>
      <c r="AW131" s="779" t="s">
        <v>1644</v>
      </c>
      <c r="AX131" s="143" t="s">
        <v>1402</v>
      </c>
      <c r="AY131" s="436">
        <v>1</v>
      </c>
      <c r="AZ131" s="436">
        <v>0</v>
      </c>
      <c r="BA131" s="653"/>
      <c r="BB131" s="434">
        <v>8</v>
      </c>
      <c r="BC131" s="434"/>
      <c r="BD131" s="434"/>
      <c r="BE131" s="434"/>
      <c r="BF131" s="434"/>
      <c r="BG131" s="1101"/>
      <c r="BH131" s="1101"/>
      <c r="BI131" s="1101"/>
      <c r="BJ131" s="710">
        <v>0</v>
      </c>
    </row>
    <row r="132" spans="1:62" s="179" customFormat="1" ht="25.5" hidden="1" customHeight="1" x14ac:dyDescent="0.2">
      <c r="A132" s="173" t="s">
        <v>1066</v>
      </c>
      <c r="B132" s="709" t="s">
        <v>1230</v>
      </c>
      <c r="C132" s="75">
        <v>2019</v>
      </c>
      <c r="D132" s="75" t="s">
        <v>1265</v>
      </c>
      <c r="E132" s="76" t="s">
        <v>521</v>
      </c>
      <c r="F132" s="84" t="s">
        <v>521</v>
      </c>
      <c r="G132" s="229" t="s">
        <v>1067</v>
      </c>
      <c r="H132" s="25">
        <v>5500</v>
      </c>
      <c r="I132" s="25">
        <v>11</v>
      </c>
      <c r="J132" s="25">
        <v>0</v>
      </c>
      <c r="K132" s="710">
        <v>0</v>
      </c>
      <c r="L132" s="542">
        <v>0</v>
      </c>
      <c r="M132" s="374">
        <v>0</v>
      </c>
      <c r="N132" s="375">
        <v>0</v>
      </c>
      <c r="O132" s="541">
        <v>0</v>
      </c>
      <c r="P132" s="545">
        <v>0</v>
      </c>
      <c r="Q132" s="676">
        <v>0</v>
      </c>
      <c r="R132" s="376">
        <f t="shared" si="31"/>
        <v>0</v>
      </c>
      <c r="S132" s="837">
        <v>0</v>
      </c>
      <c r="T132" s="22">
        <v>0</v>
      </c>
      <c r="U132" s="26">
        <v>100</v>
      </c>
      <c r="V132" s="26"/>
      <c r="W132" s="26"/>
      <c r="X132" s="27">
        <v>0</v>
      </c>
      <c r="Y132" s="44">
        <v>0</v>
      </c>
      <c r="Z132" s="27">
        <v>5400</v>
      </c>
      <c r="AA132" s="432" t="s">
        <v>1609</v>
      </c>
      <c r="AB132" s="75" t="s">
        <v>1300</v>
      </c>
      <c r="AC132" s="713" t="s">
        <v>912</v>
      </c>
      <c r="AD132" s="379" t="s">
        <v>1282</v>
      </c>
      <c r="AE132" s="74" t="s">
        <v>1282</v>
      </c>
      <c r="AF132" s="722"/>
      <c r="AH132" s="516">
        <f t="shared" si="32"/>
        <v>0</v>
      </c>
      <c r="AI132" s="351">
        <f t="shared" si="33"/>
        <v>0</v>
      </c>
      <c r="AJ132" s="553">
        <f t="shared" si="34"/>
        <v>0</v>
      </c>
      <c r="AK132" s="509">
        <f t="shared" si="35"/>
        <v>0</v>
      </c>
      <c r="AL132" s="1140"/>
      <c r="AM132" s="1179"/>
      <c r="AN132" s="662" t="s">
        <v>458</v>
      </c>
      <c r="AO132" s="175">
        <v>7</v>
      </c>
      <c r="AP132" s="175">
        <v>1</v>
      </c>
      <c r="AQ132" s="814">
        <v>3</v>
      </c>
      <c r="AR132" s="1148"/>
      <c r="AS132" s="435"/>
      <c r="AT132" s="581"/>
      <c r="AU132" s="1096"/>
      <c r="AV132" s="1096"/>
      <c r="AW132" s="702" t="s">
        <v>1645</v>
      </c>
      <c r="AX132" s="143" t="s">
        <v>1403</v>
      </c>
      <c r="AY132" s="436">
        <v>0</v>
      </c>
      <c r="AZ132" s="436">
        <v>1</v>
      </c>
      <c r="BA132" s="653"/>
      <c r="BB132" s="434"/>
      <c r="BC132" s="434"/>
      <c r="BD132" s="434"/>
      <c r="BE132" s="434"/>
      <c r="BF132" s="434"/>
      <c r="BG132" s="1101"/>
      <c r="BH132" s="1101"/>
      <c r="BI132" s="1101"/>
      <c r="BJ132" s="710">
        <v>0</v>
      </c>
    </row>
    <row r="133" spans="1:62" s="179" customFormat="1" ht="25.5" hidden="1" customHeight="1" x14ac:dyDescent="0.2">
      <c r="A133" s="173" t="s">
        <v>1068</v>
      </c>
      <c r="B133" s="709" t="s">
        <v>1230</v>
      </c>
      <c r="C133" s="75">
        <v>2019</v>
      </c>
      <c r="D133" s="75" t="s">
        <v>1265</v>
      </c>
      <c r="E133" s="76" t="s">
        <v>521</v>
      </c>
      <c r="F133" s="76" t="s">
        <v>521</v>
      </c>
      <c r="G133" s="229" t="s">
        <v>1069</v>
      </c>
      <c r="H133" s="25">
        <v>2000</v>
      </c>
      <c r="I133" s="25">
        <v>11</v>
      </c>
      <c r="J133" s="25">
        <v>0</v>
      </c>
      <c r="K133" s="710">
        <v>0</v>
      </c>
      <c r="L133" s="542">
        <v>0</v>
      </c>
      <c r="M133" s="374">
        <v>0</v>
      </c>
      <c r="N133" s="375">
        <v>0</v>
      </c>
      <c r="O133" s="541">
        <v>0</v>
      </c>
      <c r="P133" s="545">
        <v>0</v>
      </c>
      <c r="Q133" s="676">
        <v>0</v>
      </c>
      <c r="R133" s="376">
        <f t="shared" si="31"/>
        <v>0</v>
      </c>
      <c r="S133" s="837">
        <v>0</v>
      </c>
      <c r="T133" s="22">
        <v>0</v>
      </c>
      <c r="U133" s="26">
        <v>0</v>
      </c>
      <c r="V133" s="26"/>
      <c r="W133" s="26"/>
      <c r="X133" s="27">
        <v>0</v>
      </c>
      <c r="Y133" s="44">
        <v>0</v>
      </c>
      <c r="Z133" s="27">
        <v>2000</v>
      </c>
      <c r="AA133" s="714" t="s">
        <v>1579</v>
      </c>
      <c r="AB133" s="711" t="s">
        <v>1300</v>
      </c>
      <c r="AC133" s="712" t="s">
        <v>1178</v>
      </c>
      <c r="AD133" s="379" t="s">
        <v>1282</v>
      </c>
      <c r="AE133" s="74" t="s">
        <v>1282</v>
      </c>
      <c r="AF133" s="722"/>
      <c r="AH133" s="516">
        <f t="shared" si="32"/>
        <v>0</v>
      </c>
      <c r="AI133" s="351">
        <f t="shared" si="33"/>
        <v>0</v>
      </c>
      <c r="AJ133" s="553">
        <f t="shared" si="34"/>
        <v>0</v>
      </c>
      <c r="AK133" s="509">
        <f t="shared" si="35"/>
        <v>0</v>
      </c>
      <c r="AL133" s="1140"/>
      <c r="AM133" s="1179"/>
      <c r="AN133" s="662" t="s">
        <v>458</v>
      </c>
      <c r="AO133" s="175">
        <v>7</v>
      </c>
      <c r="AP133" s="175">
        <v>1</v>
      </c>
      <c r="AQ133" s="814">
        <v>3</v>
      </c>
      <c r="AR133" s="1148"/>
      <c r="AS133" s="435"/>
      <c r="AT133" s="581"/>
      <c r="AU133" s="1096"/>
      <c r="AV133" s="1096"/>
      <c r="AW133" s="780" t="s">
        <v>1646</v>
      </c>
      <c r="AX133" s="192" t="s">
        <v>1404</v>
      </c>
      <c r="AY133" s="436">
        <v>1</v>
      </c>
      <c r="AZ133" s="436">
        <v>0</v>
      </c>
      <c r="BA133" s="653"/>
      <c r="BB133" s="434"/>
      <c r="BC133" s="434"/>
      <c r="BD133" s="434"/>
      <c r="BE133" s="434"/>
      <c r="BF133" s="434"/>
      <c r="BG133" s="1101"/>
      <c r="BH133" s="1101"/>
      <c r="BI133" s="1101"/>
      <c r="BJ133" s="710">
        <v>0</v>
      </c>
    </row>
    <row r="134" spans="1:62" s="179" customFormat="1" ht="25.5" hidden="1" customHeight="1" x14ac:dyDescent="0.2">
      <c r="A134" s="173" t="s">
        <v>1070</v>
      </c>
      <c r="B134" s="709" t="s">
        <v>1230</v>
      </c>
      <c r="C134" s="75">
        <v>2019</v>
      </c>
      <c r="D134" s="75" t="s">
        <v>1265</v>
      </c>
      <c r="E134" s="76" t="s">
        <v>521</v>
      </c>
      <c r="F134" s="76" t="s">
        <v>521</v>
      </c>
      <c r="G134" s="229" t="s">
        <v>1071</v>
      </c>
      <c r="H134" s="25">
        <v>2900</v>
      </c>
      <c r="I134" s="25">
        <v>11</v>
      </c>
      <c r="J134" s="25">
        <v>0</v>
      </c>
      <c r="K134" s="710">
        <v>0</v>
      </c>
      <c r="L134" s="542">
        <v>0</v>
      </c>
      <c r="M134" s="374">
        <v>0</v>
      </c>
      <c r="N134" s="375">
        <v>0</v>
      </c>
      <c r="O134" s="541">
        <v>0</v>
      </c>
      <c r="P134" s="545">
        <v>0</v>
      </c>
      <c r="Q134" s="676">
        <v>0</v>
      </c>
      <c r="R134" s="376">
        <f t="shared" si="31"/>
        <v>0</v>
      </c>
      <c r="S134" s="837">
        <v>0</v>
      </c>
      <c r="T134" s="22">
        <v>0</v>
      </c>
      <c r="U134" s="26">
        <v>0</v>
      </c>
      <c r="V134" s="26"/>
      <c r="W134" s="26"/>
      <c r="X134" s="27">
        <v>0</v>
      </c>
      <c r="Y134" s="44">
        <v>0</v>
      </c>
      <c r="Z134" s="27">
        <v>2900</v>
      </c>
      <c r="AA134" s="714" t="s">
        <v>1579</v>
      </c>
      <c r="AB134" s="711" t="s">
        <v>1300</v>
      </c>
      <c r="AC134" s="712" t="s">
        <v>846</v>
      </c>
      <c r="AD134" s="379" t="s">
        <v>1282</v>
      </c>
      <c r="AE134" s="74" t="s">
        <v>1282</v>
      </c>
      <c r="AF134" s="722"/>
      <c r="AH134" s="516">
        <f t="shared" si="32"/>
        <v>0</v>
      </c>
      <c r="AI134" s="351">
        <f t="shared" si="33"/>
        <v>0</v>
      </c>
      <c r="AJ134" s="553">
        <f t="shared" si="34"/>
        <v>0</v>
      </c>
      <c r="AK134" s="509">
        <f t="shared" si="35"/>
        <v>0</v>
      </c>
      <c r="AL134" s="1140"/>
      <c r="AM134" s="1179"/>
      <c r="AN134" s="662" t="s">
        <v>458</v>
      </c>
      <c r="AO134" s="175">
        <v>7</v>
      </c>
      <c r="AP134" s="175">
        <v>1</v>
      </c>
      <c r="AQ134" s="814">
        <v>3</v>
      </c>
      <c r="AR134" s="1148"/>
      <c r="AS134" s="435"/>
      <c r="AT134" s="581"/>
      <c r="AU134" s="1096"/>
      <c r="AV134" s="1096"/>
      <c r="AW134" s="780" t="s">
        <v>1647</v>
      </c>
      <c r="AX134" s="192" t="s">
        <v>1436</v>
      </c>
      <c r="AY134" s="436">
        <v>1</v>
      </c>
      <c r="AZ134" s="436">
        <v>0</v>
      </c>
      <c r="BA134" s="653"/>
      <c r="BB134" s="434"/>
      <c r="BC134" s="434"/>
      <c r="BD134" s="434"/>
      <c r="BE134" s="434"/>
      <c r="BF134" s="434"/>
      <c r="BG134" s="1101"/>
      <c r="BH134" s="1101"/>
      <c r="BI134" s="1101"/>
      <c r="BJ134" s="710">
        <v>0</v>
      </c>
    </row>
    <row r="135" spans="1:62" s="179" customFormat="1" ht="25.5" hidden="1" customHeight="1" x14ac:dyDescent="0.2">
      <c r="A135" s="173" t="s">
        <v>1072</v>
      </c>
      <c r="B135" s="709" t="s">
        <v>1230</v>
      </c>
      <c r="C135" s="75">
        <v>2019</v>
      </c>
      <c r="D135" s="75" t="s">
        <v>1265</v>
      </c>
      <c r="E135" s="76" t="s">
        <v>521</v>
      </c>
      <c r="F135" s="76" t="s">
        <v>521</v>
      </c>
      <c r="G135" s="229" t="s">
        <v>591</v>
      </c>
      <c r="H135" s="25">
        <v>3100</v>
      </c>
      <c r="I135" s="25">
        <v>11</v>
      </c>
      <c r="J135" s="25">
        <v>0</v>
      </c>
      <c r="K135" s="710">
        <v>0</v>
      </c>
      <c r="L135" s="542">
        <v>0</v>
      </c>
      <c r="M135" s="374">
        <v>0</v>
      </c>
      <c r="N135" s="375">
        <v>0</v>
      </c>
      <c r="O135" s="541">
        <v>0</v>
      </c>
      <c r="P135" s="545">
        <v>0</v>
      </c>
      <c r="Q135" s="676">
        <v>0</v>
      </c>
      <c r="R135" s="376">
        <f t="shared" si="31"/>
        <v>0</v>
      </c>
      <c r="S135" s="837">
        <v>0</v>
      </c>
      <c r="T135" s="22">
        <v>0</v>
      </c>
      <c r="U135" s="26">
        <v>100</v>
      </c>
      <c r="V135" s="26"/>
      <c r="W135" s="26"/>
      <c r="X135" s="27">
        <v>0</v>
      </c>
      <c r="Y135" s="44">
        <v>0</v>
      </c>
      <c r="Z135" s="27">
        <v>3000</v>
      </c>
      <c r="AA135" s="432" t="s">
        <v>1604</v>
      </c>
      <c r="AB135" s="711" t="s">
        <v>1300</v>
      </c>
      <c r="AC135" s="712" t="s">
        <v>1007</v>
      </c>
      <c r="AD135" s="796" t="s">
        <v>1283</v>
      </c>
      <c r="AE135" s="74" t="s">
        <v>1283</v>
      </c>
      <c r="AF135" s="722"/>
      <c r="AH135" s="516">
        <f t="shared" si="32"/>
        <v>0</v>
      </c>
      <c r="AI135" s="351">
        <f t="shared" si="33"/>
        <v>0</v>
      </c>
      <c r="AJ135" s="553">
        <f t="shared" si="34"/>
        <v>0</v>
      </c>
      <c r="AK135" s="509">
        <f t="shared" si="35"/>
        <v>0</v>
      </c>
      <c r="AL135" s="1140"/>
      <c r="AM135" s="1179"/>
      <c r="AN135" s="662" t="s">
        <v>458</v>
      </c>
      <c r="AO135" s="175">
        <v>7</v>
      </c>
      <c r="AP135" s="175">
        <v>1</v>
      </c>
      <c r="AQ135" s="814">
        <v>3</v>
      </c>
      <c r="AR135" s="1148"/>
      <c r="AS135" s="435"/>
      <c r="AT135" s="581"/>
      <c r="AU135" s="1096"/>
      <c r="AV135" s="1096"/>
      <c r="AW135" s="702" t="s">
        <v>1648</v>
      </c>
      <c r="AX135" s="143" t="s">
        <v>1405</v>
      </c>
      <c r="AY135" s="436">
        <v>1</v>
      </c>
      <c r="AZ135" s="436">
        <v>0</v>
      </c>
      <c r="BA135" s="653"/>
      <c r="BB135" s="434"/>
      <c r="BC135" s="434"/>
      <c r="BD135" s="434"/>
      <c r="BE135" s="434"/>
      <c r="BF135" s="434"/>
      <c r="BG135" s="1101"/>
      <c r="BH135" s="1101"/>
      <c r="BI135" s="1101"/>
      <c r="BJ135" s="710">
        <v>0</v>
      </c>
    </row>
    <row r="136" spans="1:62" s="179" customFormat="1" ht="25.5" hidden="1" customHeight="1" x14ac:dyDescent="0.2">
      <c r="A136" s="173" t="s">
        <v>1073</v>
      </c>
      <c r="B136" s="709" t="s">
        <v>1230</v>
      </c>
      <c r="C136" s="75">
        <v>2019</v>
      </c>
      <c r="D136" s="75" t="s">
        <v>1265</v>
      </c>
      <c r="E136" s="76" t="s">
        <v>521</v>
      </c>
      <c r="F136" s="76" t="s">
        <v>521</v>
      </c>
      <c r="G136" s="229" t="s">
        <v>1074</v>
      </c>
      <c r="H136" s="25">
        <v>13000</v>
      </c>
      <c r="I136" s="25">
        <v>11</v>
      </c>
      <c r="J136" s="25">
        <v>0</v>
      </c>
      <c r="K136" s="710">
        <v>0</v>
      </c>
      <c r="L136" s="542">
        <v>0</v>
      </c>
      <c r="M136" s="374">
        <v>0</v>
      </c>
      <c r="N136" s="375">
        <v>0</v>
      </c>
      <c r="O136" s="541">
        <v>0</v>
      </c>
      <c r="P136" s="545">
        <v>0</v>
      </c>
      <c r="Q136" s="676">
        <v>0</v>
      </c>
      <c r="R136" s="376">
        <f t="shared" si="31"/>
        <v>0</v>
      </c>
      <c r="S136" s="837">
        <v>0</v>
      </c>
      <c r="T136" s="22">
        <v>0</v>
      </c>
      <c r="U136" s="26">
        <v>0</v>
      </c>
      <c r="V136" s="26"/>
      <c r="W136" s="26"/>
      <c r="X136" s="27">
        <v>0</v>
      </c>
      <c r="Y136" s="44">
        <v>0</v>
      </c>
      <c r="Z136" s="27">
        <v>13000</v>
      </c>
      <c r="AA136" s="432" t="s">
        <v>1579</v>
      </c>
      <c r="AB136" s="711" t="s">
        <v>1300</v>
      </c>
      <c r="AC136" s="712" t="s">
        <v>1178</v>
      </c>
      <c r="AD136" s="379" t="s">
        <v>1282</v>
      </c>
      <c r="AE136" s="74" t="s">
        <v>1282</v>
      </c>
      <c r="AF136" s="722"/>
      <c r="AH136" s="516">
        <f t="shared" si="32"/>
        <v>0</v>
      </c>
      <c r="AI136" s="351">
        <f t="shared" si="33"/>
        <v>0</v>
      </c>
      <c r="AJ136" s="553">
        <f t="shared" si="34"/>
        <v>0</v>
      </c>
      <c r="AK136" s="509">
        <f t="shared" si="35"/>
        <v>0</v>
      </c>
      <c r="AL136" s="1140"/>
      <c r="AM136" s="1179"/>
      <c r="AN136" s="662" t="s">
        <v>458</v>
      </c>
      <c r="AO136" s="175">
        <v>7</v>
      </c>
      <c r="AP136" s="175">
        <v>1</v>
      </c>
      <c r="AQ136" s="814">
        <v>3</v>
      </c>
      <c r="AR136" s="1148"/>
      <c r="AS136" s="435"/>
      <c r="AT136" s="581"/>
      <c r="AU136" s="1096"/>
      <c r="AV136" s="1096"/>
      <c r="AW136" s="702" t="s">
        <v>1649</v>
      </c>
      <c r="AX136" s="143" t="s">
        <v>1437</v>
      </c>
      <c r="AY136" s="436">
        <v>0</v>
      </c>
      <c r="AZ136" s="436">
        <v>1</v>
      </c>
      <c r="BA136" s="653"/>
      <c r="BB136" s="434"/>
      <c r="BC136" s="434"/>
      <c r="BD136" s="434"/>
      <c r="BE136" s="434"/>
      <c r="BF136" s="434"/>
      <c r="BG136" s="1101"/>
      <c r="BH136" s="1101"/>
      <c r="BI136" s="1101"/>
      <c r="BJ136" s="710">
        <v>0</v>
      </c>
    </row>
    <row r="137" spans="1:62" s="179" customFormat="1" ht="27" hidden="1" customHeight="1" x14ac:dyDescent="0.2">
      <c r="A137" s="173" t="s">
        <v>1075</v>
      </c>
      <c r="B137" s="709" t="s">
        <v>1230</v>
      </c>
      <c r="C137" s="75">
        <v>2019</v>
      </c>
      <c r="D137" s="75" t="s">
        <v>1265</v>
      </c>
      <c r="E137" s="76" t="s">
        <v>521</v>
      </c>
      <c r="F137" s="76" t="s">
        <v>521</v>
      </c>
      <c r="G137" s="229" t="s">
        <v>1076</v>
      </c>
      <c r="H137" s="25">
        <v>5300</v>
      </c>
      <c r="I137" s="25">
        <v>11</v>
      </c>
      <c r="J137" s="25">
        <v>0</v>
      </c>
      <c r="K137" s="710">
        <v>0</v>
      </c>
      <c r="L137" s="542">
        <v>0</v>
      </c>
      <c r="M137" s="374">
        <v>0</v>
      </c>
      <c r="N137" s="375">
        <v>0</v>
      </c>
      <c r="O137" s="541">
        <v>0</v>
      </c>
      <c r="P137" s="545">
        <v>0</v>
      </c>
      <c r="Q137" s="676">
        <v>0</v>
      </c>
      <c r="R137" s="376">
        <f t="shared" si="31"/>
        <v>0</v>
      </c>
      <c r="S137" s="837">
        <v>0</v>
      </c>
      <c r="T137" s="22">
        <v>0</v>
      </c>
      <c r="U137" s="26">
        <v>0</v>
      </c>
      <c r="V137" s="26"/>
      <c r="W137" s="26"/>
      <c r="X137" s="27">
        <v>0</v>
      </c>
      <c r="Y137" s="44">
        <v>0</v>
      </c>
      <c r="Z137" s="27">
        <v>5300</v>
      </c>
      <c r="AA137" s="714" t="s">
        <v>1610</v>
      </c>
      <c r="AB137" s="711" t="s">
        <v>1300</v>
      </c>
      <c r="AC137" s="712" t="s">
        <v>1007</v>
      </c>
      <c r="AD137" s="379" t="s">
        <v>1282</v>
      </c>
      <c r="AE137" s="74" t="s">
        <v>1282</v>
      </c>
      <c r="AF137" s="722"/>
      <c r="AH137" s="516">
        <f t="shared" si="32"/>
        <v>0</v>
      </c>
      <c r="AI137" s="351">
        <f t="shared" si="33"/>
        <v>0</v>
      </c>
      <c r="AJ137" s="553">
        <f t="shared" si="34"/>
        <v>0</v>
      </c>
      <c r="AK137" s="509">
        <f t="shared" si="35"/>
        <v>0</v>
      </c>
      <c r="AL137" s="1140"/>
      <c r="AM137" s="1179"/>
      <c r="AN137" s="662" t="s">
        <v>458</v>
      </c>
      <c r="AO137" s="175">
        <v>7</v>
      </c>
      <c r="AP137" s="175">
        <v>1</v>
      </c>
      <c r="AQ137" s="814">
        <v>3</v>
      </c>
      <c r="AR137" s="1148"/>
      <c r="AS137" s="435"/>
      <c r="AT137" s="581"/>
      <c r="AU137" s="1096"/>
      <c r="AV137" s="1096"/>
      <c r="AW137" s="780" t="s">
        <v>1650</v>
      </c>
      <c r="AX137" s="192" t="s">
        <v>1406</v>
      </c>
      <c r="AY137" s="436">
        <v>0</v>
      </c>
      <c r="AZ137" s="436">
        <v>1</v>
      </c>
      <c r="BA137" s="653"/>
      <c r="BB137" s="434"/>
      <c r="BC137" s="434"/>
      <c r="BD137" s="434"/>
      <c r="BE137" s="434"/>
      <c r="BF137" s="434"/>
      <c r="BG137" s="1101"/>
      <c r="BH137" s="1101"/>
      <c r="BI137" s="1101"/>
      <c r="BJ137" s="710">
        <v>0</v>
      </c>
    </row>
    <row r="138" spans="1:62" s="179" customFormat="1" ht="28.5" hidden="1" customHeight="1" x14ac:dyDescent="0.2">
      <c r="A138" s="173" t="s">
        <v>1077</v>
      </c>
      <c r="B138" s="709" t="s">
        <v>1230</v>
      </c>
      <c r="C138" s="75">
        <v>2019</v>
      </c>
      <c r="D138" s="75" t="s">
        <v>1265</v>
      </c>
      <c r="E138" s="76" t="s">
        <v>521</v>
      </c>
      <c r="F138" s="76" t="s">
        <v>521</v>
      </c>
      <c r="G138" s="229" t="s">
        <v>1078</v>
      </c>
      <c r="H138" s="25">
        <v>6700</v>
      </c>
      <c r="I138" s="25">
        <v>11</v>
      </c>
      <c r="J138" s="25">
        <v>0</v>
      </c>
      <c r="K138" s="710">
        <v>0</v>
      </c>
      <c r="L138" s="542">
        <v>0</v>
      </c>
      <c r="M138" s="374">
        <v>0</v>
      </c>
      <c r="N138" s="375">
        <v>0</v>
      </c>
      <c r="O138" s="541">
        <v>0</v>
      </c>
      <c r="P138" s="545">
        <v>0</v>
      </c>
      <c r="Q138" s="676">
        <v>0</v>
      </c>
      <c r="R138" s="376">
        <f t="shared" si="31"/>
        <v>0</v>
      </c>
      <c r="S138" s="837">
        <v>0</v>
      </c>
      <c r="T138" s="22">
        <v>0</v>
      </c>
      <c r="U138" s="26">
        <v>0</v>
      </c>
      <c r="V138" s="26"/>
      <c r="W138" s="26"/>
      <c r="X138" s="27">
        <v>0</v>
      </c>
      <c r="Y138" s="44">
        <v>0</v>
      </c>
      <c r="Z138" s="27">
        <v>6700</v>
      </c>
      <c r="AA138" s="714" t="s">
        <v>1611</v>
      </c>
      <c r="AB138" s="711" t="s">
        <v>1300</v>
      </c>
      <c r="AC138" s="712" t="s">
        <v>1007</v>
      </c>
      <c r="AD138" s="379" t="s">
        <v>1282</v>
      </c>
      <c r="AE138" s="74" t="s">
        <v>1282</v>
      </c>
      <c r="AF138" s="722"/>
      <c r="AH138" s="516">
        <f t="shared" si="32"/>
        <v>0</v>
      </c>
      <c r="AI138" s="351">
        <f t="shared" si="33"/>
        <v>0</v>
      </c>
      <c r="AJ138" s="553">
        <f t="shared" si="34"/>
        <v>0</v>
      </c>
      <c r="AK138" s="509">
        <f t="shared" si="35"/>
        <v>0</v>
      </c>
      <c r="AL138" s="1140"/>
      <c r="AM138" s="1179"/>
      <c r="AN138" s="662" t="s">
        <v>458</v>
      </c>
      <c r="AO138" s="175">
        <v>7</v>
      </c>
      <c r="AP138" s="175">
        <v>1</v>
      </c>
      <c r="AQ138" s="814">
        <v>3</v>
      </c>
      <c r="AR138" s="1148"/>
      <c r="AS138" s="435"/>
      <c r="AT138" s="581"/>
      <c r="AU138" s="1096"/>
      <c r="AV138" s="1096"/>
      <c r="AW138" s="780" t="s">
        <v>1650</v>
      </c>
      <c r="AX138" s="192" t="s">
        <v>1406</v>
      </c>
      <c r="AY138" s="436">
        <v>0</v>
      </c>
      <c r="AZ138" s="436">
        <v>1</v>
      </c>
      <c r="BA138" s="653"/>
      <c r="BB138" s="434"/>
      <c r="BC138" s="434"/>
      <c r="BD138" s="434"/>
      <c r="BE138" s="434"/>
      <c r="BF138" s="434"/>
      <c r="BG138" s="1101"/>
      <c r="BH138" s="1101"/>
      <c r="BI138" s="1101"/>
      <c r="BJ138" s="710">
        <v>0</v>
      </c>
    </row>
    <row r="139" spans="1:62" s="179" customFormat="1" ht="25.5" hidden="1" customHeight="1" x14ac:dyDescent="0.2">
      <c r="A139" s="173" t="s">
        <v>1079</v>
      </c>
      <c r="B139" s="709" t="s">
        <v>1230</v>
      </c>
      <c r="C139" s="75">
        <v>2019</v>
      </c>
      <c r="D139" s="75" t="s">
        <v>1265</v>
      </c>
      <c r="E139" s="76" t="s">
        <v>521</v>
      </c>
      <c r="F139" s="76" t="s">
        <v>521</v>
      </c>
      <c r="G139" s="229" t="s">
        <v>1080</v>
      </c>
      <c r="H139" s="25">
        <v>5000</v>
      </c>
      <c r="I139" s="25">
        <v>11</v>
      </c>
      <c r="J139" s="25">
        <v>0</v>
      </c>
      <c r="K139" s="710">
        <v>0</v>
      </c>
      <c r="L139" s="542">
        <v>0</v>
      </c>
      <c r="M139" s="374">
        <v>0</v>
      </c>
      <c r="N139" s="375">
        <v>0</v>
      </c>
      <c r="O139" s="541">
        <v>0</v>
      </c>
      <c r="P139" s="545">
        <v>0</v>
      </c>
      <c r="Q139" s="676">
        <v>0</v>
      </c>
      <c r="R139" s="376">
        <f t="shared" si="31"/>
        <v>0</v>
      </c>
      <c r="S139" s="837">
        <v>0</v>
      </c>
      <c r="T139" s="22">
        <v>0</v>
      </c>
      <c r="U139" s="26">
        <v>0</v>
      </c>
      <c r="V139" s="26"/>
      <c r="W139" s="26"/>
      <c r="X139" s="27">
        <v>0</v>
      </c>
      <c r="Y139" s="44">
        <v>0</v>
      </c>
      <c r="Z139" s="27">
        <v>5000</v>
      </c>
      <c r="AA139" s="714" t="s">
        <v>1579</v>
      </c>
      <c r="AB139" s="711" t="s">
        <v>1300</v>
      </c>
      <c r="AC139" s="712" t="s">
        <v>1007</v>
      </c>
      <c r="AD139" s="379" t="s">
        <v>1282</v>
      </c>
      <c r="AE139" s="74" t="s">
        <v>1282</v>
      </c>
      <c r="AF139" s="722"/>
      <c r="AH139" s="516">
        <f t="shared" si="32"/>
        <v>0</v>
      </c>
      <c r="AI139" s="351">
        <f t="shared" si="33"/>
        <v>0</v>
      </c>
      <c r="AJ139" s="553">
        <f t="shared" si="34"/>
        <v>0</v>
      </c>
      <c r="AK139" s="509">
        <f t="shared" si="35"/>
        <v>0</v>
      </c>
      <c r="AL139" s="1140"/>
      <c r="AM139" s="1179"/>
      <c r="AN139" s="662" t="s">
        <v>458</v>
      </c>
      <c r="AO139" s="175">
        <v>7</v>
      </c>
      <c r="AP139" s="175">
        <v>1</v>
      </c>
      <c r="AQ139" s="814">
        <v>3</v>
      </c>
      <c r="AR139" s="1148"/>
      <c r="AS139" s="435"/>
      <c r="AT139" s="581"/>
      <c r="AU139" s="1096"/>
      <c r="AV139" s="1096"/>
      <c r="AW139" s="780" t="s">
        <v>1650</v>
      </c>
      <c r="AX139" s="192" t="s">
        <v>1406</v>
      </c>
      <c r="AY139" s="436">
        <v>0</v>
      </c>
      <c r="AZ139" s="436">
        <v>1</v>
      </c>
      <c r="BA139" s="653"/>
      <c r="BB139" s="434"/>
      <c r="BC139" s="434"/>
      <c r="BD139" s="434"/>
      <c r="BE139" s="434"/>
      <c r="BF139" s="434"/>
      <c r="BG139" s="1101"/>
      <c r="BH139" s="1101"/>
      <c r="BI139" s="1101"/>
      <c r="BJ139" s="710">
        <v>0</v>
      </c>
    </row>
    <row r="140" spans="1:62" s="179" customFormat="1" ht="25.5" hidden="1" customHeight="1" x14ac:dyDescent="0.2">
      <c r="A140" s="173" t="s">
        <v>1081</v>
      </c>
      <c r="B140" s="709" t="s">
        <v>1230</v>
      </c>
      <c r="C140" s="75">
        <v>2019</v>
      </c>
      <c r="D140" s="75" t="s">
        <v>1265</v>
      </c>
      <c r="E140" s="76" t="s">
        <v>521</v>
      </c>
      <c r="F140" s="76" t="s">
        <v>521</v>
      </c>
      <c r="G140" s="229" t="s">
        <v>1182</v>
      </c>
      <c r="H140" s="25">
        <v>45000</v>
      </c>
      <c r="I140" s="25">
        <v>11</v>
      </c>
      <c r="J140" s="25">
        <v>0</v>
      </c>
      <c r="K140" s="710">
        <v>0</v>
      </c>
      <c r="L140" s="542">
        <v>0</v>
      </c>
      <c r="M140" s="374">
        <v>0</v>
      </c>
      <c r="N140" s="375">
        <v>0</v>
      </c>
      <c r="O140" s="541">
        <v>0</v>
      </c>
      <c r="P140" s="545">
        <v>0</v>
      </c>
      <c r="Q140" s="676">
        <v>0</v>
      </c>
      <c r="R140" s="376">
        <f t="shared" si="31"/>
        <v>0</v>
      </c>
      <c r="S140" s="837">
        <v>0</v>
      </c>
      <c r="T140" s="22">
        <v>0</v>
      </c>
      <c r="U140" s="26">
        <v>500</v>
      </c>
      <c r="V140" s="26"/>
      <c r="W140" s="26"/>
      <c r="X140" s="27">
        <v>0</v>
      </c>
      <c r="Y140" s="44">
        <v>0</v>
      </c>
      <c r="Z140" s="27">
        <v>44500</v>
      </c>
      <c r="AA140" s="432" t="s">
        <v>1607</v>
      </c>
      <c r="AB140" s="711" t="s">
        <v>1300</v>
      </c>
      <c r="AC140" s="712" t="s">
        <v>1007</v>
      </c>
      <c r="AD140" s="379" t="s">
        <v>1282</v>
      </c>
      <c r="AE140" s="74" t="s">
        <v>1282</v>
      </c>
      <c r="AF140" s="722"/>
      <c r="AH140" s="516">
        <f t="shared" si="32"/>
        <v>0</v>
      </c>
      <c r="AI140" s="351">
        <f t="shared" si="33"/>
        <v>0</v>
      </c>
      <c r="AJ140" s="553">
        <f t="shared" si="34"/>
        <v>0</v>
      </c>
      <c r="AK140" s="509">
        <f t="shared" si="35"/>
        <v>0</v>
      </c>
      <c r="AL140" s="1140"/>
      <c r="AM140" s="1179"/>
      <c r="AN140" s="662" t="s">
        <v>458</v>
      </c>
      <c r="AO140" s="175">
        <v>7</v>
      </c>
      <c r="AP140" s="175">
        <v>1</v>
      </c>
      <c r="AQ140" s="814">
        <v>3</v>
      </c>
      <c r="AR140" s="1148"/>
      <c r="AS140" s="435"/>
      <c r="AT140" s="581"/>
      <c r="AU140" s="1096"/>
      <c r="AV140" s="1096"/>
      <c r="AW140" s="702" t="s">
        <v>1642</v>
      </c>
      <c r="AX140" s="143" t="s">
        <v>1407</v>
      </c>
      <c r="AY140" s="436">
        <v>0</v>
      </c>
      <c r="AZ140" s="436">
        <v>1</v>
      </c>
      <c r="BA140" s="653"/>
      <c r="BB140" s="434"/>
      <c r="BC140" s="434"/>
      <c r="BD140" s="434"/>
      <c r="BE140" s="434"/>
      <c r="BF140" s="434"/>
      <c r="BG140" s="1101"/>
      <c r="BH140" s="1101"/>
      <c r="BI140" s="1101"/>
      <c r="BJ140" s="710">
        <v>0</v>
      </c>
    </row>
    <row r="141" spans="1:62" s="179" customFormat="1" ht="32.25" hidden="1" customHeight="1" x14ac:dyDescent="0.2">
      <c r="A141" s="173" t="s">
        <v>1082</v>
      </c>
      <c r="B141" s="709" t="s">
        <v>1230</v>
      </c>
      <c r="C141" s="75">
        <v>2019</v>
      </c>
      <c r="D141" s="75" t="s">
        <v>1265</v>
      </c>
      <c r="E141" s="76" t="s">
        <v>460</v>
      </c>
      <c r="F141" s="84" t="s">
        <v>460</v>
      </c>
      <c r="G141" s="229" t="s">
        <v>1183</v>
      </c>
      <c r="H141" s="25">
        <v>25000</v>
      </c>
      <c r="I141" s="25">
        <v>2</v>
      </c>
      <c r="J141" s="25">
        <v>0</v>
      </c>
      <c r="K141" s="710">
        <v>0</v>
      </c>
      <c r="L141" s="542">
        <v>0</v>
      </c>
      <c r="M141" s="374">
        <v>0</v>
      </c>
      <c r="N141" s="375">
        <v>0</v>
      </c>
      <c r="O141" s="541">
        <v>0</v>
      </c>
      <c r="P141" s="545">
        <v>0</v>
      </c>
      <c r="Q141" s="676">
        <v>0</v>
      </c>
      <c r="R141" s="376">
        <f t="shared" si="31"/>
        <v>0</v>
      </c>
      <c r="S141" s="837">
        <v>0</v>
      </c>
      <c r="T141" s="22">
        <v>0</v>
      </c>
      <c r="U141" s="26">
        <v>0</v>
      </c>
      <c r="V141" s="26"/>
      <c r="W141" s="26"/>
      <c r="X141" s="27">
        <v>0</v>
      </c>
      <c r="Y141" s="44">
        <v>0</v>
      </c>
      <c r="Z141" s="27">
        <v>25000</v>
      </c>
      <c r="AA141" s="432" t="s">
        <v>1579</v>
      </c>
      <c r="AB141" s="711" t="s">
        <v>1300</v>
      </c>
      <c r="AC141" s="713" t="s">
        <v>846</v>
      </c>
      <c r="AD141" s="379" t="s">
        <v>1282</v>
      </c>
      <c r="AE141" s="74" t="s">
        <v>1282</v>
      </c>
      <c r="AF141" s="722"/>
      <c r="AH141" s="516">
        <f t="shared" si="32"/>
        <v>0</v>
      </c>
      <c r="AI141" s="351">
        <f t="shared" si="33"/>
        <v>0</v>
      </c>
      <c r="AJ141" s="553">
        <f t="shared" si="34"/>
        <v>0</v>
      </c>
      <c r="AK141" s="509">
        <f t="shared" si="35"/>
        <v>0</v>
      </c>
      <c r="AL141" s="1140"/>
      <c r="AM141" s="1179"/>
      <c r="AN141" s="662" t="s">
        <v>458</v>
      </c>
      <c r="AO141" s="175">
        <v>7</v>
      </c>
      <c r="AP141" s="175">
        <v>1</v>
      </c>
      <c r="AQ141" s="814">
        <v>3</v>
      </c>
      <c r="AR141" s="1148"/>
      <c r="AS141" s="435"/>
      <c r="AT141" s="581"/>
      <c r="AU141" s="1096"/>
      <c r="AV141" s="1096"/>
      <c r="AW141" s="702" t="s">
        <v>1651</v>
      </c>
      <c r="AX141" s="143" t="s">
        <v>1408</v>
      </c>
      <c r="AY141" s="436">
        <v>0</v>
      </c>
      <c r="AZ141" s="436">
        <v>1</v>
      </c>
      <c r="BA141" s="653"/>
      <c r="BB141" s="434"/>
      <c r="BC141" s="434"/>
      <c r="BD141" s="434"/>
      <c r="BE141" s="434"/>
      <c r="BF141" s="434"/>
      <c r="BG141" s="1101"/>
      <c r="BH141" s="1101"/>
      <c r="BI141" s="1101"/>
      <c r="BJ141" s="710">
        <v>0</v>
      </c>
    </row>
    <row r="142" spans="1:62" s="179" customFormat="1" ht="32.25" hidden="1" customHeight="1" x14ac:dyDescent="0.2">
      <c r="A142" s="173" t="s">
        <v>1084</v>
      </c>
      <c r="B142" s="709" t="s">
        <v>1230</v>
      </c>
      <c r="C142" s="75">
        <v>2019</v>
      </c>
      <c r="D142" s="75" t="s">
        <v>1265</v>
      </c>
      <c r="E142" s="76" t="s">
        <v>460</v>
      </c>
      <c r="F142" s="84" t="s">
        <v>460</v>
      </c>
      <c r="G142" s="229" t="s">
        <v>1083</v>
      </c>
      <c r="H142" s="25">
        <v>74000</v>
      </c>
      <c r="I142" s="25">
        <v>2</v>
      </c>
      <c r="J142" s="25">
        <v>0</v>
      </c>
      <c r="K142" s="710">
        <v>0</v>
      </c>
      <c r="L142" s="542">
        <v>0</v>
      </c>
      <c r="M142" s="374">
        <v>0</v>
      </c>
      <c r="N142" s="375">
        <v>0</v>
      </c>
      <c r="O142" s="541">
        <v>0</v>
      </c>
      <c r="P142" s="545">
        <v>0</v>
      </c>
      <c r="Q142" s="676">
        <v>0</v>
      </c>
      <c r="R142" s="376">
        <f t="shared" si="31"/>
        <v>0</v>
      </c>
      <c r="S142" s="837">
        <v>0</v>
      </c>
      <c r="T142" s="22">
        <v>0</v>
      </c>
      <c r="U142" s="26">
        <v>0</v>
      </c>
      <c r="V142" s="26"/>
      <c r="W142" s="26"/>
      <c r="X142" s="27">
        <v>0</v>
      </c>
      <c r="Y142" s="44">
        <v>0</v>
      </c>
      <c r="Z142" s="27">
        <v>74000</v>
      </c>
      <c r="AA142" s="432" t="s">
        <v>1579</v>
      </c>
      <c r="AB142" s="711" t="s">
        <v>1300</v>
      </c>
      <c r="AC142" s="716" t="s">
        <v>1577</v>
      </c>
      <c r="AD142" s="379" t="s">
        <v>1282</v>
      </c>
      <c r="AE142" s="74" t="s">
        <v>1282</v>
      </c>
      <c r="AF142" s="722"/>
      <c r="AH142" s="516">
        <f t="shared" si="32"/>
        <v>0</v>
      </c>
      <c r="AI142" s="351">
        <f t="shared" si="33"/>
        <v>0</v>
      </c>
      <c r="AJ142" s="553">
        <f t="shared" si="34"/>
        <v>0</v>
      </c>
      <c r="AK142" s="509">
        <f t="shared" si="35"/>
        <v>0</v>
      </c>
      <c r="AL142" s="1140"/>
      <c r="AM142" s="1179"/>
      <c r="AN142" s="662" t="s">
        <v>458</v>
      </c>
      <c r="AO142" s="175">
        <v>7</v>
      </c>
      <c r="AP142" s="175">
        <v>1</v>
      </c>
      <c r="AQ142" s="814">
        <v>3</v>
      </c>
      <c r="AR142" s="1148"/>
      <c r="AS142" s="435"/>
      <c r="AT142" s="581"/>
      <c r="AU142" s="1096"/>
      <c r="AV142" s="1096"/>
      <c r="AW142" s="702" t="s">
        <v>1652</v>
      </c>
      <c r="AX142" s="192" t="s">
        <v>1409</v>
      </c>
      <c r="AY142" s="436">
        <v>0</v>
      </c>
      <c r="AZ142" s="436">
        <v>1</v>
      </c>
      <c r="BA142" s="653"/>
      <c r="BB142" s="434"/>
      <c r="BC142" s="434"/>
      <c r="BD142" s="434"/>
      <c r="BE142" s="434"/>
      <c r="BF142" s="434"/>
      <c r="BG142" s="1101"/>
      <c r="BH142" s="1101"/>
      <c r="BI142" s="1101"/>
      <c r="BJ142" s="710">
        <v>0</v>
      </c>
    </row>
    <row r="143" spans="1:62" s="179" customFormat="1" ht="32.25" hidden="1" customHeight="1" x14ac:dyDescent="0.2">
      <c r="A143" s="173" t="s">
        <v>1086</v>
      </c>
      <c r="B143" s="709" t="s">
        <v>1230</v>
      </c>
      <c r="C143" s="75">
        <v>2019</v>
      </c>
      <c r="D143" s="75" t="s">
        <v>1265</v>
      </c>
      <c r="E143" s="76" t="s">
        <v>460</v>
      </c>
      <c r="F143" s="84" t="s">
        <v>460</v>
      </c>
      <c r="G143" s="229" t="s">
        <v>1085</v>
      </c>
      <c r="H143" s="25">
        <v>7699.49</v>
      </c>
      <c r="I143" s="25">
        <v>2</v>
      </c>
      <c r="J143" s="25">
        <v>0</v>
      </c>
      <c r="K143" s="710">
        <v>0</v>
      </c>
      <c r="L143" s="542">
        <v>0</v>
      </c>
      <c r="M143" s="374">
        <v>0</v>
      </c>
      <c r="N143" s="375">
        <v>0</v>
      </c>
      <c r="O143" s="715">
        <v>0</v>
      </c>
      <c r="P143" s="545">
        <v>0</v>
      </c>
      <c r="Q143" s="676">
        <v>0</v>
      </c>
      <c r="R143" s="376">
        <f t="shared" si="31"/>
        <v>0</v>
      </c>
      <c r="S143" s="837">
        <v>0</v>
      </c>
      <c r="T143" s="22">
        <v>0</v>
      </c>
      <c r="U143" s="26">
        <v>0</v>
      </c>
      <c r="V143" s="26"/>
      <c r="W143" s="26"/>
      <c r="X143" s="27">
        <v>0</v>
      </c>
      <c r="Y143" s="44">
        <v>0</v>
      </c>
      <c r="Z143" s="27">
        <v>7699.49</v>
      </c>
      <c r="AA143" s="432" t="s">
        <v>1579</v>
      </c>
      <c r="AB143" s="711" t="s">
        <v>1300</v>
      </c>
      <c r="AC143" s="716" t="s">
        <v>1577</v>
      </c>
      <c r="AD143" s="379" t="s">
        <v>1282</v>
      </c>
      <c r="AE143" s="74" t="s">
        <v>1282</v>
      </c>
      <c r="AF143" s="722"/>
      <c r="AH143" s="516">
        <f t="shared" si="32"/>
        <v>0</v>
      </c>
      <c r="AI143" s="351">
        <f t="shared" si="33"/>
        <v>0</v>
      </c>
      <c r="AJ143" s="553">
        <f t="shared" si="34"/>
        <v>0</v>
      </c>
      <c r="AK143" s="509">
        <f t="shared" si="35"/>
        <v>0</v>
      </c>
      <c r="AL143" s="1140"/>
      <c r="AM143" s="1179"/>
      <c r="AN143" s="662" t="s">
        <v>458</v>
      </c>
      <c r="AO143" s="175">
        <v>7</v>
      </c>
      <c r="AP143" s="175">
        <v>1</v>
      </c>
      <c r="AQ143" s="814">
        <v>3</v>
      </c>
      <c r="AR143" s="1148"/>
      <c r="AS143" s="435"/>
      <c r="AT143" s="581"/>
      <c r="AU143" s="1096"/>
      <c r="AV143" s="1096"/>
      <c r="AW143" s="702" t="s">
        <v>1652</v>
      </c>
      <c r="AX143" s="192" t="s">
        <v>1410</v>
      </c>
      <c r="AY143" s="436">
        <v>0</v>
      </c>
      <c r="AZ143" s="436">
        <v>1</v>
      </c>
      <c r="BA143" s="653"/>
      <c r="BB143" s="434"/>
      <c r="BC143" s="434"/>
      <c r="BD143" s="434"/>
      <c r="BE143" s="434"/>
      <c r="BF143" s="434"/>
      <c r="BG143" s="1101"/>
      <c r="BH143" s="1101"/>
      <c r="BI143" s="1101"/>
      <c r="BJ143" s="710">
        <v>0</v>
      </c>
    </row>
    <row r="144" spans="1:62" s="179" customFormat="1" ht="32.25" hidden="1" customHeight="1" x14ac:dyDescent="0.2">
      <c r="A144" s="173" t="s">
        <v>1087</v>
      </c>
      <c r="B144" s="709" t="s">
        <v>1230</v>
      </c>
      <c r="C144" s="75">
        <v>2019</v>
      </c>
      <c r="D144" s="75" t="s">
        <v>1265</v>
      </c>
      <c r="E144" s="76" t="s">
        <v>460</v>
      </c>
      <c r="F144" s="76" t="s">
        <v>460</v>
      </c>
      <c r="G144" s="229" t="s">
        <v>1184</v>
      </c>
      <c r="H144" s="25">
        <v>27480</v>
      </c>
      <c r="I144" s="25">
        <v>2</v>
      </c>
      <c r="J144" s="25">
        <v>0</v>
      </c>
      <c r="K144" s="710">
        <v>0</v>
      </c>
      <c r="L144" s="542">
        <v>0</v>
      </c>
      <c r="M144" s="374">
        <v>0</v>
      </c>
      <c r="N144" s="375">
        <v>0</v>
      </c>
      <c r="O144" s="715">
        <v>0</v>
      </c>
      <c r="P144" s="545">
        <v>0</v>
      </c>
      <c r="Q144" s="676">
        <v>0</v>
      </c>
      <c r="R144" s="376">
        <f t="shared" si="31"/>
        <v>0</v>
      </c>
      <c r="S144" s="837">
        <v>0</v>
      </c>
      <c r="T144" s="22">
        <v>0</v>
      </c>
      <c r="U144" s="26">
        <v>0</v>
      </c>
      <c r="V144" s="26"/>
      <c r="W144" s="26"/>
      <c r="X144" s="27">
        <v>0</v>
      </c>
      <c r="Y144" s="44">
        <v>0</v>
      </c>
      <c r="Z144" s="27">
        <v>27480</v>
      </c>
      <c r="AA144" s="432" t="s">
        <v>1579</v>
      </c>
      <c r="AB144" s="711" t="s">
        <v>1300</v>
      </c>
      <c r="AC144" s="716" t="s">
        <v>1577</v>
      </c>
      <c r="AD144" s="379" t="s">
        <v>1282</v>
      </c>
      <c r="AE144" s="74" t="s">
        <v>1282</v>
      </c>
      <c r="AF144" s="722"/>
      <c r="AH144" s="516">
        <f t="shared" si="32"/>
        <v>0</v>
      </c>
      <c r="AI144" s="351">
        <f t="shared" si="33"/>
        <v>0</v>
      </c>
      <c r="AJ144" s="553">
        <f t="shared" si="34"/>
        <v>0</v>
      </c>
      <c r="AK144" s="509">
        <f t="shared" si="35"/>
        <v>0</v>
      </c>
      <c r="AL144" s="1140"/>
      <c r="AM144" s="1179"/>
      <c r="AN144" s="662" t="s">
        <v>458</v>
      </c>
      <c r="AO144" s="175">
        <v>7</v>
      </c>
      <c r="AP144" s="175">
        <v>1</v>
      </c>
      <c r="AQ144" s="814">
        <v>3</v>
      </c>
      <c r="AR144" s="1148"/>
      <c r="AS144" s="435"/>
      <c r="AT144" s="581"/>
      <c r="AU144" s="1096"/>
      <c r="AV144" s="1096"/>
      <c r="AW144" s="702" t="s">
        <v>1652</v>
      </c>
      <c r="AX144" s="192" t="s">
        <v>1411</v>
      </c>
      <c r="AY144" s="436">
        <v>0</v>
      </c>
      <c r="AZ144" s="436">
        <v>1</v>
      </c>
      <c r="BA144" s="653"/>
      <c r="BB144" s="434"/>
      <c r="BC144" s="434"/>
      <c r="BD144" s="434"/>
      <c r="BE144" s="434"/>
      <c r="BF144" s="434"/>
      <c r="BG144" s="1101"/>
      <c r="BH144" s="1101"/>
      <c r="BI144" s="1101"/>
      <c r="BJ144" s="710">
        <v>0</v>
      </c>
    </row>
    <row r="145" spans="1:62" s="179" customFormat="1" ht="32.25" hidden="1" customHeight="1" x14ac:dyDescent="0.2">
      <c r="A145" s="173" t="s">
        <v>1089</v>
      </c>
      <c r="B145" s="709" t="s">
        <v>1230</v>
      </c>
      <c r="C145" s="75">
        <v>2019</v>
      </c>
      <c r="D145" s="75" t="s">
        <v>1265</v>
      </c>
      <c r="E145" s="76" t="s">
        <v>460</v>
      </c>
      <c r="F145" s="76" t="s">
        <v>460</v>
      </c>
      <c r="G145" s="229" t="s">
        <v>1088</v>
      </c>
      <c r="H145" s="25">
        <v>4000</v>
      </c>
      <c r="I145" s="25">
        <v>2</v>
      </c>
      <c r="J145" s="25">
        <v>0</v>
      </c>
      <c r="K145" s="710">
        <v>0</v>
      </c>
      <c r="L145" s="542">
        <v>0</v>
      </c>
      <c r="M145" s="374">
        <v>0</v>
      </c>
      <c r="N145" s="375">
        <v>0</v>
      </c>
      <c r="O145" s="715">
        <v>0</v>
      </c>
      <c r="P145" s="545">
        <v>0</v>
      </c>
      <c r="Q145" s="676">
        <v>0</v>
      </c>
      <c r="R145" s="376">
        <f t="shared" si="31"/>
        <v>0</v>
      </c>
      <c r="S145" s="837">
        <v>0</v>
      </c>
      <c r="T145" s="22">
        <v>0</v>
      </c>
      <c r="U145" s="26">
        <v>0</v>
      </c>
      <c r="V145" s="26"/>
      <c r="W145" s="26"/>
      <c r="X145" s="27">
        <v>0</v>
      </c>
      <c r="Y145" s="44">
        <v>0</v>
      </c>
      <c r="Z145" s="27">
        <v>4000</v>
      </c>
      <c r="AA145" s="432" t="s">
        <v>1579</v>
      </c>
      <c r="AB145" s="711" t="s">
        <v>1300</v>
      </c>
      <c r="AC145" s="716" t="s">
        <v>1577</v>
      </c>
      <c r="AD145" s="379" t="s">
        <v>1282</v>
      </c>
      <c r="AE145" s="74" t="s">
        <v>1282</v>
      </c>
      <c r="AF145" s="722"/>
      <c r="AH145" s="516">
        <f t="shared" si="32"/>
        <v>0</v>
      </c>
      <c r="AI145" s="351">
        <f t="shared" si="33"/>
        <v>0</v>
      </c>
      <c r="AJ145" s="553">
        <f t="shared" si="34"/>
        <v>0</v>
      </c>
      <c r="AK145" s="509">
        <f t="shared" si="35"/>
        <v>0</v>
      </c>
      <c r="AL145" s="1140"/>
      <c r="AM145" s="1179"/>
      <c r="AN145" s="662" t="s">
        <v>458</v>
      </c>
      <c r="AO145" s="175">
        <v>7</v>
      </c>
      <c r="AP145" s="175">
        <v>1</v>
      </c>
      <c r="AQ145" s="814">
        <v>3</v>
      </c>
      <c r="AR145" s="1148"/>
      <c r="AS145" s="435"/>
      <c r="AT145" s="581"/>
      <c r="AU145" s="1096"/>
      <c r="AV145" s="1096"/>
      <c r="AW145" s="702" t="s">
        <v>1652</v>
      </c>
      <c r="AX145" s="192" t="s">
        <v>1411</v>
      </c>
      <c r="AY145" s="436">
        <v>0</v>
      </c>
      <c r="AZ145" s="436">
        <v>1</v>
      </c>
      <c r="BA145" s="653"/>
      <c r="BB145" s="434"/>
      <c r="BC145" s="434"/>
      <c r="BD145" s="434"/>
      <c r="BE145" s="434"/>
      <c r="BF145" s="434"/>
      <c r="BG145" s="1101"/>
      <c r="BH145" s="1101"/>
      <c r="BI145" s="1101"/>
      <c r="BJ145" s="710">
        <v>0</v>
      </c>
    </row>
    <row r="146" spans="1:62" s="179" customFormat="1" ht="32.25" hidden="1" customHeight="1" x14ac:dyDescent="0.2">
      <c r="A146" s="173" t="s">
        <v>1090</v>
      </c>
      <c r="B146" s="709" t="s">
        <v>1230</v>
      </c>
      <c r="C146" s="75">
        <v>2019</v>
      </c>
      <c r="D146" s="75" t="s">
        <v>1265</v>
      </c>
      <c r="E146" s="76" t="s">
        <v>460</v>
      </c>
      <c r="F146" s="76" t="s">
        <v>460</v>
      </c>
      <c r="G146" s="229" t="s">
        <v>1185</v>
      </c>
      <c r="H146" s="25">
        <v>30250</v>
      </c>
      <c r="I146" s="25">
        <v>2</v>
      </c>
      <c r="J146" s="25">
        <v>0</v>
      </c>
      <c r="K146" s="710">
        <v>0</v>
      </c>
      <c r="L146" s="542">
        <v>0</v>
      </c>
      <c r="M146" s="374">
        <v>0</v>
      </c>
      <c r="N146" s="375">
        <v>0</v>
      </c>
      <c r="O146" s="715">
        <v>0</v>
      </c>
      <c r="P146" s="545">
        <v>0</v>
      </c>
      <c r="Q146" s="676">
        <v>0</v>
      </c>
      <c r="R146" s="376">
        <f t="shared" si="31"/>
        <v>0</v>
      </c>
      <c r="S146" s="837">
        <v>0</v>
      </c>
      <c r="T146" s="22">
        <v>0</v>
      </c>
      <c r="U146" s="26">
        <v>0</v>
      </c>
      <c r="V146" s="26"/>
      <c r="W146" s="26"/>
      <c r="X146" s="27">
        <v>0</v>
      </c>
      <c r="Y146" s="44">
        <v>0</v>
      </c>
      <c r="Z146" s="27">
        <v>30250</v>
      </c>
      <c r="AA146" s="432" t="s">
        <v>1579</v>
      </c>
      <c r="AB146" s="711" t="s">
        <v>1300</v>
      </c>
      <c r="AC146" s="716" t="s">
        <v>1577</v>
      </c>
      <c r="AD146" s="379" t="s">
        <v>1282</v>
      </c>
      <c r="AE146" s="74" t="s">
        <v>1282</v>
      </c>
      <c r="AF146" s="722"/>
      <c r="AH146" s="516">
        <f t="shared" si="32"/>
        <v>0</v>
      </c>
      <c r="AI146" s="351">
        <f t="shared" si="33"/>
        <v>0</v>
      </c>
      <c r="AJ146" s="553">
        <f t="shared" si="34"/>
        <v>0</v>
      </c>
      <c r="AK146" s="509">
        <f t="shared" si="35"/>
        <v>0</v>
      </c>
      <c r="AL146" s="1140"/>
      <c r="AM146" s="1179"/>
      <c r="AN146" s="662" t="s">
        <v>458</v>
      </c>
      <c r="AO146" s="175">
        <v>7</v>
      </c>
      <c r="AP146" s="175">
        <v>1</v>
      </c>
      <c r="AQ146" s="814">
        <v>3</v>
      </c>
      <c r="AR146" s="1148"/>
      <c r="AS146" s="435"/>
      <c r="AT146" s="581"/>
      <c r="AU146" s="1096"/>
      <c r="AV146" s="1096"/>
      <c r="AW146" s="702" t="s">
        <v>1652</v>
      </c>
      <c r="AX146" s="192" t="s">
        <v>1391</v>
      </c>
      <c r="AY146" s="436">
        <v>1</v>
      </c>
      <c r="AZ146" s="436">
        <v>0</v>
      </c>
      <c r="BA146" s="653"/>
      <c r="BB146" s="434"/>
      <c r="BC146" s="434"/>
      <c r="BD146" s="434"/>
      <c r="BE146" s="434"/>
      <c r="BF146" s="434"/>
      <c r="BG146" s="1101"/>
      <c r="BH146" s="1101"/>
      <c r="BI146" s="1101"/>
      <c r="BJ146" s="710">
        <v>0</v>
      </c>
    </row>
    <row r="147" spans="1:62" s="179" customFormat="1" ht="32.25" hidden="1" customHeight="1" x14ac:dyDescent="0.2">
      <c r="A147" s="173" t="s">
        <v>1091</v>
      </c>
      <c r="B147" s="709" t="s">
        <v>1230</v>
      </c>
      <c r="C147" s="75">
        <v>2019</v>
      </c>
      <c r="D147" s="75" t="s">
        <v>1265</v>
      </c>
      <c r="E147" s="76" t="s">
        <v>460</v>
      </c>
      <c r="F147" s="76" t="s">
        <v>460</v>
      </c>
      <c r="G147" s="229" t="s">
        <v>1186</v>
      </c>
      <c r="H147" s="25">
        <v>9075</v>
      </c>
      <c r="I147" s="25">
        <v>2</v>
      </c>
      <c r="J147" s="25">
        <v>0</v>
      </c>
      <c r="K147" s="710">
        <v>0</v>
      </c>
      <c r="L147" s="542">
        <v>0</v>
      </c>
      <c r="M147" s="374">
        <v>0</v>
      </c>
      <c r="N147" s="375">
        <v>0</v>
      </c>
      <c r="O147" s="715">
        <v>0</v>
      </c>
      <c r="P147" s="545">
        <v>0</v>
      </c>
      <c r="Q147" s="676">
        <v>0</v>
      </c>
      <c r="R147" s="376">
        <f t="shared" si="31"/>
        <v>0</v>
      </c>
      <c r="S147" s="837">
        <v>0</v>
      </c>
      <c r="T147" s="22">
        <v>0</v>
      </c>
      <c r="U147" s="26">
        <v>0</v>
      </c>
      <c r="V147" s="26"/>
      <c r="W147" s="26"/>
      <c r="X147" s="27">
        <v>0</v>
      </c>
      <c r="Y147" s="44">
        <v>0</v>
      </c>
      <c r="Z147" s="27">
        <v>9075</v>
      </c>
      <c r="AA147" s="432" t="s">
        <v>1579</v>
      </c>
      <c r="AB147" s="711" t="s">
        <v>1300</v>
      </c>
      <c r="AC147" s="716" t="s">
        <v>1577</v>
      </c>
      <c r="AD147" s="379" t="s">
        <v>1282</v>
      </c>
      <c r="AE147" s="74" t="s">
        <v>1282</v>
      </c>
      <c r="AF147" s="722"/>
      <c r="AH147" s="516">
        <f t="shared" si="32"/>
        <v>0</v>
      </c>
      <c r="AI147" s="351">
        <f t="shared" si="33"/>
        <v>0</v>
      </c>
      <c r="AJ147" s="553">
        <f t="shared" si="34"/>
        <v>0</v>
      </c>
      <c r="AK147" s="509">
        <f t="shared" si="35"/>
        <v>0</v>
      </c>
      <c r="AL147" s="1140"/>
      <c r="AM147" s="1179"/>
      <c r="AN147" s="662" t="s">
        <v>458</v>
      </c>
      <c r="AO147" s="175">
        <v>7</v>
      </c>
      <c r="AP147" s="175">
        <v>1</v>
      </c>
      <c r="AQ147" s="814">
        <v>3</v>
      </c>
      <c r="AR147" s="1148"/>
      <c r="AS147" s="435"/>
      <c r="AT147" s="581"/>
      <c r="AU147" s="1096"/>
      <c r="AV147" s="1096"/>
      <c r="AW147" s="702" t="s">
        <v>1652</v>
      </c>
      <c r="AX147" s="192" t="s">
        <v>1391</v>
      </c>
      <c r="AY147" s="436">
        <v>1</v>
      </c>
      <c r="AZ147" s="436">
        <v>0</v>
      </c>
      <c r="BA147" s="653"/>
      <c r="BB147" s="434"/>
      <c r="BC147" s="434"/>
      <c r="BD147" s="434"/>
      <c r="BE147" s="434"/>
      <c r="BF147" s="434"/>
      <c r="BG147" s="1101"/>
      <c r="BH147" s="1101"/>
      <c r="BI147" s="1101"/>
      <c r="BJ147" s="710">
        <v>0</v>
      </c>
    </row>
    <row r="148" spans="1:62" s="179" customFormat="1" ht="39" hidden="1" thickBot="1" x14ac:dyDescent="0.25">
      <c r="A148" s="173" t="s">
        <v>1093</v>
      </c>
      <c r="B148" s="709" t="s">
        <v>1230</v>
      </c>
      <c r="C148" s="75">
        <v>2019</v>
      </c>
      <c r="D148" s="75" t="s">
        <v>1265</v>
      </c>
      <c r="E148" s="76" t="s">
        <v>468</v>
      </c>
      <c r="F148" s="84" t="s">
        <v>468</v>
      </c>
      <c r="G148" s="229" t="s">
        <v>1092</v>
      </c>
      <c r="H148" s="25">
        <v>58322</v>
      </c>
      <c r="I148" s="25">
        <v>9</v>
      </c>
      <c r="J148" s="25">
        <v>0</v>
      </c>
      <c r="K148" s="710">
        <v>0</v>
      </c>
      <c r="L148" s="542">
        <v>0</v>
      </c>
      <c r="M148" s="374">
        <v>0</v>
      </c>
      <c r="N148" s="375">
        <v>0</v>
      </c>
      <c r="O148" s="541">
        <v>0</v>
      </c>
      <c r="P148" s="545">
        <v>0</v>
      </c>
      <c r="Q148" s="676">
        <v>0</v>
      </c>
      <c r="R148" s="376">
        <f t="shared" si="31"/>
        <v>0</v>
      </c>
      <c r="S148" s="837">
        <v>0</v>
      </c>
      <c r="T148" s="22">
        <v>0</v>
      </c>
      <c r="U148" s="26">
        <v>5832.2</v>
      </c>
      <c r="V148" s="26"/>
      <c r="W148" s="26"/>
      <c r="X148" s="27">
        <v>0</v>
      </c>
      <c r="Y148" s="44">
        <v>0</v>
      </c>
      <c r="Z148" s="27">
        <v>52489.8</v>
      </c>
      <c r="AA148" s="717" t="s">
        <v>1612</v>
      </c>
      <c r="AB148" s="711" t="s">
        <v>1300</v>
      </c>
      <c r="AC148" s="713" t="s">
        <v>369</v>
      </c>
      <c r="AD148" s="379" t="s">
        <v>1282</v>
      </c>
      <c r="AE148" s="74" t="s">
        <v>1282</v>
      </c>
      <c r="AF148" s="722"/>
      <c r="AH148" s="516">
        <f t="shared" si="32"/>
        <v>0</v>
      </c>
      <c r="AI148" s="351">
        <f t="shared" si="33"/>
        <v>0</v>
      </c>
      <c r="AJ148" s="553">
        <f t="shared" si="34"/>
        <v>0</v>
      </c>
      <c r="AK148" s="509">
        <f t="shared" si="35"/>
        <v>0</v>
      </c>
      <c r="AL148" s="1140"/>
      <c r="AM148" s="1179"/>
      <c r="AN148" s="662" t="s">
        <v>458</v>
      </c>
      <c r="AO148" s="175">
        <v>7</v>
      </c>
      <c r="AP148" s="175">
        <v>1</v>
      </c>
      <c r="AQ148" s="814">
        <v>3</v>
      </c>
      <c r="AR148" s="1148"/>
      <c r="AS148" s="435"/>
      <c r="AT148" s="581"/>
      <c r="AU148" s="1095"/>
      <c r="AV148" s="1095"/>
      <c r="AW148" s="775" t="s">
        <v>1653</v>
      </c>
      <c r="AX148" s="143" t="s">
        <v>1412</v>
      </c>
      <c r="AY148" s="436">
        <v>0</v>
      </c>
      <c r="AZ148" s="436">
        <v>1</v>
      </c>
      <c r="BA148" s="653"/>
      <c r="BB148" s="434"/>
      <c r="BC148" s="434"/>
      <c r="BD148" s="434"/>
      <c r="BE148" s="434"/>
      <c r="BF148" s="434"/>
      <c r="BG148" s="1101"/>
      <c r="BH148" s="1101"/>
      <c r="BI148" s="1101"/>
      <c r="BJ148" s="710">
        <v>0</v>
      </c>
    </row>
    <row r="149" spans="1:62" s="179" customFormat="1" ht="51.75" hidden="1" thickBot="1" x14ac:dyDescent="0.25">
      <c r="A149" s="173" t="s">
        <v>1095</v>
      </c>
      <c r="B149" s="709" t="s">
        <v>1230</v>
      </c>
      <c r="C149" s="75">
        <v>2019</v>
      </c>
      <c r="D149" s="75" t="s">
        <v>1265</v>
      </c>
      <c r="E149" s="76" t="s">
        <v>468</v>
      </c>
      <c r="F149" s="84" t="s">
        <v>468</v>
      </c>
      <c r="G149" s="229" t="s">
        <v>1094</v>
      </c>
      <c r="H149" s="25">
        <v>197462</v>
      </c>
      <c r="I149" s="25">
        <v>9</v>
      </c>
      <c r="J149" s="25">
        <v>0</v>
      </c>
      <c r="K149" s="710">
        <v>0</v>
      </c>
      <c r="L149" s="542">
        <v>0</v>
      </c>
      <c r="M149" s="374">
        <v>0</v>
      </c>
      <c r="N149" s="375">
        <v>0</v>
      </c>
      <c r="O149" s="541">
        <v>0</v>
      </c>
      <c r="P149" s="545">
        <v>0</v>
      </c>
      <c r="Q149" s="676">
        <v>0</v>
      </c>
      <c r="R149" s="376">
        <f t="shared" si="31"/>
        <v>0</v>
      </c>
      <c r="S149" s="837">
        <v>0</v>
      </c>
      <c r="T149" s="22">
        <v>0</v>
      </c>
      <c r="U149" s="26">
        <v>19746.2</v>
      </c>
      <c r="V149" s="26"/>
      <c r="W149" s="26"/>
      <c r="X149" s="27">
        <v>0</v>
      </c>
      <c r="Y149" s="44">
        <v>0</v>
      </c>
      <c r="Z149" s="27">
        <v>177715.8</v>
      </c>
      <c r="AA149" s="432" t="s">
        <v>1613</v>
      </c>
      <c r="AB149" s="711" t="s">
        <v>1300</v>
      </c>
      <c r="AC149" s="712" t="s">
        <v>846</v>
      </c>
      <c r="AD149" s="379" t="s">
        <v>1282</v>
      </c>
      <c r="AE149" s="74" t="s">
        <v>1282</v>
      </c>
      <c r="AF149" s="722"/>
      <c r="AH149" s="516">
        <f t="shared" si="32"/>
        <v>0</v>
      </c>
      <c r="AI149" s="351">
        <f t="shared" si="33"/>
        <v>0</v>
      </c>
      <c r="AJ149" s="553">
        <f t="shared" si="34"/>
        <v>0</v>
      </c>
      <c r="AK149" s="509">
        <f t="shared" si="35"/>
        <v>0</v>
      </c>
      <c r="AL149" s="1140"/>
      <c r="AM149" s="1179"/>
      <c r="AN149" s="662" t="s">
        <v>458</v>
      </c>
      <c r="AO149" s="175">
        <v>7</v>
      </c>
      <c r="AP149" s="175">
        <v>1</v>
      </c>
      <c r="AQ149" s="814">
        <v>3</v>
      </c>
      <c r="AR149" s="1148"/>
      <c r="AS149" s="435"/>
      <c r="AT149" s="581"/>
      <c r="AU149" s="1096"/>
      <c r="AV149" s="1096"/>
      <c r="AW149" s="702" t="s">
        <v>1654</v>
      </c>
      <c r="AX149" s="143" t="s">
        <v>1413</v>
      </c>
      <c r="AY149" s="436">
        <v>0</v>
      </c>
      <c r="AZ149" s="436">
        <v>1</v>
      </c>
      <c r="BA149" s="653"/>
      <c r="BB149" s="434"/>
      <c r="BC149" s="434"/>
      <c r="BD149" s="434"/>
      <c r="BE149" s="434"/>
      <c r="BF149" s="434"/>
      <c r="BG149" s="1101"/>
      <c r="BH149" s="1101"/>
      <c r="BI149" s="1101"/>
      <c r="BJ149" s="710">
        <v>0</v>
      </c>
    </row>
    <row r="150" spans="1:62" s="179" customFormat="1" ht="39.75" hidden="1" customHeight="1" x14ac:dyDescent="0.2">
      <c r="A150" s="173" t="s">
        <v>1097</v>
      </c>
      <c r="B150" s="709" t="s">
        <v>1230</v>
      </c>
      <c r="C150" s="75">
        <v>2019</v>
      </c>
      <c r="D150" s="75" t="s">
        <v>1265</v>
      </c>
      <c r="E150" s="76" t="s">
        <v>468</v>
      </c>
      <c r="F150" s="84" t="s">
        <v>468</v>
      </c>
      <c r="G150" s="229" t="s">
        <v>1096</v>
      </c>
      <c r="H150" s="25">
        <v>5165</v>
      </c>
      <c r="I150" s="25">
        <v>9</v>
      </c>
      <c r="J150" s="25">
        <v>0</v>
      </c>
      <c r="K150" s="710">
        <v>0</v>
      </c>
      <c r="L150" s="542">
        <v>0</v>
      </c>
      <c r="M150" s="374">
        <v>0</v>
      </c>
      <c r="N150" s="375">
        <v>0</v>
      </c>
      <c r="O150" s="541">
        <v>0</v>
      </c>
      <c r="P150" s="545">
        <v>0</v>
      </c>
      <c r="Q150" s="676">
        <v>0</v>
      </c>
      <c r="R150" s="376">
        <f t="shared" si="31"/>
        <v>0</v>
      </c>
      <c r="S150" s="837">
        <v>0</v>
      </c>
      <c r="T150" s="22">
        <v>0</v>
      </c>
      <c r="U150" s="26">
        <v>516.5</v>
      </c>
      <c r="V150" s="26"/>
      <c r="W150" s="26"/>
      <c r="X150" s="27">
        <v>0</v>
      </c>
      <c r="Y150" s="44">
        <v>0</v>
      </c>
      <c r="Z150" s="27">
        <v>4648.5</v>
      </c>
      <c r="AA150" s="432" t="s">
        <v>1614</v>
      </c>
      <c r="AB150" s="75" t="s">
        <v>1300</v>
      </c>
      <c r="AC150" s="713" t="s">
        <v>912</v>
      </c>
      <c r="AD150" s="379" t="s">
        <v>1283</v>
      </c>
      <c r="AE150" s="797" t="s">
        <v>1283</v>
      </c>
      <c r="AF150" s="722"/>
      <c r="AH150" s="516">
        <f t="shared" si="32"/>
        <v>0</v>
      </c>
      <c r="AI150" s="351">
        <f t="shared" si="33"/>
        <v>0</v>
      </c>
      <c r="AJ150" s="553">
        <f t="shared" si="34"/>
        <v>0</v>
      </c>
      <c r="AK150" s="509">
        <f t="shared" si="35"/>
        <v>0</v>
      </c>
      <c r="AL150" s="1140"/>
      <c r="AM150" s="1179"/>
      <c r="AN150" s="662" t="s">
        <v>458</v>
      </c>
      <c r="AO150" s="175">
        <v>7</v>
      </c>
      <c r="AP150" s="175">
        <v>1</v>
      </c>
      <c r="AQ150" s="814">
        <v>3</v>
      </c>
      <c r="AR150" s="1148"/>
      <c r="AS150" s="435"/>
      <c r="AT150" s="581"/>
      <c r="AU150" s="1096"/>
      <c r="AV150" s="1096"/>
      <c r="AW150" s="702" t="s">
        <v>1655</v>
      </c>
      <c r="AX150" s="143" t="s">
        <v>1438</v>
      </c>
      <c r="AY150" s="436">
        <v>1</v>
      </c>
      <c r="AZ150" s="436">
        <v>0</v>
      </c>
      <c r="BA150" s="653"/>
      <c r="BB150" s="434"/>
      <c r="BC150" s="434"/>
      <c r="BD150" s="434"/>
      <c r="BE150" s="434"/>
      <c r="BF150" s="434"/>
      <c r="BG150" s="1101"/>
      <c r="BH150" s="1101"/>
      <c r="BI150" s="1101"/>
      <c r="BJ150" s="710">
        <v>0</v>
      </c>
    </row>
    <row r="151" spans="1:62" s="179" customFormat="1" ht="39" hidden="1" thickBot="1" x14ac:dyDescent="0.25">
      <c r="A151" s="173" t="s">
        <v>1099</v>
      </c>
      <c r="B151" s="709" t="s">
        <v>1230</v>
      </c>
      <c r="C151" s="75">
        <v>2019</v>
      </c>
      <c r="D151" s="75" t="s">
        <v>1265</v>
      </c>
      <c r="E151" s="76" t="s">
        <v>468</v>
      </c>
      <c r="F151" s="84" t="s">
        <v>468</v>
      </c>
      <c r="G151" s="229" t="s">
        <v>1098</v>
      </c>
      <c r="H151" s="25">
        <v>2340</v>
      </c>
      <c r="I151" s="25">
        <v>9</v>
      </c>
      <c r="J151" s="25">
        <v>0</v>
      </c>
      <c r="K151" s="710">
        <v>0</v>
      </c>
      <c r="L151" s="542">
        <v>0</v>
      </c>
      <c r="M151" s="374">
        <v>0</v>
      </c>
      <c r="N151" s="375">
        <v>0</v>
      </c>
      <c r="O151" s="541">
        <v>0</v>
      </c>
      <c r="P151" s="545">
        <v>0</v>
      </c>
      <c r="Q151" s="676">
        <v>0</v>
      </c>
      <c r="R151" s="376">
        <f t="shared" si="31"/>
        <v>0</v>
      </c>
      <c r="S151" s="837">
        <v>0</v>
      </c>
      <c r="T151" s="22">
        <v>0</v>
      </c>
      <c r="U151" s="26">
        <v>0</v>
      </c>
      <c r="V151" s="26"/>
      <c r="W151" s="26"/>
      <c r="X151" s="27">
        <v>0</v>
      </c>
      <c r="Y151" s="44">
        <v>0</v>
      </c>
      <c r="Z151" s="27">
        <v>2340</v>
      </c>
      <c r="AA151" s="432" t="s">
        <v>1579</v>
      </c>
      <c r="AB151" s="75" t="s">
        <v>1300</v>
      </c>
      <c r="AC151" s="712" t="s">
        <v>384</v>
      </c>
      <c r="AD151" s="379" t="s">
        <v>1283</v>
      </c>
      <c r="AE151" s="797" t="s">
        <v>1283</v>
      </c>
      <c r="AF151" s="722"/>
      <c r="AH151" s="516">
        <f t="shared" si="32"/>
        <v>0</v>
      </c>
      <c r="AI151" s="351">
        <f t="shared" si="33"/>
        <v>0</v>
      </c>
      <c r="AJ151" s="553">
        <f t="shared" si="34"/>
        <v>0</v>
      </c>
      <c r="AK151" s="509">
        <f t="shared" si="35"/>
        <v>0</v>
      </c>
      <c r="AL151" s="1140"/>
      <c r="AM151" s="1179"/>
      <c r="AN151" s="662" t="s">
        <v>458</v>
      </c>
      <c r="AO151" s="175">
        <v>7</v>
      </c>
      <c r="AP151" s="175">
        <v>1</v>
      </c>
      <c r="AQ151" s="814">
        <v>3</v>
      </c>
      <c r="AR151" s="1148"/>
      <c r="AS151" s="435"/>
      <c r="AT151" s="581"/>
      <c r="AU151" s="1096"/>
      <c r="AV151" s="1096"/>
      <c r="AW151" s="702" t="s">
        <v>1656</v>
      </c>
      <c r="AX151" s="143" t="s">
        <v>1391</v>
      </c>
      <c r="AY151" s="436">
        <v>1</v>
      </c>
      <c r="AZ151" s="436">
        <v>0</v>
      </c>
      <c r="BA151" s="653"/>
      <c r="BB151" s="434"/>
      <c r="BC151" s="434"/>
      <c r="BD151" s="434"/>
      <c r="BE151" s="434"/>
      <c r="BF151" s="434"/>
      <c r="BG151" s="1101"/>
      <c r="BH151" s="1101"/>
      <c r="BI151" s="1101"/>
      <c r="BJ151" s="710">
        <v>0</v>
      </c>
    </row>
    <row r="152" spans="1:62" s="179" customFormat="1" ht="64.5" hidden="1" thickBot="1" x14ac:dyDescent="0.25">
      <c r="A152" s="173" t="s">
        <v>1101</v>
      </c>
      <c r="B152" s="709" t="s">
        <v>1230</v>
      </c>
      <c r="C152" s="75">
        <v>2019</v>
      </c>
      <c r="D152" s="75" t="s">
        <v>1265</v>
      </c>
      <c r="E152" s="76" t="s">
        <v>468</v>
      </c>
      <c r="F152" s="84" t="s">
        <v>468</v>
      </c>
      <c r="G152" s="229" t="s">
        <v>1100</v>
      </c>
      <c r="H152" s="25">
        <v>15730</v>
      </c>
      <c r="I152" s="25">
        <v>9</v>
      </c>
      <c r="J152" s="25">
        <v>0</v>
      </c>
      <c r="K152" s="710">
        <v>0</v>
      </c>
      <c r="L152" s="542">
        <v>0</v>
      </c>
      <c r="M152" s="374">
        <v>0</v>
      </c>
      <c r="N152" s="375">
        <v>0</v>
      </c>
      <c r="O152" s="541">
        <v>0</v>
      </c>
      <c r="P152" s="545">
        <v>0</v>
      </c>
      <c r="Q152" s="676">
        <v>0</v>
      </c>
      <c r="R152" s="376">
        <f t="shared" si="31"/>
        <v>0</v>
      </c>
      <c r="S152" s="837">
        <v>0</v>
      </c>
      <c r="T152" s="22">
        <v>0</v>
      </c>
      <c r="U152" s="26">
        <v>1573</v>
      </c>
      <c r="V152" s="26"/>
      <c r="W152" s="26"/>
      <c r="X152" s="27">
        <v>0</v>
      </c>
      <c r="Y152" s="44">
        <v>0</v>
      </c>
      <c r="Z152" s="27">
        <v>14157</v>
      </c>
      <c r="AA152" s="432" t="s">
        <v>1604</v>
      </c>
      <c r="AB152" s="711" t="s">
        <v>1300</v>
      </c>
      <c r="AC152" s="713" t="s">
        <v>369</v>
      </c>
      <c r="AD152" s="379" t="s">
        <v>1282</v>
      </c>
      <c r="AE152" s="74" t="s">
        <v>1282</v>
      </c>
      <c r="AF152" s="722"/>
      <c r="AH152" s="516">
        <f t="shared" si="32"/>
        <v>0</v>
      </c>
      <c r="AI152" s="351">
        <f t="shared" si="33"/>
        <v>0</v>
      </c>
      <c r="AJ152" s="553">
        <f t="shared" si="34"/>
        <v>0</v>
      </c>
      <c r="AK152" s="509">
        <f t="shared" si="35"/>
        <v>0</v>
      </c>
      <c r="AL152" s="1140"/>
      <c r="AM152" s="1179"/>
      <c r="AN152" s="662" t="s">
        <v>458</v>
      </c>
      <c r="AO152" s="175">
        <v>7</v>
      </c>
      <c r="AP152" s="175">
        <v>1</v>
      </c>
      <c r="AQ152" s="814">
        <v>3</v>
      </c>
      <c r="AR152" s="1148"/>
      <c r="AS152" s="435"/>
      <c r="AT152" s="581"/>
      <c r="AU152" s="1096"/>
      <c r="AV152" s="1096"/>
      <c r="AW152" s="702" t="s">
        <v>1657</v>
      </c>
      <c r="AX152" s="143" t="s">
        <v>1414</v>
      </c>
      <c r="AY152" s="436">
        <v>0</v>
      </c>
      <c r="AZ152" s="436">
        <v>1</v>
      </c>
      <c r="BA152" s="653"/>
      <c r="BB152" s="434"/>
      <c r="BC152" s="434"/>
      <c r="BD152" s="434"/>
      <c r="BE152" s="434"/>
      <c r="BF152" s="434"/>
      <c r="BG152" s="1101"/>
      <c r="BH152" s="1101"/>
      <c r="BI152" s="1101"/>
      <c r="BJ152" s="710">
        <v>0</v>
      </c>
    </row>
    <row r="153" spans="1:62" s="179" customFormat="1" ht="64.5" hidden="1" thickBot="1" x14ac:dyDescent="0.25">
      <c r="A153" s="173" t="s">
        <v>1103</v>
      </c>
      <c r="B153" s="709" t="s">
        <v>1230</v>
      </c>
      <c r="C153" s="75">
        <v>2019</v>
      </c>
      <c r="D153" s="75" t="s">
        <v>1265</v>
      </c>
      <c r="E153" s="76" t="s">
        <v>468</v>
      </c>
      <c r="F153" s="84" t="s">
        <v>468</v>
      </c>
      <c r="G153" s="229" t="s">
        <v>1102</v>
      </c>
      <c r="H153" s="25">
        <v>5124</v>
      </c>
      <c r="I153" s="25">
        <v>9</v>
      </c>
      <c r="J153" s="25">
        <v>0</v>
      </c>
      <c r="K153" s="710">
        <v>0</v>
      </c>
      <c r="L153" s="542">
        <v>0</v>
      </c>
      <c r="M153" s="374">
        <v>0</v>
      </c>
      <c r="N153" s="375">
        <v>0</v>
      </c>
      <c r="O153" s="541">
        <v>0</v>
      </c>
      <c r="P153" s="545">
        <v>0</v>
      </c>
      <c r="Q153" s="676">
        <v>0</v>
      </c>
      <c r="R153" s="376">
        <f t="shared" si="31"/>
        <v>0</v>
      </c>
      <c r="S153" s="837">
        <v>0</v>
      </c>
      <c r="T153" s="22">
        <v>0</v>
      </c>
      <c r="U153" s="26">
        <v>512.4</v>
      </c>
      <c r="V153" s="26"/>
      <c r="W153" s="26"/>
      <c r="X153" s="27">
        <v>0</v>
      </c>
      <c r="Y153" s="44">
        <v>0</v>
      </c>
      <c r="Z153" s="27">
        <v>4611.6000000000004</v>
      </c>
      <c r="AA153" s="432" t="s">
        <v>1604</v>
      </c>
      <c r="AB153" s="711" t="s">
        <v>1300</v>
      </c>
      <c r="AC153" s="713" t="s">
        <v>369</v>
      </c>
      <c r="AD153" s="379" t="s">
        <v>1282</v>
      </c>
      <c r="AE153" s="74" t="s">
        <v>1282</v>
      </c>
      <c r="AF153" s="722"/>
      <c r="AH153" s="516">
        <f t="shared" si="32"/>
        <v>0</v>
      </c>
      <c r="AI153" s="351">
        <f t="shared" si="33"/>
        <v>0</v>
      </c>
      <c r="AJ153" s="553">
        <f t="shared" si="34"/>
        <v>0</v>
      </c>
      <c r="AK153" s="509">
        <f t="shared" si="35"/>
        <v>0</v>
      </c>
      <c r="AL153" s="1140"/>
      <c r="AM153" s="1179"/>
      <c r="AN153" s="662" t="s">
        <v>458</v>
      </c>
      <c r="AO153" s="175">
        <v>7</v>
      </c>
      <c r="AP153" s="175">
        <v>1</v>
      </c>
      <c r="AQ153" s="814">
        <v>3</v>
      </c>
      <c r="AR153" s="1148"/>
      <c r="AS153" s="435"/>
      <c r="AT153" s="581"/>
      <c r="AU153" s="1096"/>
      <c r="AV153" s="1096"/>
      <c r="AW153" s="702" t="s">
        <v>1658</v>
      </c>
      <c r="AX153" s="143" t="s">
        <v>1414</v>
      </c>
      <c r="AY153" s="436">
        <v>0</v>
      </c>
      <c r="AZ153" s="436">
        <v>1</v>
      </c>
      <c r="BA153" s="653"/>
      <c r="BB153" s="434"/>
      <c r="BC153" s="434"/>
      <c r="BD153" s="434"/>
      <c r="BE153" s="434"/>
      <c r="BF153" s="434"/>
      <c r="BG153" s="1101"/>
      <c r="BH153" s="1101"/>
      <c r="BI153" s="1101"/>
      <c r="BJ153" s="710">
        <v>0</v>
      </c>
    </row>
    <row r="154" spans="1:62" s="179" customFormat="1" ht="64.5" hidden="1" thickBot="1" x14ac:dyDescent="0.25">
      <c r="A154" s="173" t="s">
        <v>1105</v>
      </c>
      <c r="B154" s="709" t="s">
        <v>1230</v>
      </c>
      <c r="C154" s="75">
        <v>2019</v>
      </c>
      <c r="D154" s="75" t="s">
        <v>1265</v>
      </c>
      <c r="E154" s="76" t="s">
        <v>468</v>
      </c>
      <c r="F154" s="84" t="s">
        <v>468</v>
      </c>
      <c r="G154" s="229" t="s">
        <v>1104</v>
      </c>
      <c r="H154" s="25">
        <v>2541</v>
      </c>
      <c r="I154" s="25">
        <v>9</v>
      </c>
      <c r="J154" s="25">
        <v>0</v>
      </c>
      <c r="K154" s="710">
        <v>0</v>
      </c>
      <c r="L154" s="542">
        <v>0</v>
      </c>
      <c r="M154" s="374">
        <v>0</v>
      </c>
      <c r="N154" s="375">
        <v>0</v>
      </c>
      <c r="O154" s="541">
        <v>0</v>
      </c>
      <c r="P154" s="545">
        <v>0</v>
      </c>
      <c r="Q154" s="676">
        <v>0</v>
      </c>
      <c r="R154" s="376">
        <f t="shared" si="31"/>
        <v>0</v>
      </c>
      <c r="S154" s="837">
        <v>0</v>
      </c>
      <c r="T154" s="22">
        <v>0</v>
      </c>
      <c r="U154" s="26">
        <v>254.1</v>
      </c>
      <c r="V154" s="26"/>
      <c r="W154" s="26"/>
      <c r="X154" s="27">
        <v>0</v>
      </c>
      <c r="Y154" s="44">
        <v>0</v>
      </c>
      <c r="Z154" s="27">
        <v>2286.9</v>
      </c>
      <c r="AA154" s="432" t="s">
        <v>1604</v>
      </c>
      <c r="AB154" s="711" t="s">
        <v>1300</v>
      </c>
      <c r="AC154" s="713" t="s">
        <v>369</v>
      </c>
      <c r="AD154" s="379" t="s">
        <v>1282</v>
      </c>
      <c r="AE154" s="74" t="s">
        <v>1282</v>
      </c>
      <c r="AF154" s="722"/>
      <c r="AH154" s="516">
        <f t="shared" si="32"/>
        <v>0</v>
      </c>
      <c r="AI154" s="351">
        <f t="shared" si="33"/>
        <v>0</v>
      </c>
      <c r="AJ154" s="553">
        <f t="shared" si="34"/>
        <v>0</v>
      </c>
      <c r="AK154" s="509">
        <f t="shared" si="35"/>
        <v>0</v>
      </c>
      <c r="AL154" s="1140"/>
      <c r="AM154" s="1179"/>
      <c r="AN154" s="662" t="s">
        <v>458</v>
      </c>
      <c r="AO154" s="175">
        <v>7</v>
      </c>
      <c r="AP154" s="175">
        <v>1</v>
      </c>
      <c r="AQ154" s="814">
        <v>3</v>
      </c>
      <c r="AR154" s="1148"/>
      <c r="AS154" s="435"/>
      <c r="AT154" s="581"/>
      <c r="AU154" s="1096"/>
      <c r="AV154" s="1096"/>
      <c r="AW154" s="702" t="s">
        <v>1659</v>
      </c>
      <c r="AX154" s="143" t="s">
        <v>1415</v>
      </c>
      <c r="AY154" s="436">
        <v>0</v>
      </c>
      <c r="AZ154" s="436">
        <v>1</v>
      </c>
      <c r="BA154" s="653"/>
      <c r="BB154" s="434"/>
      <c r="BC154" s="434"/>
      <c r="BD154" s="434"/>
      <c r="BE154" s="434"/>
      <c r="BF154" s="434"/>
      <c r="BG154" s="1101"/>
      <c r="BH154" s="1101"/>
      <c r="BI154" s="1101"/>
      <c r="BJ154" s="710">
        <v>0</v>
      </c>
    </row>
    <row r="155" spans="1:62" s="179" customFormat="1" ht="33" hidden="1" customHeight="1" x14ac:dyDescent="0.2">
      <c r="A155" s="173" t="s">
        <v>1107</v>
      </c>
      <c r="B155" s="709" t="s">
        <v>1230</v>
      </c>
      <c r="C155" s="75">
        <v>2019</v>
      </c>
      <c r="D155" s="75" t="s">
        <v>1265</v>
      </c>
      <c r="E155" s="76" t="s">
        <v>468</v>
      </c>
      <c r="F155" s="84" t="s">
        <v>468</v>
      </c>
      <c r="G155" s="229" t="s">
        <v>1106</v>
      </c>
      <c r="H155" s="25">
        <v>5400</v>
      </c>
      <c r="I155" s="25">
        <v>9</v>
      </c>
      <c r="J155" s="25">
        <v>0</v>
      </c>
      <c r="K155" s="710">
        <v>0</v>
      </c>
      <c r="L155" s="542">
        <v>0</v>
      </c>
      <c r="M155" s="374">
        <v>0</v>
      </c>
      <c r="N155" s="375">
        <v>0</v>
      </c>
      <c r="O155" s="541">
        <v>0</v>
      </c>
      <c r="P155" s="545">
        <v>0</v>
      </c>
      <c r="Q155" s="676">
        <v>0</v>
      </c>
      <c r="R155" s="376">
        <f t="shared" si="31"/>
        <v>0</v>
      </c>
      <c r="S155" s="837">
        <v>0</v>
      </c>
      <c r="T155" s="22">
        <v>0</v>
      </c>
      <c r="U155" s="26">
        <v>540</v>
      </c>
      <c r="V155" s="26"/>
      <c r="W155" s="26"/>
      <c r="X155" s="27">
        <v>0</v>
      </c>
      <c r="Y155" s="44">
        <v>0</v>
      </c>
      <c r="Z155" s="27">
        <v>4860</v>
      </c>
      <c r="AA155" s="432" t="s">
        <v>1604</v>
      </c>
      <c r="AB155" s="711" t="s">
        <v>1300</v>
      </c>
      <c r="AC155" s="713" t="s">
        <v>369</v>
      </c>
      <c r="AD155" s="379" t="s">
        <v>1282</v>
      </c>
      <c r="AE155" s="74" t="s">
        <v>1282</v>
      </c>
      <c r="AF155" s="722"/>
      <c r="AH155" s="516">
        <f t="shared" si="32"/>
        <v>0</v>
      </c>
      <c r="AI155" s="351">
        <f t="shared" si="33"/>
        <v>0</v>
      </c>
      <c r="AJ155" s="553">
        <f t="shared" si="34"/>
        <v>0</v>
      </c>
      <c r="AK155" s="509">
        <f t="shared" si="35"/>
        <v>0</v>
      </c>
      <c r="AL155" s="1140"/>
      <c r="AM155" s="1179"/>
      <c r="AN155" s="662" t="s">
        <v>458</v>
      </c>
      <c r="AO155" s="175">
        <v>7</v>
      </c>
      <c r="AP155" s="175">
        <v>1</v>
      </c>
      <c r="AQ155" s="814">
        <v>3</v>
      </c>
      <c r="AR155" s="1148"/>
      <c r="AS155" s="435"/>
      <c r="AT155" s="581"/>
      <c r="AU155" s="1096"/>
      <c r="AV155" s="1096"/>
      <c r="AW155" s="702" t="s">
        <v>1660</v>
      </c>
      <c r="AX155" s="143" t="s">
        <v>1415</v>
      </c>
      <c r="AY155" s="436">
        <v>0</v>
      </c>
      <c r="AZ155" s="436">
        <v>1</v>
      </c>
      <c r="BA155" s="653"/>
      <c r="BB155" s="434"/>
      <c r="BC155" s="434"/>
      <c r="BD155" s="434"/>
      <c r="BE155" s="434"/>
      <c r="BF155" s="434"/>
      <c r="BG155" s="1101"/>
      <c r="BH155" s="1101"/>
      <c r="BI155" s="1101"/>
      <c r="BJ155" s="710">
        <v>0</v>
      </c>
    </row>
    <row r="156" spans="1:62" s="179" customFormat="1" ht="33.75" hidden="1" customHeight="1" x14ac:dyDescent="0.2">
      <c r="A156" s="173" t="s">
        <v>1110</v>
      </c>
      <c r="B156" s="191" t="s">
        <v>1230</v>
      </c>
      <c r="C156" s="75">
        <v>2019</v>
      </c>
      <c r="D156" s="75" t="s">
        <v>1265</v>
      </c>
      <c r="E156" s="84" t="s">
        <v>468</v>
      </c>
      <c r="F156" s="84" t="s">
        <v>468</v>
      </c>
      <c r="G156" s="798" t="s">
        <v>1109</v>
      </c>
      <c r="H156" s="25">
        <v>1999.77</v>
      </c>
      <c r="I156" s="25">
        <v>9</v>
      </c>
      <c r="J156" s="181">
        <v>0</v>
      </c>
      <c r="K156" s="710">
        <v>0</v>
      </c>
      <c r="L156" s="542">
        <v>0</v>
      </c>
      <c r="M156" s="374">
        <v>0</v>
      </c>
      <c r="N156" s="375">
        <v>0</v>
      </c>
      <c r="O156" s="541">
        <v>0</v>
      </c>
      <c r="P156" s="545">
        <v>0</v>
      </c>
      <c r="Q156" s="676">
        <v>0</v>
      </c>
      <c r="R156" s="376">
        <f t="shared" si="31"/>
        <v>0</v>
      </c>
      <c r="S156" s="837">
        <v>0</v>
      </c>
      <c r="T156" s="22">
        <v>0</v>
      </c>
      <c r="U156" s="26">
        <v>0</v>
      </c>
      <c r="V156" s="26"/>
      <c r="W156" s="26"/>
      <c r="X156" s="26">
        <v>0</v>
      </c>
      <c r="Y156" s="27">
        <v>0</v>
      </c>
      <c r="Z156" s="26">
        <v>1999.77</v>
      </c>
      <c r="AA156" s="714" t="s">
        <v>1579</v>
      </c>
      <c r="AB156" s="711" t="s">
        <v>1300</v>
      </c>
      <c r="AC156" s="716" t="s">
        <v>34</v>
      </c>
      <c r="AD156" s="379" t="s">
        <v>1283</v>
      </c>
      <c r="AE156" s="797" t="s">
        <v>1283</v>
      </c>
      <c r="AF156" s="722"/>
      <c r="AH156" s="516">
        <f t="shared" si="32"/>
        <v>0</v>
      </c>
      <c r="AI156" s="351">
        <f t="shared" si="33"/>
        <v>0</v>
      </c>
      <c r="AJ156" s="553">
        <f t="shared" si="34"/>
        <v>0</v>
      </c>
      <c r="AK156" s="509">
        <f t="shared" si="35"/>
        <v>0</v>
      </c>
      <c r="AL156" s="1140"/>
      <c r="AM156" s="1179"/>
      <c r="AN156" s="662" t="s">
        <v>458</v>
      </c>
      <c r="AO156" s="175">
        <v>7</v>
      </c>
      <c r="AP156" s="175">
        <v>1</v>
      </c>
      <c r="AQ156" s="814">
        <v>3</v>
      </c>
      <c r="AR156" s="1148"/>
      <c r="AS156" s="435"/>
      <c r="AT156" s="581"/>
      <c r="AU156" s="1096"/>
      <c r="AV156" s="1096"/>
      <c r="AW156" s="780" t="s">
        <v>1661</v>
      </c>
      <c r="AX156" s="192" t="s">
        <v>1391</v>
      </c>
      <c r="AY156" s="436">
        <v>1</v>
      </c>
      <c r="AZ156" s="436">
        <v>0</v>
      </c>
      <c r="BA156" s="653"/>
      <c r="BB156" s="434"/>
      <c r="BC156" s="434"/>
      <c r="BD156" s="434"/>
      <c r="BE156" s="434"/>
      <c r="BF156" s="434"/>
      <c r="BG156" s="1101"/>
      <c r="BH156" s="1101"/>
      <c r="BI156" s="1101"/>
      <c r="BJ156" s="710">
        <v>0</v>
      </c>
    </row>
    <row r="157" spans="1:62" s="179" customFormat="1" ht="31.5" hidden="1" customHeight="1" x14ac:dyDescent="0.2">
      <c r="A157" s="173" t="s">
        <v>1112</v>
      </c>
      <c r="B157" s="709" t="s">
        <v>1230</v>
      </c>
      <c r="C157" s="75">
        <v>2019</v>
      </c>
      <c r="D157" s="75" t="s">
        <v>1265</v>
      </c>
      <c r="E157" s="76" t="s">
        <v>468</v>
      </c>
      <c r="F157" s="84" t="s">
        <v>468</v>
      </c>
      <c r="G157" s="229" t="s">
        <v>1111</v>
      </c>
      <c r="H157" s="25">
        <v>7604.85</v>
      </c>
      <c r="I157" s="25">
        <v>9</v>
      </c>
      <c r="J157" s="25">
        <v>0</v>
      </c>
      <c r="K157" s="710">
        <v>0</v>
      </c>
      <c r="L157" s="542">
        <v>0</v>
      </c>
      <c r="M157" s="374">
        <v>0</v>
      </c>
      <c r="N157" s="375">
        <v>0</v>
      </c>
      <c r="O157" s="541">
        <v>0</v>
      </c>
      <c r="P157" s="545">
        <v>0</v>
      </c>
      <c r="Q157" s="676">
        <v>0</v>
      </c>
      <c r="R157" s="376">
        <f t="shared" si="31"/>
        <v>0</v>
      </c>
      <c r="S157" s="837">
        <v>0</v>
      </c>
      <c r="T157" s="22">
        <v>0</v>
      </c>
      <c r="U157" s="26">
        <v>0</v>
      </c>
      <c r="V157" s="26"/>
      <c r="W157" s="26"/>
      <c r="X157" s="27">
        <v>0</v>
      </c>
      <c r="Y157" s="44">
        <v>0</v>
      </c>
      <c r="Z157" s="27">
        <v>7604.85</v>
      </c>
      <c r="AA157" s="714" t="s">
        <v>1579</v>
      </c>
      <c r="AB157" s="711" t="s">
        <v>1300</v>
      </c>
      <c r="AC157" s="712" t="s">
        <v>1178</v>
      </c>
      <c r="AD157" s="379" t="s">
        <v>1282</v>
      </c>
      <c r="AE157" s="74" t="s">
        <v>1282</v>
      </c>
      <c r="AF157" s="722"/>
      <c r="AH157" s="516">
        <f t="shared" si="32"/>
        <v>0</v>
      </c>
      <c r="AI157" s="351">
        <f t="shared" si="33"/>
        <v>0</v>
      </c>
      <c r="AJ157" s="553">
        <f t="shared" si="34"/>
        <v>0</v>
      </c>
      <c r="AK157" s="509">
        <f t="shared" si="35"/>
        <v>0</v>
      </c>
      <c r="AL157" s="1140"/>
      <c r="AM157" s="1179"/>
      <c r="AN157" s="662" t="s">
        <v>458</v>
      </c>
      <c r="AO157" s="175">
        <v>7</v>
      </c>
      <c r="AP157" s="175">
        <v>1</v>
      </c>
      <c r="AQ157" s="814">
        <v>3</v>
      </c>
      <c r="AR157" s="1148"/>
      <c r="AS157" s="435"/>
      <c r="AT157" s="581"/>
      <c r="AU157" s="1096"/>
      <c r="AV157" s="1096"/>
      <c r="AW157" s="780" t="s">
        <v>1662</v>
      </c>
      <c r="AX157" s="192" t="s">
        <v>1416</v>
      </c>
      <c r="AY157" s="436">
        <v>0</v>
      </c>
      <c r="AZ157" s="436">
        <v>1</v>
      </c>
      <c r="BA157" s="653"/>
      <c r="BB157" s="434"/>
      <c r="BC157" s="434"/>
      <c r="BD157" s="434"/>
      <c r="BE157" s="434"/>
      <c r="BF157" s="434"/>
      <c r="BG157" s="1101"/>
      <c r="BH157" s="1101"/>
      <c r="BI157" s="1101"/>
      <c r="BJ157" s="710">
        <v>0</v>
      </c>
    </row>
    <row r="158" spans="1:62" s="179" customFormat="1" ht="39" hidden="1" thickBot="1" x14ac:dyDescent="0.25">
      <c r="A158" s="173" t="s">
        <v>1114</v>
      </c>
      <c r="B158" s="709" t="s">
        <v>1230</v>
      </c>
      <c r="C158" s="75">
        <v>2019</v>
      </c>
      <c r="D158" s="75" t="s">
        <v>1265</v>
      </c>
      <c r="E158" s="76" t="s">
        <v>468</v>
      </c>
      <c r="F158" s="84" t="s">
        <v>468</v>
      </c>
      <c r="G158" s="229" t="s">
        <v>1113</v>
      </c>
      <c r="H158" s="25">
        <v>11616</v>
      </c>
      <c r="I158" s="25">
        <v>9</v>
      </c>
      <c r="J158" s="25">
        <v>0</v>
      </c>
      <c r="K158" s="710">
        <v>0</v>
      </c>
      <c r="L158" s="542">
        <v>0</v>
      </c>
      <c r="M158" s="374">
        <v>0</v>
      </c>
      <c r="N158" s="375">
        <v>0</v>
      </c>
      <c r="O158" s="541">
        <v>0</v>
      </c>
      <c r="P158" s="545">
        <v>0</v>
      </c>
      <c r="Q158" s="676">
        <v>0</v>
      </c>
      <c r="R158" s="376">
        <f t="shared" ref="R158:R189" si="36">P158+Q158</f>
        <v>0</v>
      </c>
      <c r="S158" s="837">
        <v>0</v>
      </c>
      <c r="T158" s="22">
        <v>0</v>
      </c>
      <c r="U158" s="26">
        <v>0</v>
      </c>
      <c r="V158" s="26"/>
      <c r="W158" s="26"/>
      <c r="X158" s="27">
        <v>0</v>
      </c>
      <c r="Y158" s="44">
        <v>0</v>
      </c>
      <c r="Z158" s="27">
        <v>11616</v>
      </c>
      <c r="AA158" s="714" t="s">
        <v>1579</v>
      </c>
      <c r="AB158" s="711" t="s">
        <v>1300</v>
      </c>
      <c r="AC158" s="713" t="s">
        <v>369</v>
      </c>
      <c r="AD158" s="379" t="s">
        <v>1282</v>
      </c>
      <c r="AE158" s="74" t="s">
        <v>1282</v>
      </c>
      <c r="AF158" s="722"/>
      <c r="AH158" s="516">
        <f t="shared" ref="AH158:AH190" si="37">H158-J158-R158-S158-U158-X158-Y158-Z158</f>
        <v>0</v>
      </c>
      <c r="AI158" s="351">
        <f t="shared" ref="AI158:AI190" si="38">R158-P158-Q158</f>
        <v>0</v>
      </c>
      <c r="AJ158" s="553">
        <f t="shared" ref="AJ158:AJ190" si="39">K158-R158</f>
        <v>0</v>
      </c>
      <c r="AK158" s="509">
        <f t="shared" ref="AK158:AK190" si="40">R158+S158-L158-M158-N158-O158</f>
        <v>0</v>
      </c>
      <c r="AL158" s="1140"/>
      <c r="AM158" s="1179"/>
      <c r="AN158" s="662" t="s">
        <v>458</v>
      </c>
      <c r="AO158" s="175">
        <v>7</v>
      </c>
      <c r="AP158" s="175">
        <v>1</v>
      </c>
      <c r="AQ158" s="814">
        <v>3</v>
      </c>
      <c r="AR158" s="1148"/>
      <c r="AS158" s="435"/>
      <c r="AT158" s="581"/>
      <c r="AU158" s="1096"/>
      <c r="AV158" s="1096"/>
      <c r="AW158" s="780" t="s">
        <v>1662</v>
      </c>
      <c r="AX158" s="192" t="s">
        <v>1416</v>
      </c>
      <c r="AY158" s="436">
        <v>0</v>
      </c>
      <c r="AZ158" s="436">
        <v>1</v>
      </c>
      <c r="BA158" s="653"/>
      <c r="BB158" s="434"/>
      <c r="BC158" s="434"/>
      <c r="BD158" s="434"/>
      <c r="BE158" s="434"/>
      <c r="BF158" s="434"/>
      <c r="BG158" s="1101"/>
      <c r="BH158" s="1101"/>
      <c r="BI158" s="1101"/>
      <c r="BJ158" s="710">
        <v>0</v>
      </c>
    </row>
    <row r="159" spans="1:62" s="179" customFormat="1" ht="39" hidden="1" thickBot="1" x14ac:dyDescent="0.25">
      <c r="A159" s="173" t="s">
        <v>1116</v>
      </c>
      <c r="B159" s="709" t="s">
        <v>1230</v>
      </c>
      <c r="C159" s="75">
        <v>2019</v>
      </c>
      <c r="D159" s="75" t="s">
        <v>1265</v>
      </c>
      <c r="E159" s="76" t="s">
        <v>468</v>
      </c>
      <c r="F159" s="84" t="s">
        <v>468</v>
      </c>
      <c r="G159" s="229" t="s">
        <v>1115</v>
      </c>
      <c r="H159" s="25">
        <v>4533.2</v>
      </c>
      <c r="I159" s="25">
        <v>9</v>
      </c>
      <c r="J159" s="25">
        <v>0</v>
      </c>
      <c r="K159" s="710">
        <v>0</v>
      </c>
      <c r="L159" s="542">
        <v>0</v>
      </c>
      <c r="M159" s="374">
        <v>0</v>
      </c>
      <c r="N159" s="375">
        <v>0</v>
      </c>
      <c r="O159" s="541">
        <v>0</v>
      </c>
      <c r="P159" s="545">
        <v>0</v>
      </c>
      <c r="Q159" s="676">
        <v>0</v>
      </c>
      <c r="R159" s="376">
        <f t="shared" si="36"/>
        <v>0</v>
      </c>
      <c r="S159" s="837">
        <v>0</v>
      </c>
      <c r="T159" s="22">
        <v>0</v>
      </c>
      <c r="U159" s="26">
        <v>0</v>
      </c>
      <c r="V159" s="26"/>
      <c r="W159" s="26"/>
      <c r="X159" s="27">
        <v>0</v>
      </c>
      <c r="Y159" s="44">
        <v>0</v>
      </c>
      <c r="Z159" s="27">
        <v>4533.2</v>
      </c>
      <c r="AA159" s="714" t="s">
        <v>1579</v>
      </c>
      <c r="AB159" s="711" t="s">
        <v>1300</v>
      </c>
      <c r="AC159" s="713" t="s">
        <v>369</v>
      </c>
      <c r="AD159" s="379" t="s">
        <v>1282</v>
      </c>
      <c r="AE159" s="74" t="s">
        <v>1282</v>
      </c>
      <c r="AF159" s="722"/>
      <c r="AH159" s="516">
        <f t="shared" si="37"/>
        <v>0</v>
      </c>
      <c r="AI159" s="351">
        <f t="shared" si="38"/>
        <v>0</v>
      </c>
      <c r="AJ159" s="553">
        <f t="shared" si="39"/>
        <v>0</v>
      </c>
      <c r="AK159" s="509">
        <f t="shared" si="40"/>
        <v>0</v>
      </c>
      <c r="AL159" s="1140"/>
      <c r="AM159" s="1179"/>
      <c r="AN159" s="662" t="s">
        <v>458</v>
      </c>
      <c r="AO159" s="175">
        <v>7</v>
      </c>
      <c r="AP159" s="175">
        <v>1</v>
      </c>
      <c r="AQ159" s="814">
        <v>3</v>
      </c>
      <c r="AR159" s="1148"/>
      <c r="AS159" s="435"/>
      <c r="AT159" s="581"/>
      <c r="AU159" s="1096"/>
      <c r="AV159" s="1096"/>
      <c r="AW159" s="780" t="s">
        <v>1662</v>
      </c>
      <c r="AX159" s="192" t="s">
        <v>1416</v>
      </c>
      <c r="AY159" s="436">
        <v>0</v>
      </c>
      <c r="AZ159" s="436">
        <v>1</v>
      </c>
      <c r="BA159" s="653"/>
      <c r="BB159" s="434"/>
      <c r="BC159" s="434"/>
      <c r="BD159" s="434"/>
      <c r="BE159" s="434"/>
      <c r="BF159" s="434"/>
      <c r="BG159" s="1101"/>
      <c r="BH159" s="1101"/>
      <c r="BI159" s="1101"/>
      <c r="BJ159" s="710">
        <v>0</v>
      </c>
    </row>
    <row r="160" spans="1:62" s="179" customFormat="1" ht="39" hidden="1" thickBot="1" x14ac:dyDescent="0.25">
      <c r="A160" s="173" t="s">
        <v>1118</v>
      </c>
      <c r="B160" s="709" t="s">
        <v>1230</v>
      </c>
      <c r="C160" s="75">
        <v>2019</v>
      </c>
      <c r="D160" s="75" t="s">
        <v>1265</v>
      </c>
      <c r="E160" s="76" t="s">
        <v>468</v>
      </c>
      <c r="F160" s="84" t="s">
        <v>468</v>
      </c>
      <c r="G160" s="229" t="s">
        <v>1117</v>
      </c>
      <c r="H160" s="25">
        <v>3815</v>
      </c>
      <c r="I160" s="25">
        <v>9</v>
      </c>
      <c r="J160" s="25">
        <v>0</v>
      </c>
      <c r="K160" s="710">
        <v>0</v>
      </c>
      <c r="L160" s="542">
        <v>0</v>
      </c>
      <c r="M160" s="374">
        <v>0</v>
      </c>
      <c r="N160" s="375">
        <v>0</v>
      </c>
      <c r="O160" s="541">
        <v>0</v>
      </c>
      <c r="P160" s="545">
        <v>0</v>
      </c>
      <c r="Q160" s="676">
        <v>0</v>
      </c>
      <c r="R160" s="376">
        <f t="shared" si="36"/>
        <v>0</v>
      </c>
      <c r="S160" s="837">
        <v>0</v>
      </c>
      <c r="T160" s="22">
        <v>0</v>
      </c>
      <c r="U160" s="26">
        <v>0</v>
      </c>
      <c r="V160" s="26"/>
      <c r="W160" s="26"/>
      <c r="X160" s="27">
        <v>0</v>
      </c>
      <c r="Y160" s="44">
        <v>0</v>
      </c>
      <c r="Z160" s="27">
        <v>3815</v>
      </c>
      <c r="AA160" s="714" t="s">
        <v>1579</v>
      </c>
      <c r="AB160" s="711" t="s">
        <v>1300</v>
      </c>
      <c r="AC160" s="713" t="s">
        <v>369</v>
      </c>
      <c r="AD160" s="379" t="s">
        <v>1282</v>
      </c>
      <c r="AE160" s="74" t="s">
        <v>1282</v>
      </c>
      <c r="AF160" s="722"/>
      <c r="AH160" s="516">
        <f t="shared" si="37"/>
        <v>0</v>
      </c>
      <c r="AI160" s="351">
        <f t="shared" si="38"/>
        <v>0</v>
      </c>
      <c r="AJ160" s="553">
        <f t="shared" si="39"/>
        <v>0</v>
      </c>
      <c r="AK160" s="509">
        <f t="shared" si="40"/>
        <v>0</v>
      </c>
      <c r="AL160" s="1140"/>
      <c r="AM160" s="1179"/>
      <c r="AN160" s="662" t="s">
        <v>458</v>
      </c>
      <c r="AO160" s="175">
        <v>7</v>
      </c>
      <c r="AP160" s="175">
        <v>1</v>
      </c>
      <c r="AQ160" s="814">
        <v>3</v>
      </c>
      <c r="AR160" s="1148"/>
      <c r="AS160" s="435"/>
      <c r="AT160" s="581"/>
      <c r="AU160" s="1096"/>
      <c r="AV160" s="1096"/>
      <c r="AW160" s="780" t="s">
        <v>1662</v>
      </c>
      <c r="AX160" s="192" t="s">
        <v>1416</v>
      </c>
      <c r="AY160" s="436">
        <v>0</v>
      </c>
      <c r="AZ160" s="436">
        <v>1</v>
      </c>
      <c r="BA160" s="653"/>
      <c r="BB160" s="434"/>
      <c r="BC160" s="434"/>
      <c r="BD160" s="434"/>
      <c r="BE160" s="434"/>
      <c r="BF160" s="434"/>
      <c r="BG160" s="1101"/>
      <c r="BH160" s="1101"/>
      <c r="BI160" s="1101"/>
      <c r="BJ160" s="710">
        <v>0</v>
      </c>
    </row>
    <row r="161" spans="1:62" s="179" customFormat="1" ht="39" hidden="1" thickBot="1" x14ac:dyDescent="0.25">
      <c r="A161" s="173" t="s">
        <v>1120</v>
      </c>
      <c r="B161" s="709" t="s">
        <v>1230</v>
      </c>
      <c r="C161" s="75">
        <v>2019</v>
      </c>
      <c r="D161" s="75" t="s">
        <v>1265</v>
      </c>
      <c r="E161" s="76" t="s">
        <v>468</v>
      </c>
      <c r="F161" s="84" t="s">
        <v>468</v>
      </c>
      <c r="G161" s="229" t="s">
        <v>1119</v>
      </c>
      <c r="H161" s="25">
        <v>5226.8</v>
      </c>
      <c r="I161" s="25">
        <v>9</v>
      </c>
      <c r="J161" s="25">
        <v>0</v>
      </c>
      <c r="K161" s="710">
        <v>0</v>
      </c>
      <c r="L161" s="542">
        <v>0</v>
      </c>
      <c r="M161" s="374">
        <v>0</v>
      </c>
      <c r="N161" s="375">
        <v>0</v>
      </c>
      <c r="O161" s="541">
        <v>0</v>
      </c>
      <c r="P161" s="545">
        <v>0</v>
      </c>
      <c r="Q161" s="676">
        <v>0</v>
      </c>
      <c r="R161" s="376">
        <f t="shared" si="36"/>
        <v>0</v>
      </c>
      <c r="S161" s="837">
        <v>0</v>
      </c>
      <c r="T161" s="22">
        <v>0</v>
      </c>
      <c r="U161" s="26">
        <v>0</v>
      </c>
      <c r="V161" s="26"/>
      <c r="W161" s="26"/>
      <c r="X161" s="27">
        <v>0</v>
      </c>
      <c r="Y161" s="44">
        <v>0</v>
      </c>
      <c r="Z161" s="27">
        <v>5226.8</v>
      </c>
      <c r="AA161" s="714" t="s">
        <v>1579</v>
      </c>
      <c r="AB161" s="711" t="s">
        <v>1300</v>
      </c>
      <c r="AC161" s="713" t="s">
        <v>369</v>
      </c>
      <c r="AD161" s="379" t="s">
        <v>1282</v>
      </c>
      <c r="AE161" s="74" t="s">
        <v>1282</v>
      </c>
      <c r="AF161" s="722"/>
      <c r="AH161" s="516">
        <f t="shared" si="37"/>
        <v>0</v>
      </c>
      <c r="AI161" s="351">
        <f t="shared" si="38"/>
        <v>0</v>
      </c>
      <c r="AJ161" s="553">
        <f t="shared" si="39"/>
        <v>0</v>
      </c>
      <c r="AK161" s="509">
        <f t="shared" si="40"/>
        <v>0</v>
      </c>
      <c r="AL161" s="1140"/>
      <c r="AM161" s="1179"/>
      <c r="AN161" s="662" t="s">
        <v>458</v>
      </c>
      <c r="AO161" s="175">
        <v>7</v>
      </c>
      <c r="AP161" s="175">
        <v>1</v>
      </c>
      <c r="AQ161" s="814">
        <v>3</v>
      </c>
      <c r="AR161" s="1148"/>
      <c r="AS161" s="435"/>
      <c r="AT161" s="581"/>
      <c r="AU161" s="1096"/>
      <c r="AV161" s="1096"/>
      <c r="AW161" s="780" t="s">
        <v>1662</v>
      </c>
      <c r="AX161" s="192" t="s">
        <v>1416</v>
      </c>
      <c r="AY161" s="436">
        <v>0</v>
      </c>
      <c r="AZ161" s="436">
        <v>1</v>
      </c>
      <c r="BA161" s="653"/>
      <c r="BB161" s="434"/>
      <c r="BC161" s="434"/>
      <c r="BD161" s="434"/>
      <c r="BE161" s="434"/>
      <c r="BF161" s="434"/>
      <c r="BG161" s="1101"/>
      <c r="BH161" s="1101"/>
      <c r="BI161" s="1101"/>
      <c r="BJ161" s="710">
        <v>0</v>
      </c>
    </row>
    <row r="162" spans="1:62" s="179" customFormat="1" ht="40.5" hidden="1" customHeight="1" x14ac:dyDescent="0.2">
      <c r="A162" s="173" t="s">
        <v>1122</v>
      </c>
      <c r="B162" s="709" t="s">
        <v>1230</v>
      </c>
      <c r="C162" s="75">
        <v>2019</v>
      </c>
      <c r="D162" s="75" t="s">
        <v>1265</v>
      </c>
      <c r="E162" s="76" t="s">
        <v>468</v>
      </c>
      <c r="F162" s="84" t="s">
        <v>468</v>
      </c>
      <c r="G162" s="229" t="s">
        <v>1121</v>
      </c>
      <c r="H162" s="25">
        <v>3630</v>
      </c>
      <c r="I162" s="25">
        <v>9</v>
      </c>
      <c r="J162" s="25">
        <v>0</v>
      </c>
      <c r="K162" s="710">
        <v>0</v>
      </c>
      <c r="L162" s="542">
        <v>0</v>
      </c>
      <c r="M162" s="374">
        <v>0</v>
      </c>
      <c r="N162" s="375">
        <v>0</v>
      </c>
      <c r="O162" s="541">
        <v>0</v>
      </c>
      <c r="P162" s="545">
        <v>0</v>
      </c>
      <c r="Q162" s="676">
        <v>0</v>
      </c>
      <c r="R162" s="376">
        <f t="shared" si="36"/>
        <v>0</v>
      </c>
      <c r="S162" s="837">
        <v>0</v>
      </c>
      <c r="T162" s="22">
        <v>0</v>
      </c>
      <c r="U162" s="26">
        <v>0</v>
      </c>
      <c r="V162" s="26"/>
      <c r="W162" s="26"/>
      <c r="X162" s="27">
        <v>0</v>
      </c>
      <c r="Y162" s="44">
        <v>0</v>
      </c>
      <c r="Z162" s="27">
        <v>3630</v>
      </c>
      <c r="AA162" s="432" t="s">
        <v>1615</v>
      </c>
      <c r="AB162" s="711" t="s">
        <v>1300</v>
      </c>
      <c r="AC162" s="712" t="s">
        <v>847</v>
      </c>
      <c r="AD162" s="379" t="s">
        <v>1283</v>
      </c>
      <c r="AE162" s="797" t="s">
        <v>1283</v>
      </c>
      <c r="AF162" s="722"/>
      <c r="AH162" s="516">
        <f t="shared" si="37"/>
        <v>0</v>
      </c>
      <c r="AI162" s="351">
        <f t="shared" si="38"/>
        <v>0</v>
      </c>
      <c r="AJ162" s="553">
        <f t="shared" si="39"/>
        <v>0</v>
      </c>
      <c r="AK162" s="509">
        <f t="shared" si="40"/>
        <v>0</v>
      </c>
      <c r="AL162" s="1140"/>
      <c r="AM162" s="1179"/>
      <c r="AN162" s="662" t="s">
        <v>458</v>
      </c>
      <c r="AO162" s="175">
        <v>7</v>
      </c>
      <c r="AP162" s="175">
        <v>1</v>
      </c>
      <c r="AQ162" s="814">
        <v>3</v>
      </c>
      <c r="AR162" s="1148"/>
      <c r="AS162" s="435"/>
      <c r="AT162" s="581"/>
      <c r="AU162" s="1096"/>
      <c r="AV162" s="1096"/>
      <c r="AW162" s="702" t="s">
        <v>1663</v>
      </c>
      <c r="AX162" s="718" t="s">
        <v>1417</v>
      </c>
      <c r="AY162" s="436">
        <v>1</v>
      </c>
      <c r="AZ162" s="436">
        <v>0</v>
      </c>
      <c r="BA162" s="653"/>
      <c r="BB162" s="434"/>
      <c r="BC162" s="434"/>
      <c r="BD162" s="434"/>
      <c r="BE162" s="434"/>
      <c r="BF162" s="434"/>
      <c r="BG162" s="1101"/>
      <c r="BH162" s="1101"/>
      <c r="BI162" s="1101"/>
      <c r="BJ162" s="710">
        <v>0</v>
      </c>
    </row>
    <row r="163" spans="1:62" s="179" customFormat="1" ht="32.25" hidden="1" customHeight="1" x14ac:dyDescent="0.2">
      <c r="A163" s="173" t="s">
        <v>1124</v>
      </c>
      <c r="B163" s="709" t="s">
        <v>1230</v>
      </c>
      <c r="C163" s="75">
        <v>2019</v>
      </c>
      <c r="D163" s="75" t="s">
        <v>1265</v>
      </c>
      <c r="E163" s="76" t="s">
        <v>468</v>
      </c>
      <c r="F163" s="84" t="s">
        <v>468</v>
      </c>
      <c r="G163" s="229" t="s">
        <v>1123</v>
      </c>
      <c r="H163" s="25">
        <v>2373.1999999999998</v>
      </c>
      <c r="I163" s="25">
        <v>9</v>
      </c>
      <c r="J163" s="25">
        <v>0</v>
      </c>
      <c r="K163" s="710">
        <v>0</v>
      </c>
      <c r="L163" s="542">
        <v>0</v>
      </c>
      <c r="M163" s="374">
        <v>0</v>
      </c>
      <c r="N163" s="375">
        <v>0</v>
      </c>
      <c r="O163" s="541">
        <v>0</v>
      </c>
      <c r="P163" s="545">
        <v>0</v>
      </c>
      <c r="Q163" s="676">
        <v>0</v>
      </c>
      <c r="R163" s="376">
        <f t="shared" si="36"/>
        <v>0</v>
      </c>
      <c r="S163" s="837">
        <v>0</v>
      </c>
      <c r="T163" s="22">
        <v>0</v>
      </c>
      <c r="U163" s="26">
        <v>0</v>
      </c>
      <c r="V163" s="26"/>
      <c r="W163" s="26"/>
      <c r="X163" s="27">
        <v>0</v>
      </c>
      <c r="Y163" s="44">
        <v>0</v>
      </c>
      <c r="Z163" s="27">
        <v>2373.1999999999998</v>
      </c>
      <c r="AA163" s="714" t="s">
        <v>1579</v>
      </c>
      <c r="AB163" s="711" t="s">
        <v>1300</v>
      </c>
      <c r="AC163" s="712" t="s">
        <v>384</v>
      </c>
      <c r="AD163" s="379" t="s">
        <v>1283</v>
      </c>
      <c r="AE163" s="797" t="s">
        <v>1283</v>
      </c>
      <c r="AF163" s="722"/>
      <c r="AH163" s="516">
        <f t="shared" si="37"/>
        <v>0</v>
      </c>
      <c r="AI163" s="351">
        <f t="shared" si="38"/>
        <v>0</v>
      </c>
      <c r="AJ163" s="553">
        <f t="shared" si="39"/>
        <v>0</v>
      </c>
      <c r="AK163" s="509">
        <f t="shared" si="40"/>
        <v>0</v>
      </c>
      <c r="AL163" s="1140"/>
      <c r="AM163" s="1179"/>
      <c r="AN163" s="662" t="s">
        <v>458</v>
      </c>
      <c r="AO163" s="175">
        <v>7</v>
      </c>
      <c r="AP163" s="175">
        <v>1</v>
      </c>
      <c r="AQ163" s="814">
        <v>3</v>
      </c>
      <c r="AR163" s="1148"/>
      <c r="AS163" s="435"/>
      <c r="AT163" s="581"/>
      <c r="AU163" s="1096"/>
      <c r="AV163" s="1096"/>
      <c r="AW163" s="780" t="s">
        <v>1656</v>
      </c>
      <c r="AX163" s="192" t="s">
        <v>1418</v>
      </c>
      <c r="AY163" s="436">
        <v>1</v>
      </c>
      <c r="AZ163" s="436">
        <v>0</v>
      </c>
      <c r="BA163" s="653"/>
      <c r="BB163" s="434"/>
      <c r="BC163" s="434"/>
      <c r="BD163" s="434"/>
      <c r="BE163" s="434"/>
      <c r="BF163" s="434"/>
      <c r="BG163" s="1101"/>
      <c r="BH163" s="1101"/>
      <c r="BI163" s="1101"/>
      <c r="BJ163" s="710">
        <v>0</v>
      </c>
    </row>
    <row r="164" spans="1:62" s="179" customFormat="1" ht="49.5" hidden="1" customHeight="1" x14ac:dyDescent="0.2">
      <c r="A164" s="173" t="s">
        <v>1126</v>
      </c>
      <c r="B164" s="709" t="s">
        <v>1230</v>
      </c>
      <c r="C164" s="75">
        <v>2019</v>
      </c>
      <c r="D164" s="75" t="s">
        <v>1265</v>
      </c>
      <c r="E164" s="76" t="s">
        <v>468</v>
      </c>
      <c r="F164" s="84" t="s">
        <v>468</v>
      </c>
      <c r="G164" s="229" t="s">
        <v>1125</v>
      </c>
      <c r="H164" s="25">
        <v>38755</v>
      </c>
      <c r="I164" s="25">
        <v>9</v>
      </c>
      <c r="J164" s="25">
        <v>0</v>
      </c>
      <c r="K164" s="710">
        <v>0</v>
      </c>
      <c r="L164" s="542">
        <v>0</v>
      </c>
      <c r="M164" s="374">
        <v>0</v>
      </c>
      <c r="N164" s="375">
        <v>0</v>
      </c>
      <c r="O164" s="541">
        <v>0</v>
      </c>
      <c r="P164" s="545">
        <v>0</v>
      </c>
      <c r="Q164" s="676">
        <v>0</v>
      </c>
      <c r="R164" s="376">
        <f t="shared" si="36"/>
        <v>0</v>
      </c>
      <c r="S164" s="837">
        <v>0</v>
      </c>
      <c r="T164" s="22">
        <v>0</v>
      </c>
      <c r="U164" s="26">
        <v>15502</v>
      </c>
      <c r="V164" s="26"/>
      <c r="W164" s="26"/>
      <c r="X164" s="27">
        <v>0</v>
      </c>
      <c r="Y164" s="44">
        <v>0</v>
      </c>
      <c r="Z164" s="27">
        <v>23253</v>
      </c>
      <c r="AA164" s="432" t="s">
        <v>1616</v>
      </c>
      <c r="AB164" s="711" t="s">
        <v>1300</v>
      </c>
      <c r="AC164" s="713" t="s">
        <v>369</v>
      </c>
      <c r="AD164" s="379" t="s">
        <v>1282</v>
      </c>
      <c r="AE164" s="74" t="s">
        <v>1282</v>
      </c>
      <c r="AF164" s="722"/>
      <c r="AH164" s="516">
        <f t="shared" si="37"/>
        <v>0</v>
      </c>
      <c r="AI164" s="351">
        <f t="shared" si="38"/>
        <v>0</v>
      </c>
      <c r="AJ164" s="553">
        <f t="shared" si="39"/>
        <v>0</v>
      </c>
      <c r="AK164" s="509">
        <f t="shared" si="40"/>
        <v>0</v>
      </c>
      <c r="AL164" s="1140"/>
      <c r="AM164" s="1179"/>
      <c r="AN164" s="662" t="s">
        <v>458</v>
      </c>
      <c r="AO164" s="175">
        <v>7</v>
      </c>
      <c r="AP164" s="175">
        <v>1</v>
      </c>
      <c r="AQ164" s="814">
        <v>3</v>
      </c>
      <c r="AR164" s="1148"/>
      <c r="AS164" s="435"/>
      <c r="AT164" s="581"/>
      <c r="AU164" s="1096"/>
      <c r="AV164" s="1096"/>
      <c r="AW164" s="702" t="s">
        <v>1664</v>
      </c>
      <c r="AX164" s="718" t="s">
        <v>1419</v>
      </c>
      <c r="AY164" s="436">
        <v>0</v>
      </c>
      <c r="AZ164" s="436">
        <v>1</v>
      </c>
      <c r="BA164" s="653"/>
      <c r="BB164" s="434">
        <v>9</v>
      </c>
      <c r="BC164" s="434"/>
      <c r="BD164" s="434"/>
      <c r="BE164" s="434"/>
      <c r="BF164" s="434"/>
      <c r="BG164" s="1101"/>
      <c r="BH164" s="1101"/>
      <c r="BI164" s="1101"/>
      <c r="BJ164" s="710">
        <v>0</v>
      </c>
    </row>
    <row r="165" spans="1:62" s="179" customFormat="1" ht="44.25" hidden="1" customHeight="1" x14ac:dyDescent="0.2">
      <c r="A165" s="173" t="s">
        <v>1128</v>
      </c>
      <c r="B165" s="709" t="s">
        <v>1230</v>
      </c>
      <c r="C165" s="75">
        <v>2019</v>
      </c>
      <c r="D165" s="75" t="s">
        <v>1265</v>
      </c>
      <c r="E165" s="76" t="s">
        <v>468</v>
      </c>
      <c r="F165" s="84" t="s">
        <v>468</v>
      </c>
      <c r="G165" s="229" t="s">
        <v>1127</v>
      </c>
      <c r="H165" s="25">
        <v>12245</v>
      </c>
      <c r="I165" s="25">
        <v>9</v>
      </c>
      <c r="J165" s="25">
        <v>0</v>
      </c>
      <c r="K165" s="710">
        <v>0</v>
      </c>
      <c r="L165" s="542">
        <v>0</v>
      </c>
      <c r="M165" s="374">
        <v>0</v>
      </c>
      <c r="N165" s="375">
        <v>0</v>
      </c>
      <c r="O165" s="541">
        <v>0</v>
      </c>
      <c r="P165" s="545">
        <v>0</v>
      </c>
      <c r="Q165" s="676">
        <v>0</v>
      </c>
      <c r="R165" s="376">
        <f t="shared" si="36"/>
        <v>0</v>
      </c>
      <c r="S165" s="837">
        <v>0</v>
      </c>
      <c r="T165" s="22">
        <v>0</v>
      </c>
      <c r="U165" s="26">
        <v>4898</v>
      </c>
      <c r="V165" s="26"/>
      <c r="W165" s="26"/>
      <c r="X165" s="27">
        <v>0</v>
      </c>
      <c r="Y165" s="44">
        <v>0</v>
      </c>
      <c r="Z165" s="27">
        <v>7347</v>
      </c>
      <c r="AA165" s="432" t="s">
        <v>1617</v>
      </c>
      <c r="AB165" s="711" t="s">
        <v>1300</v>
      </c>
      <c r="AC165" s="713" t="s">
        <v>369</v>
      </c>
      <c r="AD165" s="379" t="s">
        <v>1282</v>
      </c>
      <c r="AE165" s="74" t="s">
        <v>1282</v>
      </c>
      <c r="AF165" s="722"/>
      <c r="AH165" s="516">
        <f t="shared" si="37"/>
        <v>0</v>
      </c>
      <c r="AI165" s="351">
        <f t="shared" si="38"/>
        <v>0</v>
      </c>
      <c r="AJ165" s="553">
        <f t="shared" si="39"/>
        <v>0</v>
      </c>
      <c r="AK165" s="509">
        <f t="shared" si="40"/>
        <v>0</v>
      </c>
      <c r="AL165" s="1140"/>
      <c r="AM165" s="1179"/>
      <c r="AN165" s="662" t="s">
        <v>458</v>
      </c>
      <c r="AO165" s="175">
        <v>7</v>
      </c>
      <c r="AP165" s="175">
        <v>1</v>
      </c>
      <c r="AQ165" s="814">
        <v>3</v>
      </c>
      <c r="AR165" s="1148"/>
      <c r="AS165" s="435"/>
      <c r="AT165" s="581"/>
      <c r="AU165" s="1096"/>
      <c r="AV165" s="1096"/>
      <c r="AW165" s="702" t="s">
        <v>1665</v>
      </c>
      <c r="AX165" s="718" t="s">
        <v>1419</v>
      </c>
      <c r="AY165" s="436">
        <v>0</v>
      </c>
      <c r="AZ165" s="436">
        <v>1</v>
      </c>
      <c r="BA165" s="653"/>
      <c r="BB165" s="434">
        <v>9</v>
      </c>
      <c r="BC165" s="434"/>
      <c r="BD165" s="434"/>
      <c r="BE165" s="434"/>
      <c r="BF165" s="434"/>
      <c r="BG165" s="1101"/>
      <c r="BH165" s="1101"/>
      <c r="BI165" s="1101"/>
      <c r="BJ165" s="710">
        <v>0</v>
      </c>
    </row>
    <row r="166" spans="1:62" s="179" customFormat="1" ht="41.25" hidden="1" customHeight="1" x14ac:dyDescent="0.2">
      <c r="A166" s="173" t="s">
        <v>1130</v>
      </c>
      <c r="B166" s="709" t="s">
        <v>1230</v>
      </c>
      <c r="C166" s="75">
        <v>2019</v>
      </c>
      <c r="D166" s="75" t="s">
        <v>1265</v>
      </c>
      <c r="E166" s="76" t="s">
        <v>468</v>
      </c>
      <c r="F166" s="84" t="s">
        <v>468</v>
      </c>
      <c r="G166" s="229" t="s">
        <v>1129</v>
      </c>
      <c r="H166" s="25">
        <v>14020</v>
      </c>
      <c r="I166" s="25">
        <v>9</v>
      </c>
      <c r="J166" s="25">
        <v>0</v>
      </c>
      <c r="K166" s="710">
        <v>0</v>
      </c>
      <c r="L166" s="542">
        <v>0</v>
      </c>
      <c r="M166" s="374">
        <v>0</v>
      </c>
      <c r="N166" s="375">
        <v>0</v>
      </c>
      <c r="O166" s="541">
        <v>0</v>
      </c>
      <c r="P166" s="545">
        <v>0</v>
      </c>
      <c r="Q166" s="676">
        <v>0</v>
      </c>
      <c r="R166" s="376">
        <f t="shared" si="36"/>
        <v>0</v>
      </c>
      <c r="S166" s="837">
        <v>0</v>
      </c>
      <c r="T166" s="22">
        <v>0</v>
      </c>
      <c r="U166" s="26">
        <v>0</v>
      </c>
      <c r="V166" s="26"/>
      <c r="W166" s="26"/>
      <c r="X166" s="27">
        <v>0</v>
      </c>
      <c r="Y166" s="44">
        <v>0</v>
      </c>
      <c r="Z166" s="27">
        <v>14020</v>
      </c>
      <c r="AA166" s="432" t="s">
        <v>1619</v>
      </c>
      <c r="AB166" s="711" t="s">
        <v>1300</v>
      </c>
      <c r="AC166" s="712" t="s">
        <v>846</v>
      </c>
      <c r="AD166" s="379" t="s">
        <v>1282</v>
      </c>
      <c r="AE166" s="74" t="s">
        <v>1282</v>
      </c>
      <c r="AF166" s="722"/>
      <c r="AH166" s="516">
        <f t="shared" si="37"/>
        <v>0</v>
      </c>
      <c r="AI166" s="351">
        <f t="shared" si="38"/>
        <v>0</v>
      </c>
      <c r="AJ166" s="553">
        <f t="shared" si="39"/>
        <v>0</v>
      </c>
      <c r="AK166" s="509">
        <f t="shared" si="40"/>
        <v>0</v>
      </c>
      <c r="AL166" s="1140"/>
      <c r="AM166" s="1179"/>
      <c r="AN166" s="662" t="s">
        <v>458</v>
      </c>
      <c r="AO166" s="175">
        <v>7</v>
      </c>
      <c r="AP166" s="175">
        <v>1</v>
      </c>
      <c r="AQ166" s="814">
        <v>3</v>
      </c>
      <c r="AR166" s="1148"/>
      <c r="AS166" s="435"/>
      <c r="AT166" s="581"/>
      <c r="AU166" s="1096"/>
      <c r="AV166" s="1096"/>
      <c r="AW166" s="702" t="s">
        <v>1666</v>
      </c>
      <c r="AX166" s="143" t="s">
        <v>1598</v>
      </c>
      <c r="AY166" s="436">
        <v>0</v>
      </c>
      <c r="AZ166" s="436">
        <v>1</v>
      </c>
      <c r="BA166" s="653"/>
      <c r="BB166" s="434" t="s">
        <v>1443</v>
      </c>
      <c r="BC166" s="434"/>
      <c r="BD166" s="434"/>
      <c r="BE166" s="434"/>
      <c r="BF166" s="434"/>
      <c r="BG166" s="1101"/>
      <c r="BH166" s="1101"/>
      <c r="BI166" s="1101"/>
      <c r="BJ166" s="710">
        <v>0</v>
      </c>
    </row>
    <row r="167" spans="1:62" s="179" customFormat="1" ht="41.25" hidden="1" customHeight="1" x14ac:dyDescent="0.2">
      <c r="A167" s="173" t="s">
        <v>1132</v>
      </c>
      <c r="B167" s="709" t="s">
        <v>1230</v>
      </c>
      <c r="C167" s="75">
        <v>2019</v>
      </c>
      <c r="D167" s="75" t="s">
        <v>1265</v>
      </c>
      <c r="E167" s="76" t="s">
        <v>468</v>
      </c>
      <c r="F167" s="84" t="s">
        <v>468</v>
      </c>
      <c r="G167" s="229" t="s">
        <v>1129</v>
      </c>
      <c r="H167" s="25">
        <v>6980</v>
      </c>
      <c r="I167" s="25">
        <v>9</v>
      </c>
      <c r="J167" s="25">
        <v>0</v>
      </c>
      <c r="K167" s="710">
        <v>0</v>
      </c>
      <c r="L167" s="542">
        <v>0</v>
      </c>
      <c r="M167" s="374">
        <v>0</v>
      </c>
      <c r="N167" s="375">
        <v>0</v>
      </c>
      <c r="O167" s="541">
        <v>0</v>
      </c>
      <c r="P167" s="545">
        <v>0</v>
      </c>
      <c r="Q167" s="676">
        <v>0</v>
      </c>
      <c r="R167" s="376">
        <f t="shared" si="36"/>
        <v>0</v>
      </c>
      <c r="S167" s="837">
        <v>0</v>
      </c>
      <c r="T167" s="22">
        <v>0</v>
      </c>
      <c r="U167" s="26">
        <v>0</v>
      </c>
      <c r="V167" s="26"/>
      <c r="W167" s="26"/>
      <c r="X167" s="27">
        <v>0</v>
      </c>
      <c r="Y167" s="44">
        <v>0</v>
      </c>
      <c r="Z167" s="27">
        <v>6980</v>
      </c>
      <c r="AA167" s="432" t="s">
        <v>1620</v>
      </c>
      <c r="AB167" s="711" t="s">
        <v>1300</v>
      </c>
      <c r="AC167" s="712" t="s">
        <v>846</v>
      </c>
      <c r="AD167" s="379" t="s">
        <v>1282</v>
      </c>
      <c r="AE167" s="74" t="s">
        <v>1282</v>
      </c>
      <c r="AF167" s="722"/>
      <c r="AH167" s="516">
        <f t="shared" si="37"/>
        <v>0</v>
      </c>
      <c r="AI167" s="351">
        <f t="shared" si="38"/>
        <v>0</v>
      </c>
      <c r="AJ167" s="553">
        <f t="shared" si="39"/>
        <v>0</v>
      </c>
      <c r="AK167" s="509">
        <f t="shared" si="40"/>
        <v>0</v>
      </c>
      <c r="AL167" s="1140"/>
      <c r="AM167" s="1179"/>
      <c r="AN167" s="662" t="s">
        <v>458</v>
      </c>
      <c r="AO167" s="175">
        <v>7</v>
      </c>
      <c r="AP167" s="175">
        <v>1</v>
      </c>
      <c r="AQ167" s="814">
        <v>3</v>
      </c>
      <c r="AR167" s="1148"/>
      <c r="AS167" s="435"/>
      <c r="AT167" s="581"/>
      <c r="AU167" s="1096"/>
      <c r="AV167" s="1096"/>
      <c r="AW167" s="702" t="s">
        <v>1667</v>
      </c>
      <c r="AX167" s="143" t="s">
        <v>1599</v>
      </c>
      <c r="AY167" s="436">
        <v>0</v>
      </c>
      <c r="AZ167" s="436">
        <v>1</v>
      </c>
      <c r="BA167" s="653"/>
      <c r="BB167" s="434" t="s">
        <v>1444</v>
      </c>
      <c r="BC167" s="434"/>
      <c r="BD167" s="434"/>
      <c r="BE167" s="434"/>
      <c r="BF167" s="434"/>
      <c r="BG167" s="1101"/>
      <c r="BH167" s="1101"/>
      <c r="BI167" s="1101"/>
      <c r="BJ167" s="710">
        <v>0</v>
      </c>
    </row>
    <row r="168" spans="1:62" s="179" customFormat="1" ht="41.25" hidden="1" customHeight="1" x14ac:dyDescent="0.2">
      <c r="A168" s="173" t="s">
        <v>1134</v>
      </c>
      <c r="B168" s="709" t="s">
        <v>1230</v>
      </c>
      <c r="C168" s="75">
        <v>2019</v>
      </c>
      <c r="D168" s="75" t="s">
        <v>1265</v>
      </c>
      <c r="E168" s="76" t="s">
        <v>468</v>
      </c>
      <c r="F168" s="84" t="s">
        <v>468</v>
      </c>
      <c r="G168" s="229" t="s">
        <v>1131</v>
      </c>
      <c r="H168" s="25">
        <v>26870</v>
      </c>
      <c r="I168" s="25">
        <v>9</v>
      </c>
      <c r="J168" s="25">
        <v>0</v>
      </c>
      <c r="K168" s="710">
        <v>0</v>
      </c>
      <c r="L168" s="542">
        <v>0</v>
      </c>
      <c r="M168" s="374">
        <v>0</v>
      </c>
      <c r="N168" s="375">
        <v>0</v>
      </c>
      <c r="O168" s="541">
        <v>0</v>
      </c>
      <c r="P168" s="545">
        <v>0</v>
      </c>
      <c r="Q168" s="676">
        <v>0</v>
      </c>
      <c r="R168" s="376">
        <f t="shared" si="36"/>
        <v>0</v>
      </c>
      <c r="S168" s="837">
        <v>0</v>
      </c>
      <c r="T168" s="22">
        <v>0</v>
      </c>
      <c r="U168" s="26">
        <v>0</v>
      </c>
      <c r="V168" s="26"/>
      <c r="W168" s="26"/>
      <c r="X168" s="27">
        <v>0</v>
      </c>
      <c r="Y168" s="44">
        <v>0</v>
      </c>
      <c r="Z168" s="27">
        <v>26870</v>
      </c>
      <c r="AA168" s="432" t="s">
        <v>1621</v>
      </c>
      <c r="AB168" s="711" t="s">
        <v>1300</v>
      </c>
      <c r="AC168" s="712" t="s">
        <v>846</v>
      </c>
      <c r="AD168" s="379" t="s">
        <v>1282</v>
      </c>
      <c r="AE168" s="74" t="s">
        <v>1282</v>
      </c>
      <c r="AF168" s="722"/>
      <c r="AH168" s="516">
        <f t="shared" si="37"/>
        <v>0</v>
      </c>
      <c r="AI168" s="351">
        <f t="shared" si="38"/>
        <v>0</v>
      </c>
      <c r="AJ168" s="553">
        <f t="shared" si="39"/>
        <v>0</v>
      </c>
      <c r="AK168" s="509">
        <f t="shared" si="40"/>
        <v>0</v>
      </c>
      <c r="AL168" s="1140"/>
      <c r="AM168" s="1179"/>
      <c r="AN168" s="662" t="s">
        <v>458</v>
      </c>
      <c r="AO168" s="175">
        <v>7</v>
      </c>
      <c r="AP168" s="175">
        <v>1</v>
      </c>
      <c r="AQ168" s="814">
        <v>3</v>
      </c>
      <c r="AR168" s="1148"/>
      <c r="AS168" s="435"/>
      <c r="AT168" s="581"/>
      <c r="AU168" s="1096"/>
      <c r="AV168" s="1096"/>
      <c r="AW168" s="702" t="s">
        <v>1668</v>
      </c>
      <c r="AX168" s="143" t="s">
        <v>1600</v>
      </c>
      <c r="AY168" s="436">
        <v>0</v>
      </c>
      <c r="AZ168" s="436">
        <v>1</v>
      </c>
      <c r="BA168" s="653"/>
      <c r="BB168" s="434" t="s">
        <v>1443</v>
      </c>
      <c r="BC168" s="434"/>
      <c r="BD168" s="434"/>
      <c r="BE168" s="434"/>
      <c r="BF168" s="434"/>
      <c r="BG168" s="1101"/>
      <c r="BH168" s="1101"/>
      <c r="BI168" s="1101"/>
      <c r="BJ168" s="710">
        <v>0</v>
      </c>
    </row>
    <row r="169" spans="1:62" s="179" customFormat="1" ht="41.25" hidden="1" customHeight="1" x14ac:dyDescent="0.2">
      <c r="A169" s="173" t="s">
        <v>1136</v>
      </c>
      <c r="B169" s="709" t="s">
        <v>1230</v>
      </c>
      <c r="C169" s="75">
        <v>2019</v>
      </c>
      <c r="D169" s="75" t="s">
        <v>1265</v>
      </c>
      <c r="E169" s="76" t="s">
        <v>468</v>
      </c>
      <c r="F169" s="84" t="s">
        <v>468</v>
      </c>
      <c r="G169" s="229" t="s">
        <v>1131</v>
      </c>
      <c r="H169" s="25">
        <v>11130</v>
      </c>
      <c r="I169" s="25">
        <v>9</v>
      </c>
      <c r="J169" s="25">
        <v>0</v>
      </c>
      <c r="K169" s="710">
        <v>0</v>
      </c>
      <c r="L169" s="542">
        <v>0</v>
      </c>
      <c r="M169" s="374">
        <v>0</v>
      </c>
      <c r="N169" s="375">
        <v>0</v>
      </c>
      <c r="O169" s="541">
        <v>0</v>
      </c>
      <c r="P169" s="545">
        <v>0</v>
      </c>
      <c r="Q169" s="676">
        <v>0</v>
      </c>
      <c r="R169" s="376">
        <f t="shared" si="36"/>
        <v>0</v>
      </c>
      <c r="S169" s="837">
        <v>0</v>
      </c>
      <c r="T169" s="22">
        <v>0</v>
      </c>
      <c r="U169" s="26">
        <v>0</v>
      </c>
      <c r="V169" s="26"/>
      <c r="W169" s="26"/>
      <c r="X169" s="27">
        <v>0</v>
      </c>
      <c r="Y169" s="44">
        <v>0</v>
      </c>
      <c r="Z169" s="27">
        <v>11130</v>
      </c>
      <c r="AA169" s="432" t="s">
        <v>1622</v>
      </c>
      <c r="AB169" s="711" t="s">
        <v>1300</v>
      </c>
      <c r="AC169" s="712" t="s">
        <v>846</v>
      </c>
      <c r="AD169" s="379" t="s">
        <v>1282</v>
      </c>
      <c r="AE169" s="74" t="s">
        <v>1282</v>
      </c>
      <c r="AF169" s="722"/>
      <c r="AH169" s="516">
        <f t="shared" si="37"/>
        <v>0</v>
      </c>
      <c r="AI169" s="351">
        <f t="shared" si="38"/>
        <v>0</v>
      </c>
      <c r="AJ169" s="553">
        <f t="shared" si="39"/>
        <v>0</v>
      </c>
      <c r="AK169" s="509">
        <f t="shared" si="40"/>
        <v>0</v>
      </c>
      <c r="AL169" s="1140"/>
      <c r="AM169" s="1179"/>
      <c r="AN169" s="662" t="s">
        <v>458</v>
      </c>
      <c r="AO169" s="175">
        <v>7</v>
      </c>
      <c r="AP169" s="175">
        <v>1</v>
      </c>
      <c r="AQ169" s="814">
        <v>3</v>
      </c>
      <c r="AR169" s="1148"/>
      <c r="AS169" s="435"/>
      <c r="AT169" s="581"/>
      <c r="AU169" s="1096"/>
      <c r="AV169" s="1096"/>
      <c r="AW169" s="702" t="s">
        <v>1669</v>
      </c>
      <c r="AX169" s="143" t="s">
        <v>1599</v>
      </c>
      <c r="AY169" s="436">
        <v>0</v>
      </c>
      <c r="AZ169" s="436">
        <v>1</v>
      </c>
      <c r="BA169" s="653"/>
      <c r="BB169" s="434" t="s">
        <v>1444</v>
      </c>
      <c r="BC169" s="434"/>
      <c r="BD169" s="434"/>
      <c r="BE169" s="434"/>
      <c r="BF169" s="434"/>
      <c r="BG169" s="1101"/>
      <c r="BH169" s="1101"/>
      <c r="BI169" s="1101"/>
      <c r="BJ169" s="710">
        <v>0</v>
      </c>
    </row>
    <row r="170" spans="1:62" s="179" customFormat="1" ht="41.25" hidden="1" customHeight="1" x14ac:dyDescent="0.2">
      <c r="A170" s="173" t="s">
        <v>1138</v>
      </c>
      <c r="B170" s="709" t="s">
        <v>1230</v>
      </c>
      <c r="C170" s="75">
        <v>2019</v>
      </c>
      <c r="D170" s="75" t="s">
        <v>1265</v>
      </c>
      <c r="E170" s="76" t="s">
        <v>468</v>
      </c>
      <c r="F170" s="84" t="s">
        <v>468</v>
      </c>
      <c r="G170" s="229" t="s">
        <v>1133</v>
      </c>
      <c r="H170" s="25">
        <v>4650</v>
      </c>
      <c r="I170" s="25">
        <v>9</v>
      </c>
      <c r="J170" s="25">
        <v>0</v>
      </c>
      <c r="K170" s="710">
        <v>0</v>
      </c>
      <c r="L170" s="542">
        <v>0</v>
      </c>
      <c r="M170" s="374">
        <v>0</v>
      </c>
      <c r="N170" s="375">
        <v>0</v>
      </c>
      <c r="O170" s="541">
        <v>0</v>
      </c>
      <c r="P170" s="545">
        <v>0</v>
      </c>
      <c r="Q170" s="676">
        <v>0</v>
      </c>
      <c r="R170" s="376">
        <f t="shared" si="36"/>
        <v>0</v>
      </c>
      <c r="S170" s="837">
        <v>0</v>
      </c>
      <c r="T170" s="22">
        <v>0</v>
      </c>
      <c r="U170" s="26">
        <v>0</v>
      </c>
      <c r="V170" s="26"/>
      <c r="W170" s="26"/>
      <c r="X170" s="27">
        <v>0</v>
      </c>
      <c r="Y170" s="44">
        <v>0</v>
      </c>
      <c r="Z170" s="27">
        <v>4650</v>
      </c>
      <c r="AA170" s="432" t="s">
        <v>1623</v>
      </c>
      <c r="AB170" s="711" t="s">
        <v>1300</v>
      </c>
      <c r="AC170" s="712" t="s">
        <v>846</v>
      </c>
      <c r="AD170" s="379" t="s">
        <v>1282</v>
      </c>
      <c r="AE170" s="74" t="s">
        <v>1282</v>
      </c>
      <c r="AF170" s="722"/>
      <c r="AH170" s="516">
        <f t="shared" si="37"/>
        <v>0</v>
      </c>
      <c r="AI170" s="351">
        <f t="shared" si="38"/>
        <v>0</v>
      </c>
      <c r="AJ170" s="553">
        <f t="shared" si="39"/>
        <v>0</v>
      </c>
      <c r="AK170" s="509">
        <f t="shared" si="40"/>
        <v>0</v>
      </c>
      <c r="AL170" s="1140"/>
      <c r="AM170" s="1179"/>
      <c r="AN170" s="662" t="s">
        <v>458</v>
      </c>
      <c r="AO170" s="175">
        <v>7</v>
      </c>
      <c r="AP170" s="175">
        <v>1</v>
      </c>
      <c r="AQ170" s="814">
        <v>3</v>
      </c>
      <c r="AR170" s="1148"/>
      <c r="AS170" s="435"/>
      <c r="AT170" s="581"/>
      <c r="AU170" s="1096"/>
      <c r="AV170" s="1096"/>
      <c r="AW170" s="702" t="s">
        <v>1670</v>
      </c>
      <c r="AX170" s="143" t="s">
        <v>1600</v>
      </c>
      <c r="AY170" s="436">
        <v>0</v>
      </c>
      <c r="AZ170" s="436">
        <v>1</v>
      </c>
      <c r="BA170" s="653"/>
      <c r="BB170" s="434" t="s">
        <v>1443</v>
      </c>
      <c r="BC170" s="434"/>
      <c r="BD170" s="434"/>
      <c r="BE170" s="434"/>
      <c r="BF170" s="434"/>
      <c r="BG170" s="1101"/>
      <c r="BH170" s="1101"/>
      <c r="BI170" s="1101"/>
      <c r="BJ170" s="710">
        <v>0</v>
      </c>
    </row>
    <row r="171" spans="1:62" s="179" customFormat="1" ht="41.25" hidden="1" customHeight="1" x14ac:dyDescent="0.2">
      <c r="A171" s="173" t="s">
        <v>1140</v>
      </c>
      <c r="B171" s="709" t="s">
        <v>1230</v>
      </c>
      <c r="C171" s="75">
        <v>2019</v>
      </c>
      <c r="D171" s="75" t="s">
        <v>1265</v>
      </c>
      <c r="E171" s="76" t="s">
        <v>468</v>
      </c>
      <c r="F171" s="84" t="s">
        <v>468</v>
      </c>
      <c r="G171" s="229" t="s">
        <v>1133</v>
      </c>
      <c r="H171" s="25">
        <v>7250</v>
      </c>
      <c r="I171" s="25">
        <v>9</v>
      </c>
      <c r="J171" s="25">
        <v>0</v>
      </c>
      <c r="K171" s="710">
        <v>0</v>
      </c>
      <c r="L171" s="542">
        <v>0</v>
      </c>
      <c r="M171" s="374">
        <v>0</v>
      </c>
      <c r="N171" s="375">
        <v>0</v>
      </c>
      <c r="O171" s="541">
        <v>0</v>
      </c>
      <c r="P171" s="545">
        <v>0</v>
      </c>
      <c r="Q171" s="676">
        <v>0</v>
      </c>
      <c r="R171" s="376">
        <f t="shared" si="36"/>
        <v>0</v>
      </c>
      <c r="S171" s="837">
        <v>0</v>
      </c>
      <c r="T171" s="22">
        <v>0</v>
      </c>
      <c r="U171" s="26">
        <v>0</v>
      </c>
      <c r="V171" s="26"/>
      <c r="W171" s="26"/>
      <c r="X171" s="27">
        <v>0</v>
      </c>
      <c r="Y171" s="44">
        <v>0</v>
      </c>
      <c r="Z171" s="27">
        <v>7250</v>
      </c>
      <c r="AA171" s="432" t="s">
        <v>1624</v>
      </c>
      <c r="AB171" s="711" t="s">
        <v>1300</v>
      </c>
      <c r="AC171" s="712" t="s">
        <v>846</v>
      </c>
      <c r="AD171" s="379" t="s">
        <v>1282</v>
      </c>
      <c r="AE171" s="74" t="s">
        <v>1282</v>
      </c>
      <c r="AF171" s="722"/>
      <c r="AH171" s="516">
        <f t="shared" si="37"/>
        <v>0</v>
      </c>
      <c r="AI171" s="351">
        <f t="shared" si="38"/>
        <v>0</v>
      </c>
      <c r="AJ171" s="553">
        <f t="shared" si="39"/>
        <v>0</v>
      </c>
      <c r="AK171" s="509">
        <f t="shared" si="40"/>
        <v>0</v>
      </c>
      <c r="AL171" s="1140"/>
      <c r="AM171" s="1179"/>
      <c r="AN171" s="662" t="s">
        <v>458</v>
      </c>
      <c r="AO171" s="175">
        <v>7</v>
      </c>
      <c r="AP171" s="175">
        <v>1</v>
      </c>
      <c r="AQ171" s="814">
        <v>3</v>
      </c>
      <c r="AR171" s="1148"/>
      <c r="AS171" s="435"/>
      <c r="AT171" s="581"/>
      <c r="AU171" s="1096"/>
      <c r="AV171" s="1096"/>
      <c r="AW171" s="702" t="s">
        <v>1671</v>
      </c>
      <c r="AX171" s="143" t="s">
        <v>1599</v>
      </c>
      <c r="AY171" s="436">
        <v>0</v>
      </c>
      <c r="AZ171" s="436">
        <v>1</v>
      </c>
      <c r="BA171" s="653"/>
      <c r="BB171" s="434" t="s">
        <v>1444</v>
      </c>
      <c r="BC171" s="434"/>
      <c r="BD171" s="434"/>
      <c r="BE171" s="434"/>
      <c r="BF171" s="434"/>
      <c r="BG171" s="1101"/>
      <c r="BH171" s="1101"/>
      <c r="BI171" s="1101"/>
      <c r="BJ171" s="710">
        <v>0</v>
      </c>
    </row>
    <row r="172" spans="1:62" s="179" customFormat="1" ht="41.25" hidden="1" customHeight="1" x14ac:dyDescent="0.2">
      <c r="A172" s="173" t="s">
        <v>1142</v>
      </c>
      <c r="B172" s="709" t="s">
        <v>1230</v>
      </c>
      <c r="C172" s="75">
        <v>2019</v>
      </c>
      <c r="D172" s="75" t="s">
        <v>1265</v>
      </c>
      <c r="E172" s="76" t="s">
        <v>468</v>
      </c>
      <c r="F172" s="84" t="s">
        <v>468</v>
      </c>
      <c r="G172" s="229" t="s">
        <v>1135</v>
      </c>
      <c r="H172" s="25">
        <v>7260</v>
      </c>
      <c r="I172" s="25">
        <v>9</v>
      </c>
      <c r="J172" s="25">
        <v>0</v>
      </c>
      <c r="K172" s="710">
        <v>0</v>
      </c>
      <c r="L172" s="542">
        <v>0</v>
      </c>
      <c r="M172" s="374">
        <v>0</v>
      </c>
      <c r="N172" s="375">
        <v>0</v>
      </c>
      <c r="O172" s="541">
        <v>0</v>
      </c>
      <c r="P172" s="545">
        <v>0</v>
      </c>
      <c r="Q172" s="676">
        <v>0</v>
      </c>
      <c r="R172" s="376">
        <f t="shared" si="36"/>
        <v>0</v>
      </c>
      <c r="S172" s="837">
        <v>0</v>
      </c>
      <c r="T172" s="22">
        <v>0</v>
      </c>
      <c r="U172" s="26">
        <v>0</v>
      </c>
      <c r="V172" s="26"/>
      <c r="W172" s="26"/>
      <c r="X172" s="27">
        <v>0</v>
      </c>
      <c r="Y172" s="44">
        <v>0</v>
      </c>
      <c r="Z172" s="27">
        <v>7260</v>
      </c>
      <c r="AA172" s="432" t="s">
        <v>1625</v>
      </c>
      <c r="AB172" s="711" t="s">
        <v>1300</v>
      </c>
      <c r="AC172" s="712" t="s">
        <v>846</v>
      </c>
      <c r="AD172" s="379" t="s">
        <v>1282</v>
      </c>
      <c r="AE172" s="74" t="s">
        <v>1282</v>
      </c>
      <c r="AF172" s="722"/>
      <c r="AH172" s="516">
        <f t="shared" si="37"/>
        <v>0</v>
      </c>
      <c r="AI172" s="351">
        <f t="shared" si="38"/>
        <v>0</v>
      </c>
      <c r="AJ172" s="553">
        <f t="shared" si="39"/>
        <v>0</v>
      </c>
      <c r="AK172" s="509">
        <f t="shared" si="40"/>
        <v>0</v>
      </c>
      <c r="AL172" s="1140"/>
      <c r="AM172" s="1179"/>
      <c r="AN172" s="662" t="s">
        <v>458</v>
      </c>
      <c r="AO172" s="175">
        <v>7</v>
      </c>
      <c r="AP172" s="175">
        <v>1</v>
      </c>
      <c r="AQ172" s="814">
        <v>3</v>
      </c>
      <c r="AR172" s="1148"/>
      <c r="AS172" s="435"/>
      <c r="AT172" s="581"/>
      <c r="AU172" s="1096"/>
      <c r="AV172" s="1096"/>
      <c r="AW172" s="702" t="s">
        <v>1672</v>
      </c>
      <c r="AX172" s="143" t="s">
        <v>1445</v>
      </c>
      <c r="AY172" s="436">
        <v>0</v>
      </c>
      <c r="AZ172" s="436">
        <v>1</v>
      </c>
      <c r="BA172" s="653"/>
      <c r="BB172" s="434" t="s">
        <v>1443</v>
      </c>
      <c r="BC172" s="434"/>
      <c r="BD172" s="434"/>
      <c r="BE172" s="434"/>
      <c r="BF172" s="434"/>
      <c r="BG172" s="1101"/>
      <c r="BH172" s="1101"/>
      <c r="BI172" s="1101"/>
      <c r="BJ172" s="710">
        <v>0</v>
      </c>
    </row>
    <row r="173" spans="1:62" s="179" customFormat="1" ht="41.25" hidden="1" customHeight="1" x14ac:dyDescent="0.2">
      <c r="A173" s="173" t="s">
        <v>1144</v>
      </c>
      <c r="B173" s="709" t="s">
        <v>1230</v>
      </c>
      <c r="C173" s="75">
        <v>2019</v>
      </c>
      <c r="D173" s="75" t="s">
        <v>1265</v>
      </c>
      <c r="E173" s="76" t="s">
        <v>468</v>
      </c>
      <c r="F173" s="84" t="s">
        <v>468</v>
      </c>
      <c r="G173" s="229" t="s">
        <v>1135</v>
      </c>
      <c r="H173" s="25">
        <v>0</v>
      </c>
      <c r="I173" s="25">
        <v>9</v>
      </c>
      <c r="J173" s="25">
        <v>0</v>
      </c>
      <c r="K173" s="710">
        <v>0</v>
      </c>
      <c r="L173" s="542">
        <v>0</v>
      </c>
      <c r="M173" s="374">
        <v>0</v>
      </c>
      <c r="N173" s="375">
        <v>0</v>
      </c>
      <c r="O173" s="541">
        <v>0</v>
      </c>
      <c r="P173" s="545">
        <v>0</v>
      </c>
      <c r="Q173" s="676">
        <v>0</v>
      </c>
      <c r="R173" s="376">
        <f t="shared" si="36"/>
        <v>0</v>
      </c>
      <c r="S173" s="837">
        <v>0</v>
      </c>
      <c r="T173" s="22">
        <v>0</v>
      </c>
      <c r="U173" s="26">
        <v>0</v>
      </c>
      <c r="V173" s="26"/>
      <c r="W173" s="26"/>
      <c r="X173" s="27">
        <v>0</v>
      </c>
      <c r="Y173" s="44">
        <v>0</v>
      </c>
      <c r="Z173" s="27">
        <v>0</v>
      </c>
      <c r="AA173" s="432" t="s">
        <v>1624</v>
      </c>
      <c r="AB173" s="711" t="s">
        <v>1300</v>
      </c>
      <c r="AC173" s="712" t="s">
        <v>846</v>
      </c>
      <c r="AD173" s="379" t="s">
        <v>1282</v>
      </c>
      <c r="AE173" s="74" t="s">
        <v>1282</v>
      </c>
      <c r="AF173" s="722"/>
      <c r="AH173" s="516">
        <f t="shared" si="37"/>
        <v>0</v>
      </c>
      <c r="AI173" s="351">
        <f t="shared" si="38"/>
        <v>0</v>
      </c>
      <c r="AJ173" s="553">
        <f t="shared" si="39"/>
        <v>0</v>
      </c>
      <c r="AK173" s="509">
        <f t="shared" si="40"/>
        <v>0</v>
      </c>
      <c r="AL173" s="1140"/>
      <c r="AM173" s="1179"/>
      <c r="AN173" s="662" t="s">
        <v>458</v>
      </c>
      <c r="AO173" s="175">
        <v>7</v>
      </c>
      <c r="AP173" s="175">
        <v>1</v>
      </c>
      <c r="AQ173" s="814">
        <v>3</v>
      </c>
      <c r="AR173" s="1148"/>
      <c r="AS173" s="435"/>
      <c r="AT173" s="581"/>
      <c r="AU173" s="1096"/>
      <c r="AV173" s="1096"/>
      <c r="AW173" s="702" t="s">
        <v>1671</v>
      </c>
      <c r="AX173" s="143" t="s">
        <v>1601</v>
      </c>
      <c r="AY173" s="436">
        <v>0</v>
      </c>
      <c r="AZ173" s="436">
        <v>1</v>
      </c>
      <c r="BA173" s="653"/>
      <c r="BB173" s="434" t="s">
        <v>1444</v>
      </c>
      <c r="BC173" s="434"/>
      <c r="BD173" s="434"/>
      <c r="BE173" s="434"/>
      <c r="BF173" s="434"/>
      <c r="BG173" s="1101"/>
      <c r="BH173" s="1101"/>
      <c r="BI173" s="1101"/>
      <c r="BJ173" s="710">
        <v>0</v>
      </c>
    </row>
    <row r="174" spans="1:62" s="179" customFormat="1" ht="48.75" hidden="1" customHeight="1" x14ac:dyDescent="0.2">
      <c r="A174" s="173" t="s">
        <v>1146</v>
      </c>
      <c r="B174" s="709" t="s">
        <v>1230</v>
      </c>
      <c r="C174" s="75">
        <v>2019</v>
      </c>
      <c r="D174" s="75" t="s">
        <v>1265</v>
      </c>
      <c r="E174" s="76" t="s">
        <v>457</v>
      </c>
      <c r="F174" s="84" t="s">
        <v>457</v>
      </c>
      <c r="G174" s="229" t="s">
        <v>1137</v>
      </c>
      <c r="H174" s="25">
        <v>134854</v>
      </c>
      <c r="I174" s="25">
        <v>4</v>
      </c>
      <c r="J174" s="25">
        <v>0</v>
      </c>
      <c r="K174" s="710">
        <v>0</v>
      </c>
      <c r="L174" s="542">
        <v>0</v>
      </c>
      <c r="M174" s="374">
        <v>0</v>
      </c>
      <c r="N174" s="375">
        <v>0</v>
      </c>
      <c r="O174" s="541">
        <v>0</v>
      </c>
      <c r="P174" s="545">
        <v>0</v>
      </c>
      <c r="Q174" s="676">
        <v>0</v>
      </c>
      <c r="R174" s="376">
        <f t="shared" si="36"/>
        <v>0</v>
      </c>
      <c r="S174" s="837">
        <v>0</v>
      </c>
      <c r="T174" s="22">
        <v>0</v>
      </c>
      <c r="U174" s="26">
        <v>7153</v>
      </c>
      <c r="V174" s="26"/>
      <c r="W174" s="26"/>
      <c r="X174" s="27">
        <v>0</v>
      </c>
      <c r="Y174" s="44">
        <v>0</v>
      </c>
      <c r="Z174" s="27">
        <v>127701</v>
      </c>
      <c r="AA174" s="717" t="s">
        <v>1618</v>
      </c>
      <c r="AB174" s="711" t="s">
        <v>1300</v>
      </c>
      <c r="AC174" s="712" t="s">
        <v>1007</v>
      </c>
      <c r="AD174" s="379" t="s">
        <v>1282</v>
      </c>
      <c r="AE174" s="74" t="s">
        <v>1282</v>
      </c>
      <c r="AF174" s="722"/>
      <c r="AH174" s="516">
        <f t="shared" si="37"/>
        <v>0</v>
      </c>
      <c r="AI174" s="351">
        <f t="shared" si="38"/>
        <v>0</v>
      </c>
      <c r="AJ174" s="553">
        <f t="shared" si="39"/>
        <v>0</v>
      </c>
      <c r="AK174" s="509">
        <f t="shared" si="40"/>
        <v>0</v>
      </c>
      <c r="AL174" s="1140"/>
      <c r="AM174" s="1179"/>
      <c r="AN174" s="662" t="s">
        <v>458</v>
      </c>
      <c r="AO174" s="175">
        <v>7</v>
      </c>
      <c r="AP174" s="175">
        <v>1</v>
      </c>
      <c r="AQ174" s="814">
        <v>3</v>
      </c>
      <c r="AR174" s="1148"/>
      <c r="AS174" s="435"/>
      <c r="AT174" s="581"/>
      <c r="AU174" s="1095"/>
      <c r="AV174" s="1095"/>
      <c r="AW174" s="775" t="s">
        <v>1673</v>
      </c>
      <c r="AX174" s="143" t="s">
        <v>1602</v>
      </c>
      <c r="AY174" s="436">
        <v>0</v>
      </c>
      <c r="AZ174" s="436">
        <v>1</v>
      </c>
      <c r="BA174" s="653"/>
      <c r="BB174" s="434"/>
      <c r="BC174" s="434"/>
      <c r="BD174" s="434"/>
      <c r="BE174" s="434"/>
      <c r="BF174" s="434"/>
      <c r="BG174" s="1101"/>
      <c r="BH174" s="1101"/>
      <c r="BI174" s="1101"/>
      <c r="BJ174" s="710">
        <v>0</v>
      </c>
    </row>
    <row r="175" spans="1:62" s="179" customFormat="1" ht="77.25" hidden="1" thickBot="1" x14ac:dyDescent="0.25">
      <c r="A175" s="173" t="s">
        <v>1148</v>
      </c>
      <c r="B175" s="709" t="s">
        <v>1230</v>
      </c>
      <c r="C175" s="75">
        <v>2019</v>
      </c>
      <c r="D175" s="75" t="s">
        <v>1265</v>
      </c>
      <c r="E175" s="76" t="s">
        <v>457</v>
      </c>
      <c r="F175" s="84" t="s">
        <v>457</v>
      </c>
      <c r="G175" s="229" t="s">
        <v>1139</v>
      </c>
      <c r="H175" s="25">
        <v>188312</v>
      </c>
      <c r="I175" s="25">
        <v>4</v>
      </c>
      <c r="J175" s="25">
        <v>0</v>
      </c>
      <c r="K175" s="710">
        <v>0</v>
      </c>
      <c r="L175" s="542">
        <v>0</v>
      </c>
      <c r="M175" s="374">
        <v>0</v>
      </c>
      <c r="N175" s="375">
        <v>0</v>
      </c>
      <c r="O175" s="541">
        <v>0</v>
      </c>
      <c r="P175" s="545">
        <v>0</v>
      </c>
      <c r="Q175" s="676">
        <v>0</v>
      </c>
      <c r="R175" s="376">
        <f t="shared" si="36"/>
        <v>0</v>
      </c>
      <c r="S175" s="837">
        <v>0</v>
      </c>
      <c r="T175" s="22">
        <v>0</v>
      </c>
      <c r="U175" s="26">
        <v>568.70000000000005</v>
      </c>
      <c r="V175" s="26"/>
      <c r="W175" s="26"/>
      <c r="X175" s="27">
        <v>0</v>
      </c>
      <c r="Y175" s="44">
        <v>0</v>
      </c>
      <c r="Z175" s="27">
        <v>187743.3</v>
      </c>
      <c r="AA175" s="717" t="s">
        <v>1604</v>
      </c>
      <c r="AB175" s="711" t="s">
        <v>1300</v>
      </c>
      <c r="AC175" s="713" t="s">
        <v>1209</v>
      </c>
      <c r="AD175" s="379" t="s">
        <v>1282</v>
      </c>
      <c r="AE175" s="74" t="s">
        <v>1282</v>
      </c>
      <c r="AF175" s="722"/>
      <c r="AH175" s="516">
        <f t="shared" si="37"/>
        <v>0</v>
      </c>
      <c r="AI175" s="351">
        <f t="shared" si="38"/>
        <v>0</v>
      </c>
      <c r="AJ175" s="553">
        <f t="shared" si="39"/>
        <v>0</v>
      </c>
      <c r="AK175" s="509">
        <f t="shared" si="40"/>
        <v>0</v>
      </c>
      <c r="AL175" s="1140"/>
      <c r="AM175" s="1179"/>
      <c r="AN175" s="662" t="s">
        <v>458</v>
      </c>
      <c r="AO175" s="175">
        <v>7</v>
      </c>
      <c r="AP175" s="175">
        <v>1</v>
      </c>
      <c r="AQ175" s="814">
        <v>3</v>
      </c>
      <c r="AR175" s="1148"/>
      <c r="AS175" s="435"/>
      <c r="AT175" s="581"/>
      <c r="AU175" s="1095"/>
      <c r="AV175" s="1095"/>
      <c r="AW175" s="775" t="s">
        <v>1674</v>
      </c>
      <c r="AX175" s="143" t="s">
        <v>1420</v>
      </c>
      <c r="AY175" s="436">
        <v>0</v>
      </c>
      <c r="AZ175" s="436">
        <v>1</v>
      </c>
      <c r="BA175" s="653"/>
      <c r="BB175" s="434"/>
      <c r="BC175" s="434"/>
      <c r="BD175" s="434"/>
      <c r="BE175" s="434"/>
      <c r="BF175" s="434"/>
      <c r="BG175" s="1101"/>
      <c r="BH175" s="1101"/>
      <c r="BI175" s="1101"/>
      <c r="BJ175" s="710">
        <v>0</v>
      </c>
    </row>
    <row r="176" spans="1:62" s="179" customFormat="1" ht="54.75" hidden="1" customHeight="1" x14ac:dyDescent="0.2">
      <c r="A176" s="173" t="s">
        <v>1150</v>
      </c>
      <c r="B176" s="709" t="s">
        <v>1230</v>
      </c>
      <c r="C176" s="75">
        <v>2019</v>
      </c>
      <c r="D176" s="75" t="s">
        <v>1265</v>
      </c>
      <c r="E176" s="76" t="s">
        <v>457</v>
      </c>
      <c r="F176" s="84" t="s">
        <v>457</v>
      </c>
      <c r="G176" s="229" t="s">
        <v>1141</v>
      </c>
      <c r="H176" s="25">
        <v>60500</v>
      </c>
      <c r="I176" s="25">
        <v>4</v>
      </c>
      <c r="J176" s="25">
        <v>0</v>
      </c>
      <c r="K176" s="710">
        <v>0</v>
      </c>
      <c r="L176" s="542">
        <v>0</v>
      </c>
      <c r="M176" s="374">
        <v>0</v>
      </c>
      <c r="N176" s="375">
        <v>0</v>
      </c>
      <c r="O176" s="541">
        <v>0</v>
      </c>
      <c r="P176" s="545">
        <v>0</v>
      </c>
      <c r="Q176" s="676">
        <v>0</v>
      </c>
      <c r="R176" s="376">
        <f t="shared" si="36"/>
        <v>0</v>
      </c>
      <c r="S176" s="837">
        <v>0</v>
      </c>
      <c r="T176" s="22">
        <v>0</v>
      </c>
      <c r="U176" s="26">
        <v>605</v>
      </c>
      <c r="V176" s="26"/>
      <c r="W176" s="26"/>
      <c r="X176" s="27">
        <v>0</v>
      </c>
      <c r="Y176" s="44">
        <v>0</v>
      </c>
      <c r="Z176" s="27">
        <v>59895</v>
      </c>
      <c r="AA176" s="717" t="s">
        <v>1604</v>
      </c>
      <c r="AB176" s="711" t="s">
        <v>1300</v>
      </c>
      <c r="AC176" s="713" t="s">
        <v>1209</v>
      </c>
      <c r="AD176" s="379" t="s">
        <v>1282</v>
      </c>
      <c r="AE176" s="74" t="s">
        <v>1282</v>
      </c>
      <c r="AF176" s="722"/>
      <c r="AH176" s="516">
        <f t="shared" si="37"/>
        <v>0</v>
      </c>
      <c r="AI176" s="351">
        <f t="shared" si="38"/>
        <v>0</v>
      </c>
      <c r="AJ176" s="553">
        <f t="shared" si="39"/>
        <v>0</v>
      </c>
      <c r="AK176" s="509">
        <f t="shared" si="40"/>
        <v>0</v>
      </c>
      <c r="AL176" s="1140"/>
      <c r="AM176" s="1179"/>
      <c r="AN176" s="662" t="s">
        <v>458</v>
      </c>
      <c r="AO176" s="175">
        <v>7</v>
      </c>
      <c r="AP176" s="175">
        <v>1</v>
      </c>
      <c r="AQ176" s="814">
        <v>3</v>
      </c>
      <c r="AR176" s="1148"/>
      <c r="AS176" s="435"/>
      <c r="AT176" s="581"/>
      <c r="AU176" s="1095"/>
      <c r="AV176" s="1095"/>
      <c r="AW176" s="775" t="s">
        <v>1675</v>
      </c>
      <c r="AX176" s="143" t="s">
        <v>1421</v>
      </c>
      <c r="AY176" s="436">
        <v>0</v>
      </c>
      <c r="AZ176" s="436">
        <v>1</v>
      </c>
      <c r="BA176" s="653"/>
      <c r="BB176" s="434"/>
      <c r="BC176" s="434"/>
      <c r="BD176" s="434"/>
      <c r="BE176" s="434"/>
      <c r="BF176" s="434"/>
      <c r="BG176" s="1101"/>
      <c r="BH176" s="1101"/>
      <c r="BI176" s="1101"/>
      <c r="BJ176" s="710">
        <v>0</v>
      </c>
    </row>
    <row r="177" spans="1:62" s="179" customFormat="1" ht="77.25" hidden="1" thickBot="1" x14ac:dyDescent="0.25">
      <c r="A177" s="173" t="s">
        <v>1152</v>
      </c>
      <c r="B177" s="709" t="s">
        <v>1230</v>
      </c>
      <c r="C177" s="75">
        <v>2019</v>
      </c>
      <c r="D177" s="75" t="s">
        <v>1265</v>
      </c>
      <c r="E177" s="76" t="s">
        <v>457</v>
      </c>
      <c r="F177" s="76" t="s">
        <v>457</v>
      </c>
      <c r="G177" s="229" t="s">
        <v>1143</v>
      </c>
      <c r="H177" s="25">
        <v>5445</v>
      </c>
      <c r="I177" s="25">
        <v>4</v>
      </c>
      <c r="J177" s="25">
        <v>0</v>
      </c>
      <c r="K177" s="710">
        <v>0</v>
      </c>
      <c r="L177" s="542">
        <v>0</v>
      </c>
      <c r="M177" s="374">
        <v>0</v>
      </c>
      <c r="N177" s="375">
        <v>0</v>
      </c>
      <c r="O177" s="541">
        <v>0</v>
      </c>
      <c r="P177" s="545">
        <v>0</v>
      </c>
      <c r="Q177" s="676">
        <v>0</v>
      </c>
      <c r="R177" s="376">
        <f t="shared" si="36"/>
        <v>0</v>
      </c>
      <c r="S177" s="837">
        <v>0</v>
      </c>
      <c r="T177" s="22">
        <v>0</v>
      </c>
      <c r="U177" s="26">
        <v>0</v>
      </c>
      <c r="V177" s="26"/>
      <c r="W177" s="26"/>
      <c r="X177" s="27">
        <v>0</v>
      </c>
      <c r="Y177" s="44">
        <v>0</v>
      </c>
      <c r="Z177" s="27">
        <v>5445</v>
      </c>
      <c r="AA177" s="717" t="s">
        <v>1579</v>
      </c>
      <c r="AB177" s="711" t="s">
        <v>1300</v>
      </c>
      <c r="AC177" s="713" t="s">
        <v>912</v>
      </c>
      <c r="AD177" s="379" t="s">
        <v>1282</v>
      </c>
      <c r="AE177" s="74" t="s">
        <v>1282</v>
      </c>
      <c r="AF177" s="722"/>
      <c r="AH177" s="516">
        <f t="shared" si="37"/>
        <v>0</v>
      </c>
      <c r="AI177" s="351">
        <f t="shared" si="38"/>
        <v>0</v>
      </c>
      <c r="AJ177" s="553">
        <f t="shared" si="39"/>
        <v>0</v>
      </c>
      <c r="AK177" s="509">
        <f t="shared" si="40"/>
        <v>0</v>
      </c>
      <c r="AL177" s="1140"/>
      <c r="AM177" s="1179"/>
      <c r="AN177" s="662" t="s">
        <v>458</v>
      </c>
      <c r="AO177" s="175">
        <v>7</v>
      </c>
      <c r="AP177" s="175">
        <v>1</v>
      </c>
      <c r="AQ177" s="814">
        <v>3</v>
      </c>
      <c r="AR177" s="1148"/>
      <c r="AS177" s="435"/>
      <c r="AT177" s="581"/>
      <c r="AU177" s="1095"/>
      <c r="AV177" s="1095"/>
      <c r="AW177" s="775" t="s">
        <v>1676</v>
      </c>
      <c r="AX177" s="143" t="s">
        <v>1440</v>
      </c>
      <c r="AY177" s="436">
        <v>1</v>
      </c>
      <c r="AZ177" s="436">
        <v>0</v>
      </c>
      <c r="BA177" s="653"/>
      <c r="BB177" s="434"/>
      <c r="BC177" s="434"/>
      <c r="BD177" s="434"/>
      <c r="BE177" s="434"/>
      <c r="BF177" s="434"/>
      <c r="BG177" s="1101"/>
      <c r="BH177" s="1101"/>
      <c r="BI177" s="1101"/>
      <c r="BJ177" s="710">
        <v>0</v>
      </c>
    </row>
    <row r="178" spans="1:62" s="179" customFormat="1" ht="39.75" hidden="1" customHeight="1" x14ac:dyDescent="0.2">
      <c r="A178" s="173" t="s">
        <v>1154</v>
      </c>
      <c r="B178" s="709" t="s">
        <v>1230</v>
      </c>
      <c r="C178" s="75">
        <v>2019</v>
      </c>
      <c r="D178" s="75" t="s">
        <v>1265</v>
      </c>
      <c r="E178" s="76" t="s">
        <v>457</v>
      </c>
      <c r="F178" s="76" t="s">
        <v>457</v>
      </c>
      <c r="G178" s="229" t="s">
        <v>1145</v>
      </c>
      <c r="H178" s="25">
        <v>2420</v>
      </c>
      <c r="I178" s="25">
        <v>4</v>
      </c>
      <c r="J178" s="25">
        <v>0</v>
      </c>
      <c r="K178" s="710">
        <v>0</v>
      </c>
      <c r="L178" s="542">
        <v>0</v>
      </c>
      <c r="M178" s="374">
        <v>0</v>
      </c>
      <c r="N178" s="375">
        <v>0</v>
      </c>
      <c r="O178" s="541">
        <v>0</v>
      </c>
      <c r="P178" s="545">
        <v>0</v>
      </c>
      <c r="Q178" s="676">
        <v>0</v>
      </c>
      <c r="R178" s="376">
        <f t="shared" si="36"/>
        <v>0</v>
      </c>
      <c r="S178" s="837">
        <v>0</v>
      </c>
      <c r="T178" s="22">
        <v>0</v>
      </c>
      <c r="U178" s="26">
        <v>0</v>
      </c>
      <c r="V178" s="26"/>
      <c r="W178" s="26"/>
      <c r="X178" s="27">
        <v>0</v>
      </c>
      <c r="Y178" s="44">
        <v>0</v>
      </c>
      <c r="Z178" s="27">
        <v>2420</v>
      </c>
      <c r="AA178" s="719" t="s">
        <v>1579</v>
      </c>
      <c r="AB178" s="711" t="s">
        <v>1300</v>
      </c>
      <c r="AC178" s="713" t="s">
        <v>1209</v>
      </c>
      <c r="AD178" s="379" t="s">
        <v>1282</v>
      </c>
      <c r="AE178" s="74" t="s">
        <v>1282</v>
      </c>
      <c r="AF178" s="722"/>
      <c r="AH178" s="516">
        <f t="shared" si="37"/>
        <v>0</v>
      </c>
      <c r="AI178" s="351">
        <f t="shared" si="38"/>
        <v>0</v>
      </c>
      <c r="AJ178" s="553">
        <f t="shared" si="39"/>
        <v>0</v>
      </c>
      <c r="AK178" s="509">
        <f t="shared" si="40"/>
        <v>0</v>
      </c>
      <c r="AL178" s="1140"/>
      <c r="AM178" s="1179"/>
      <c r="AN178" s="662" t="s">
        <v>458</v>
      </c>
      <c r="AO178" s="175">
        <v>7</v>
      </c>
      <c r="AP178" s="175">
        <v>1</v>
      </c>
      <c r="AQ178" s="814">
        <v>3</v>
      </c>
      <c r="AR178" s="1148"/>
      <c r="AS178" s="435"/>
      <c r="AT178" s="581"/>
      <c r="AU178" s="1095"/>
      <c r="AV178" s="1095"/>
      <c r="AW178" s="782" t="s">
        <v>1677</v>
      </c>
      <c r="AX178" s="192" t="s">
        <v>1422</v>
      </c>
      <c r="AY178" s="436">
        <v>0</v>
      </c>
      <c r="AZ178" s="436">
        <v>1</v>
      </c>
      <c r="BA178" s="653"/>
      <c r="BB178" s="434"/>
      <c r="BC178" s="434"/>
      <c r="BD178" s="434"/>
      <c r="BE178" s="434"/>
      <c r="BF178" s="434"/>
      <c r="BG178" s="1101"/>
      <c r="BH178" s="1101"/>
      <c r="BI178" s="1101"/>
      <c r="BJ178" s="710">
        <v>0</v>
      </c>
    </row>
    <row r="179" spans="1:62" s="179" customFormat="1" ht="37.5" hidden="1" customHeight="1" x14ac:dyDescent="0.2">
      <c r="A179" s="173" t="s">
        <v>1156</v>
      </c>
      <c r="B179" s="709" t="s">
        <v>1230</v>
      </c>
      <c r="C179" s="75">
        <v>2019</v>
      </c>
      <c r="D179" s="75" t="s">
        <v>1265</v>
      </c>
      <c r="E179" s="76" t="s">
        <v>457</v>
      </c>
      <c r="F179" s="84" t="s">
        <v>457</v>
      </c>
      <c r="G179" s="229" t="s">
        <v>1147</v>
      </c>
      <c r="H179" s="25">
        <v>2420</v>
      </c>
      <c r="I179" s="25">
        <v>4</v>
      </c>
      <c r="J179" s="25">
        <v>0</v>
      </c>
      <c r="K179" s="710">
        <v>0</v>
      </c>
      <c r="L179" s="542">
        <v>0</v>
      </c>
      <c r="M179" s="374">
        <v>0</v>
      </c>
      <c r="N179" s="375">
        <v>0</v>
      </c>
      <c r="O179" s="541">
        <v>0</v>
      </c>
      <c r="P179" s="545">
        <v>0</v>
      </c>
      <c r="Q179" s="676">
        <v>0</v>
      </c>
      <c r="R179" s="376">
        <f t="shared" si="36"/>
        <v>0</v>
      </c>
      <c r="S179" s="837">
        <v>0</v>
      </c>
      <c r="T179" s="22">
        <v>0</v>
      </c>
      <c r="U179" s="26">
        <v>0</v>
      </c>
      <c r="V179" s="26"/>
      <c r="W179" s="26"/>
      <c r="X179" s="27">
        <v>0</v>
      </c>
      <c r="Y179" s="44">
        <v>0</v>
      </c>
      <c r="Z179" s="27">
        <v>2420</v>
      </c>
      <c r="AA179" s="719" t="s">
        <v>1579</v>
      </c>
      <c r="AB179" s="711" t="s">
        <v>1300</v>
      </c>
      <c r="AC179" s="712" t="s">
        <v>1178</v>
      </c>
      <c r="AD179" s="379" t="s">
        <v>1282</v>
      </c>
      <c r="AE179" s="74" t="s">
        <v>1282</v>
      </c>
      <c r="AF179" s="722"/>
      <c r="AH179" s="516">
        <f t="shared" si="37"/>
        <v>0</v>
      </c>
      <c r="AI179" s="351">
        <f t="shared" si="38"/>
        <v>0</v>
      </c>
      <c r="AJ179" s="553">
        <f t="shared" si="39"/>
        <v>0</v>
      </c>
      <c r="AK179" s="509">
        <f t="shared" si="40"/>
        <v>0</v>
      </c>
      <c r="AL179" s="1140"/>
      <c r="AM179" s="1179"/>
      <c r="AN179" s="662" t="s">
        <v>458</v>
      </c>
      <c r="AO179" s="175">
        <v>7</v>
      </c>
      <c r="AP179" s="175">
        <v>1</v>
      </c>
      <c r="AQ179" s="814">
        <v>3</v>
      </c>
      <c r="AR179" s="1148"/>
      <c r="AS179" s="435"/>
      <c r="AT179" s="581"/>
      <c r="AU179" s="1095"/>
      <c r="AV179" s="1095"/>
      <c r="AW179" s="782" t="s">
        <v>1678</v>
      </c>
      <c r="AX179" s="192" t="s">
        <v>1441</v>
      </c>
      <c r="AY179" s="436">
        <v>0</v>
      </c>
      <c r="AZ179" s="436">
        <v>1</v>
      </c>
      <c r="BA179" s="653"/>
      <c r="BB179" s="434"/>
      <c r="BC179" s="434"/>
      <c r="BD179" s="434"/>
      <c r="BE179" s="434"/>
      <c r="BF179" s="434"/>
      <c r="BG179" s="1101"/>
      <c r="BH179" s="1101"/>
      <c r="BI179" s="1101"/>
      <c r="BJ179" s="710">
        <v>0</v>
      </c>
    </row>
    <row r="180" spans="1:62" s="179" customFormat="1" ht="39" hidden="1" customHeight="1" x14ac:dyDescent="0.2">
      <c r="A180" s="173" t="s">
        <v>1158</v>
      </c>
      <c r="B180" s="709" t="s">
        <v>1230</v>
      </c>
      <c r="C180" s="75">
        <v>2019</v>
      </c>
      <c r="D180" s="75" t="s">
        <v>1265</v>
      </c>
      <c r="E180" s="76" t="s">
        <v>457</v>
      </c>
      <c r="F180" s="76" t="s">
        <v>457</v>
      </c>
      <c r="G180" s="229" t="s">
        <v>1149</v>
      </c>
      <c r="H180" s="25">
        <v>10000</v>
      </c>
      <c r="I180" s="25">
        <v>4</v>
      </c>
      <c r="J180" s="25">
        <v>0</v>
      </c>
      <c r="K180" s="710">
        <v>0</v>
      </c>
      <c r="L180" s="542">
        <v>0</v>
      </c>
      <c r="M180" s="374">
        <v>0</v>
      </c>
      <c r="N180" s="375">
        <v>0</v>
      </c>
      <c r="O180" s="541">
        <v>0</v>
      </c>
      <c r="P180" s="545">
        <v>0</v>
      </c>
      <c r="Q180" s="676">
        <v>0</v>
      </c>
      <c r="R180" s="376">
        <f t="shared" si="36"/>
        <v>0</v>
      </c>
      <c r="S180" s="837">
        <v>0</v>
      </c>
      <c r="T180" s="22">
        <v>0</v>
      </c>
      <c r="U180" s="26">
        <v>1735</v>
      </c>
      <c r="V180" s="26"/>
      <c r="W180" s="26"/>
      <c r="X180" s="27">
        <v>0</v>
      </c>
      <c r="Y180" s="44">
        <v>0</v>
      </c>
      <c r="Z180" s="27">
        <v>8265</v>
      </c>
      <c r="AA180" s="717" t="s">
        <v>1579</v>
      </c>
      <c r="AB180" s="711" t="s">
        <v>1300</v>
      </c>
      <c r="AC180" s="712" t="s">
        <v>1007</v>
      </c>
      <c r="AD180" s="379" t="s">
        <v>1283</v>
      </c>
      <c r="AE180" s="74" t="s">
        <v>1283</v>
      </c>
      <c r="AF180" s="722"/>
      <c r="AH180" s="516">
        <f t="shared" si="37"/>
        <v>0</v>
      </c>
      <c r="AI180" s="351">
        <f t="shared" si="38"/>
        <v>0</v>
      </c>
      <c r="AJ180" s="553">
        <f t="shared" si="39"/>
        <v>0</v>
      </c>
      <c r="AK180" s="509">
        <f t="shared" si="40"/>
        <v>0</v>
      </c>
      <c r="AL180" s="1140"/>
      <c r="AM180" s="1179"/>
      <c r="AN180" s="662" t="s">
        <v>458</v>
      </c>
      <c r="AO180" s="175">
        <v>7</v>
      </c>
      <c r="AP180" s="175">
        <v>1</v>
      </c>
      <c r="AQ180" s="814">
        <v>3</v>
      </c>
      <c r="AR180" s="1148"/>
      <c r="AS180" s="435"/>
      <c r="AT180" s="581"/>
      <c r="AU180" s="1095"/>
      <c r="AV180" s="1095"/>
      <c r="AW180" s="775" t="s">
        <v>1679</v>
      </c>
      <c r="AX180" s="143" t="s">
        <v>1423</v>
      </c>
      <c r="AY180" s="436">
        <v>0</v>
      </c>
      <c r="AZ180" s="436">
        <v>1</v>
      </c>
      <c r="BA180" s="653"/>
      <c r="BB180" s="434"/>
      <c r="BC180" s="434"/>
      <c r="BD180" s="434"/>
      <c r="BE180" s="434"/>
      <c r="BF180" s="434"/>
      <c r="BG180" s="1101"/>
      <c r="BH180" s="1101"/>
      <c r="BI180" s="1101"/>
      <c r="BJ180" s="710">
        <v>0</v>
      </c>
    </row>
    <row r="181" spans="1:62" s="179" customFormat="1" ht="30.75" hidden="1" thickBot="1" x14ac:dyDescent="0.25">
      <c r="A181" s="173" t="s">
        <v>1160</v>
      </c>
      <c r="B181" s="709" t="s">
        <v>1230</v>
      </c>
      <c r="C181" s="75">
        <v>2019</v>
      </c>
      <c r="D181" s="75" t="s">
        <v>1265</v>
      </c>
      <c r="E181" s="76" t="s">
        <v>457</v>
      </c>
      <c r="F181" s="76" t="s">
        <v>457</v>
      </c>
      <c r="G181" s="229" t="s">
        <v>1151</v>
      </c>
      <c r="H181" s="25">
        <v>45980</v>
      </c>
      <c r="I181" s="25">
        <v>4</v>
      </c>
      <c r="J181" s="25">
        <v>0</v>
      </c>
      <c r="K181" s="710">
        <v>0</v>
      </c>
      <c r="L181" s="542">
        <v>0</v>
      </c>
      <c r="M181" s="374">
        <v>0</v>
      </c>
      <c r="N181" s="375">
        <v>0</v>
      </c>
      <c r="O181" s="541">
        <v>0</v>
      </c>
      <c r="P181" s="545">
        <v>0</v>
      </c>
      <c r="Q181" s="676">
        <v>0</v>
      </c>
      <c r="R181" s="376">
        <f t="shared" si="36"/>
        <v>0</v>
      </c>
      <c r="S181" s="837">
        <v>0</v>
      </c>
      <c r="T181" s="22">
        <v>0</v>
      </c>
      <c r="U181" s="26">
        <v>0</v>
      </c>
      <c r="V181" s="26"/>
      <c r="W181" s="26"/>
      <c r="X181" s="27">
        <v>0</v>
      </c>
      <c r="Y181" s="44">
        <v>0</v>
      </c>
      <c r="Z181" s="27">
        <v>45980</v>
      </c>
      <c r="AA181" s="719" t="s">
        <v>1579</v>
      </c>
      <c r="AB181" s="711" t="s">
        <v>1300</v>
      </c>
      <c r="AC181" s="713" t="s">
        <v>1209</v>
      </c>
      <c r="AD181" s="379" t="s">
        <v>1282</v>
      </c>
      <c r="AE181" s="74" t="s">
        <v>1282</v>
      </c>
      <c r="AF181" s="722"/>
      <c r="AH181" s="516">
        <f t="shared" si="37"/>
        <v>0</v>
      </c>
      <c r="AI181" s="351">
        <f t="shared" si="38"/>
        <v>0</v>
      </c>
      <c r="AJ181" s="553">
        <f t="shared" si="39"/>
        <v>0</v>
      </c>
      <c r="AK181" s="509">
        <f t="shared" si="40"/>
        <v>0</v>
      </c>
      <c r="AL181" s="1140"/>
      <c r="AM181" s="1179"/>
      <c r="AN181" s="662" t="s">
        <v>458</v>
      </c>
      <c r="AO181" s="175">
        <v>7</v>
      </c>
      <c r="AP181" s="175">
        <v>1</v>
      </c>
      <c r="AQ181" s="814">
        <v>3</v>
      </c>
      <c r="AR181" s="1148"/>
      <c r="AS181" s="435"/>
      <c r="AT181" s="581"/>
      <c r="AU181" s="1095"/>
      <c r="AV181" s="1095"/>
      <c r="AW181" s="782" t="s">
        <v>1680</v>
      </c>
      <c r="AX181" s="192" t="s">
        <v>1391</v>
      </c>
      <c r="AY181" s="436">
        <v>0</v>
      </c>
      <c r="AZ181" s="436">
        <v>1</v>
      </c>
      <c r="BA181" s="653"/>
      <c r="BB181" s="434"/>
      <c r="BC181" s="434"/>
      <c r="BD181" s="434"/>
      <c r="BE181" s="434"/>
      <c r="BF181" s="434"/>
      <c r="BG181" s="1101"/>
      <c r="BH181" s="1101"/>
      <c r="BI181" s="1101"/>
      <c r="BJ181" s="710">
        <v>0</v>
      </c>
    </row>
    <row r="182" spans="1:62" s="179" customFormat="1" ht="43.5" hidden="1" customHeight="1" x14ac:dyDescent="0.2">
      <c r="A182" s="173" t="s">
        <v>1162</v>
      </c>
      <c r="B182" s="709" t="s">
        <v>1230</v>
      </c>
      <c r="C182" s="75">
        <v>2019</v>
      </c>
      <c r="D182" s="75" t="s">
        <v>1265</v>
      </c>
      <c r="E182" s="76" t="s">
        <v>457</v>
      </c>
      <c r="F182" s="76" t="s">
        <v>457</v>
      </c>
      <c r="G182" s="229" t="s">
        <v>1153</v>
      </c>
      <c r="H182" s="25">
        <v>36300</v>
      </c>
      <c r="I182" s="25">
        <v>4</v>
      </c>
      <c r="J182" s="25">
        <v>0</v>
      </c>
      <c r="K182" s="710">
        <v>0</v>
      </c>
      <c r="L182" s="542">
        <v>0</v>
      </c>
      <c r="M182" s="374">
        <v>0</v>
      </c>
      <c r="N182" s="375">
        <v>0</v>
      </c>
      <c r="O182" s="541">
        <v>0</v>
      </c>
      <c r="P182" s="545">
        <v>0</v>
      </c>
      <c r="Q182" s="676">
        <v>0</v>
      </c>
      <c r="R182" s="376">
        <f t="shared" si="36"/>
        <v>0</v>
      </c>
      <c r="S182" s="837">
        <v>0</v>
      </c>
      <c r="T182" s="22">
        <v>0</v>
      </c>
      <c r="U182" s="26">
        <v>116</v>
      </c>
      <c r="V182" s="26"/>
      <c r="W182" s="26"/>
      <c r="X182" s="27">
        <v>0</v>
      </c>
      <c r="Y182" s="44">
        <v>0</v>
      </c>
      <c r="Z182" s="27">
        <v>36184</v>
      </c>
      <c r="AA182" s="717" t="s">
        <v>1604</v>
      </c>
      <c r="AB182" s="711" t="s">
        <v>1300</v>
      </c>
      <c r="AC182" s="713" t="s">
        <v>1209</v>
      </c>
      <c r="AD182" s="379" t="s">
        <v>1282</v>
      </c>
      <c r="AE182" s="74" t="s">
        <v>1282</v>
      </c>
      <c r="AF182" s="722"/>
      <c r="AH182" s="516">
        <f t="shared" si="37"/>
        <v>0</v>
      </c>
      <c r="AI182" s="351">
        <f t="shared" si="38"/>
        <v>0</v>
      </c>
      <c r="AJ182" s="553">
        <f t="shared" si="39"/>
        <v>0</v>
      </c>
      <c r="AK182" s="509">
        <f t="shared" si="40"/>
        <v>0</v>
      </c>
      <c r="AL182" s="1140"/>
      <c r="AM182" s="1179"/>
      <c r="AN182" s="662" t="s">
        <v>458</v>
      </c>
      <c r="AO182" s="175">
        <v>7</v>
      </c>
      <c r="AP182" s="175">
        <v>1</v>
      </c>
      <c r="AQ182" s="814">
        <v>3</v>
      </c>
      <c r="AR182" s="1148"/>
      <c r="AS182" s="435"/>
      <c r="AT182" s="581"/>
      <c r="AU182" s="1095"/>
      <c r="AV182" s="1095"/>
      <c r="AW182" s="775" t="s">
        <v>1681</v>
      </c>
      <c r="AX182" s="143" t="s">
        <v>1424</v>
      </c>
      <c r="AY182" s="436">
        <v>0</v>
      </c>
      <c r="AZ182" s="436">
        <v>1</v>
      </c>
      <c r="BA182" s="653"/>
      <c r="BB182" s="434"/>
      <c r="BC182" s="434"/>
      <c r="BD182" s="434"/>
      <c r="BE182" s="434"/>
      <c r="BF182" s="434"/>
      <c r="BG182" s="1101"/>
      <c r="BH182" s="1101"/>
      <c r="BI182" s="1101"/>
      <c r="BJ182" s="710">
        <v>0</v>
      </c>
    </row>
    <row r="183" spans="1:62" s="179" customFormat="1" ht="36" hidden="1" customHeight="1" x14ac:dyDescent="0.2">
      <c r="A183" s="173" t="s">
        <v>1166</v>
      </c>
      <c r="B183" s="709" t="s">
        <v>1230</v>
      </c>
      <c r="C183" s="75">
        <v>2019</v>
      </c>
      <c r="D183" s="75" t="s">
        <v>1265</v>
      </c>
      <c r="E183" s="76" t="s">
        <v>506</v>
      </c>
      <c r="F183" s="84" t="s">
        <v>506</v>
      </c>
      <c r="G183" s="229" t="s">
        <v>1157</v>
      </c>
      <c r="H183" s="25">
        <v>348000</v>
      </c>
      <c r="I183" s="25">
        <v>10</v>
      </c>
      <c r="J183" s="25">
        <v>0</v>
      </c>
      <c r="K183" s="710">
        <v>0</v>
      </c>
      <c r="L183" s="542">
        <v>0</v>
      </c>
      <c r="M183" s="374">
        <v>0</v>
      </c>
      <c r="N183" s="375">
        <v>0</v>
      </c>
      <c r="O183" s="541">
        <v>0</v>
      </c>
      <c r="P183" s="545">
        <v>0</v>
      </c>
      <c r="Q183" s="676">
        <v>0</v>
      </c>
      <c r="R183" s="376">
        <f t="shared" si="36"/>
        <v>0</v>
      </c>
      <c r="S183" s="837">
        <v>0</v>
      </c>
      <c r="T183" s="22">
        <v>0</v>
      </c>
      <c r="U183" s="26">
        <v>0</v>
      </c>
      <c r="V183" s="26"/>
      <c r="W183" s="26"/>
      <c r="X183" s="27">
        <v>0</v>
      </c>
      <c r="Y183" s="44">
        <v>0</v>
      </c>
      <c r="Z183" s="27">
        <v>348000</v>
      </c>
      <c r="AA183" s="432" t="s">
        <v>1579</v>
      </c>
      <c r="AB183" s="711" t="s">
        <v>1300</v>
      </c>
      <c r="AC183" s="712" t="s">
        <v>1178</v>
      </c>
      <c r="AD183" s="379" t="s">
        <v>1282</v>
      </c>
      <c r="AE183" s="74" t="s">
        <v>1282</v>
      </c>
      <c r="AF183" s="722"/>
      <c r="AH183" s="516">
        <f t="shared" si="37"/>
        <v>0</v>
      </c>
      <c r="AI183" s="351">
        <f t="shared" si="38"/>
        <v>0</v>
      </c>
      <c r="AJ183" s="553">
        <f t="shared" si="39"/>
        <v>0</v>
      </c>
      <c r="AK183" s="509">
        <f t="shared" si="40"/>
        <v>0</v>
      </c>
      <c r="AL183" s="1140"/>
      <c r="AM183" s="1179"/>
      <c r="AN183" s="662" t="s">
        <v>458</v>
      </c>
      <c r="AO183" s="175">
        <v>7</v>
      </c>
      <c r="AP183" s="175">
        <v>1</v>
      </c>
      <c r="AQ183" s="814">
        <v>3</v>
      </c>
      <c r="AR183" s="1148"/>
      <c r="AS183" s="435"/>
      <c r="AT183" s="581"/>
      <c r="AU183" s="1096"/>
      <c r="AV183" s="1096"/>
      <c r="AW183" s="781" t="s">
        <v>1579</v>
      </c>
      <c r="AX183" s="143" t="s">
        <v>1426</v>
      </c>
      <c r="AY183" s="436">
        <v>0</v>
      </c>
      <c r="AZ183" s="436">
        <v>1</v>
      </c>
      <c r="BA183" s="653"/>
      <c r="BB183" s="434"/>
      <c r="BC183" s="434"/>
      <c r="BD183" s="434"/>
      <c r="BE183" s="434"/>
      <c r="BF183" s="434"/>
      <c r="BG183" s="1101"/>
      <c r="BH183" s="1101"/>
      <c r="BI183" s="1101"/>
      <c r="BJ183" s="710">
        <v>0</v>
      </c>
    </row>
    <row r="184" spans="1:62" s="179" customFormat="1" ht="32.25" hidden="1" customHeight="1" x14ac:dyDescent="0.2">
      <c r="A184" s="173" t="s">
        <v>1187</v>
      </c>
      <c r="B184" s="709" t="s">
        <v>1230</v>
      </c>
      <c r="C184" s="75">
        <v>2019</v>
      </c>
      <c r="D184" s="75" t="s">
        <v>1265</v>
      </c>
      <c r="E184" s="76" t="s">
        <v>506</v>
      </c>
      <c r="F184" s="84" t="s">
        <v>506</v>
      </c>
      <c r="G184" s="229" t="s">
        <v>1159</v>
      </c>
      <c r="H184" s="25">
        <v>26126</v>
      </c>
      <c r="I184" s="25">
        <v>10</v>
      </c>
      <c r="J184" s="25">
        <v>0</v>
      </c>
      <c r="K184" s="710">
        <v>0</v>
      </c>
      <c r="L184" s="542">
        <v>0</v>
      </c>
      <c r="M184" s="374">
        <v>0</v>
      </c>
      <c r="N184" s="375">
        <v>0</v>
      </c>
      <c r="O184" s="541">
        <v>0</v>
      </c>
      <c r="P184" s="545">
        <v>0</v>
      </c>
      <c r="Q184" s="676">
        <v>0</v>
      </c>
      <c r="R184" s="376">
        <f t="shared" si="36"/>
        <v>0</v>
      </c>
      <c r="S184" s="837">
        <v>0</v>
      </c>
      <c r="T184" s="22">
        <v>0</v>
      </c>
      <c r="U184" s="26">
        <v>0</v>
      </c>
      <c r="V184" s="26"/>
      <c r="W184" s="26"/>
      <c r="X184" s="27">
        <v>0</v>
      </c>
      <c r="Y184" s="44">
        <v>0</v>
      </c>
      <c r="Z184" s="27">
        <v>26126</v>
      </c>
      <c r="AA184" s="432" t="s">
        <v>1579</v>
      </c>
      <c r="AB184" s="711" t="s">
        <v>1300</v>
      </c>
      <c r="AC184" s="713" t="s">
        <v>1178</v>
      </c>
      <c r="AD184" s="379" t="s">
        <v>1282</v>
      </c>
      <c r="AE184" s="74" t="s">
        <v>1282</v>
      </c>
      <c r="AF184" s="722"/>
      <c r="AH184" s="516">
        <f t="shared" si="37"/>
        <v>0</v>
      </c>
      <c r="AI184" s="351">
        <f t="shared" si="38"/>
        <v>0</v>
      </c>
      <c r="AJ184" s="553">
        <f t="shared" si="39"/>
        <v>0</v>
      </c>
      <c r="AK184" s="509">
        <f t="shared" si="40"/>
        <v>0</v>
      </c>
      <c r="AL184" s="1140"/>
      <c r="AM184" s="1179"/>
      <c r="AN184" s="662" t="s">
        <v>458</v>
      </c>
      <c r="AO184" s="175">
        <v>7</v>
      </c>
      <c r="AP184" s="175">
        <v>1</v>
      </c>
      <c r="AQ184" s="814">
        <v>3</v>
      </c>
      <c r="AR184" s="1148"/>
      <c r="AS184" s="435"/>
      <c r="AT184" s="581"/>
      <c r="AU184" s="1096"/>
      <c r="AV184" s="1096"/>
      <c r="AW184" s="781" t="s">
        <v>1579</v>
      </c>
      <c r="AX184" s="192" t="s">
        <v>1391</v>
      </c>
      <c r="AY184" s="436">
        <v>0</v>
      </c>
      <c r="AZ184" s="436">
        <v>1</v>
      </c>
      <c r="BA184" s="653"/>
      <c r="BB184" s="434"/>
      <c r="BC184" s="434"/>
      <c r="BD184" s="434"/>
      <c r="BE184" s="434"/>
      <c r="BF184" s="434"/>
      <c r="BG184" s="1101"/>
      <c r="BH184" s="1101"/>
      <c r="BI184" s="1101"/>
      <c r="BJ184" s="710">
        <v>0</v>
      </c>
    </row>
    <row r="185" spans="1:62" s="179" customFormat="1" ht="34.5" hidden="1" customHeight="1" x14ac:dyDescent="0.2">
      <c r="A185" s="173" t="s">
        <v>1188</v>
      </c>
      <c r="B185" s="709" t="s">
        <v>1230</v>
      </c>
      <c r="C185" s="75">
        <v>2019</v>
      </c>
      <c r="D185" s="75" t="s">
        <v>1265</v>
      </c>
      <c r="E185" s="76" t="s">
        <v>506</v>
      </c>
      <c r="F185" s="84" t="s">
        <v>506</v>
      </c>
      <c r="G185" s="229" t="s">
        <v>1161</v>
      </c>
      <c r="H185" s="25">
        <v>37600</v>
      </c>
      <c r="I185" s="25">
        <v>10</v>
      </c>
      <c r="J185" s="25">
        <v>0</v>
      </c>
      <c r="K185" s="710">
        <v>0</v>
      </c>
      <c r="L185" s="542">
        <v>0</v>
      </c>
      <c r="M185" s="374">
        <v>0</v>
      </c>
      <c r="N185" s="375">
        <v>0</v>
      </c>
      <c r="O185" s="541">
        <v>0</v>
      </c>
      <c r="P185" s="545">
        <v>0</v>
      </c>
      <c r="Q185" s="676">
        <v>0</v>
      </c>
      <c r="R185" s="376">
        <f t="shared" si="36"/>
        <v>0</v>
      </c>
      <c r="S185" s="837">
        <v>0</v>
      </c>
      <c r="T185" s="22">
        <v>0</v>
      </c>
      <c r="U185" s="26">
        <v>0</v>
      </c>
      <c r="V185" s="26"/>
      <c r="W185" s="26"/>
      <c r="X185" s="27">
        <v>0</v>
      </c>
      <c r="Y185" s="44">
        <v>0</v>
      </c>
      <c r="Z185" s="27">
        <v>37600</v>
      </c>
      <c r="AA185" s="432" t="s">
        <v>1579</v>
      </c>
      <c r="AB185" s="711" t="s">
        <v>1300</v>
      </c>
      <c r="AC185" s="712" t="s">
        <v>1178</v>
      </c>
      <c r="AD185" s="379" t="s">
        <v>1282</v>
      </c>
      <c r="AE185" s="74" t="s">
        <v>1282</v>
      </c>
      <c r="AF185" s="722"/>
      <c r="AH185" s="516">
        <f t="shared" si="37"/>
        <v>0</v>
      </c>
      <c r="AI185" s="351">
        <f t="shared" si="38"/>
        <v>0</v>
      </c>
      <c r="AJ185" s="553">
        <f t="shared" si="39"/>
        <v>0</v>
      </c>
      <c r="AK185" s="509">
        <f t="shared" si="40"/>
        <v>0</v>
      </c>
      <c r="AL185" s="1140"/>
      <c r="AM185" s="1179"/>
      <c r="AN185" s="662" t="s">
        <v>458</v>
      </c>
      <c r="AO185" s="175">
        <v>7</v>
      </c>
      <c r="AP185" s="175">
        <v>1</v>
      </c>
      <c r="AQ185" s="814">
        <v>3</v>
      </c>
      <c r="AR185" s="1148"/>
      <c r="AS185" s="435"/>
      <c r="AT185" s="581"/>
      <c r="AU185" s="1096"/>
      <c r="AV185" s="1096"/>
      <c r="AW185" s="781" t="s">
        <v>1579</v>
      </c>
      <c r="AX185" s="192" t="s">
        <v>1391</v>
      </c>
      <c r="AY185" s="436">
        <v>0</v>
      </c>
      <c r="AZ185" s="436">
        <v>1</v>
      </c>
      <c r="BA185" s="653"/>
      <c r="BB185" s="434"/>
      <c r="BC185" s="434"/>
      <c r="BD185" s="434"/>
      <c r="BE185" s="434"/>
      <c r="BF185" s="434"/>
      <c r="BG185" s="1101"/>
      <c r="BH185" s="1101"/>
      <c r="BI185" s="1101"/>
      <c r="BJ185" s="710">
        <v>0</v>
      </c>
    </row>
    <row r="186" spans="1:62" s="179" customFormat="1" ht="37.5" hidden="1" customHeight="1" x14ac:dyDescent="0.2">
      <c r="A186" s="173" t="s">
        <v>1189</v>
      </c>
      <c r="B186" s="709" t="s">
        <v>1230</v>
      </c>
      <c r="C186" s="75">
        <v>2019</v>
      </c>
      <c r="D186" s="75" t="s">
        <v>1265</v>
      </c>
      <c r="E186" s="76" t="s">
        <v>506</v>
      </c>
      <c r="F186" s="76" t="s">
        <v>506</v>
      </c>
      <c r="G186" s="229" t="s">
        <v>1163</v>
      </c>
      <c r="H186" s="25">
        <v>16100</v>
      </c>
      <c r="I186" s="25">
        <v>10</v>
      </c>
      <c r="J186" s="25">
        <v>0</v>
      </c>
      <c r="K186" s="710">
        <v>0</v>
      </c>
      <c r="L186" s="542">
        <v>0</v>
      </c>
      <c r="M186" s="374">
        <v>0</v>
      </c>
      <c r="N186" s="375">
        <v>0</v>
      </c>
      <c r="O186" s="541">
        <v>0</v>
      </c>
      <c r="P186" s="545">
        <v>0</v>
      </c>
      <c r="Q186" s="676">
        <v>0</v>
      </c>
      <c r="R186" s="376">
        <f t="shared" si="36"/>
        <v>0</v>
      </c>
      <c r="S186" s="837">
        <v>0</v>
      </c>
      <c r="T186" s="22">
        <v>0</v>
      </c>
      <c r="U186" s="26">
        <v>6100</v>
      </c>
      <c r="V186" s="26"/>
      <c r="W186" s="26"/>
      <c r="X186" s="27">
        <v>0</v>
      </c>
      <c r="Y186" s="44">
        <v>0</v>
      </c>
      <c r="Z186" s="27">
        <v>10000</v>
      </c>
      <c r="AA186" s="432" t="s">
        <v>1626</v>
      </c>
      <c r="AB186" s="711" t="s">
        <v>1300</v>
      </c>
      <c r="AC186" s="713" t="s">
        <v>1178</v>
      </c>
      <c r="AD186" s="379" t="s">
        <v>1282</v>
      </c>
      <c r="AE186" s="74" t="s">
        <v>1282</v>
      </c>
      <c r="AF186" s="722"/>
      <c r="AH186" s="516">
        <f t="shared" si="37"/>
        <v>0</v>
      </c>
      <c r="AI186" s="351">
        <f t="shared" si="38"/>
        <v>0</v>
      </c>
      <c r="AJ186" s="553">
        <f t="shared" si="39"/>
        <v>0</v>
      </c>
      <c r="AK186" s="509">
        <f t="shared" si="40"/>
        <v>0</v>
      </c>
      <c r="AL186" s="1140"/>
      <c r="AM186" s="1179"/>
      <c r="AN186" s="662" t="s">
        <v>458</v>
      </c>
      <c r="AO186" s="175">
        <v>7</v>
      </c>
      <c r="AP186" s="175">
        <v>1</v>
      </c>
      <c r="AQ186" s="814">
        <v>3</v>
      </c>
      <c r="AR186" s="1148"/>
      <c r="AS186" s="435"/>
      <c r="AT186" s="581"/>
      <c r="AU186" s="1096"/>
      <c r="AV186" s="1096"/>
      <c r="AW186" s="702" t="s">
        <v>1682</v>
      </c>
      <c r="AX186" s="143" t="s">
        <v>1427</v>
      </c>
      <c r="AY186" s="436">
        <v>0</v>
      </c>
      <c r="AZ186" s="436">
        <v>1</v>
      </c>
      <c r="BA186" s="653"/>
      <c r="BB186" s="434">
        <v>8</v>
      </c>
      <c r="BC186" s="434"/>
      <c r="BD186" s="434"/>
      <c r="BE186" s="434"/>
      <c r="BF186" s="434"/>
      <c r="BG186" s="1101"/>
      <c r="BH186" s="1101"/>
      <c r="BI186" s="1101"/>
      <c r="BJ186" s="710">
        <v>0</v>
      </c>
    </row>
    <row r="187" spans="1:62" s="179" customFormat="1" ht="36.75" hidden="1" customHeight="1" x14ac:dyDescent="0.2">
      <c r="A187" s="173" t="s">
        <v>1190</v>
      </c>
      <c r="B187" s="709" t="s">
        <v>1230</v>
      </c>
      <c r="C187" s="75">
        <v>2019</v>
      </c>
      <c r="D187" s="75" t="s">
        <v>1265</v>
      </c>
      <c r="E187" s="76" t="s">
        <v>506</v>
      </c>
      <c r="F187" s="76" t="s">
        <v>506</v>
      </c>
      <c r="G187" s="229" t="s">
        <v>1165</v>
      </c>
      <c r="H187" s="25">
        <v>7548</v>
      </c>
      <c r="I187" s="25">
        <v>10</v>
      </c>
      <c r="J187" s="25">
        <v>0</v>
      </c>
      <c r="K187" s="710">
        <v>0</v>
      </c>
      <c r="L187" s="542">
        <v>0</v>
      </c>
      <c r="M187" s="374">
        <v>0</v>
      </c>
      <c r="N187" s="375">
        <v>0</v>
      </c>
      <c r="O187" s="541">
        <v>0</v>
      </c>
      <c r="P187" s="545">
        <v>0</v>
      </c>
      <c r="Q187" s="676">
        <v>0</v>
      </c>
      <c r="R187" s="376">
        <f t="shared" si="36"/>
        <v>0</v>
      </c>
      <c r="S187" s="837">
        <v>0</v>
      </c>
      <c r="T187" s="22">
        <v>0</v>
      </c>
      <c r="U187" s="26">
        <v>2795</v>
      </c>
      <c r="V187" s="26"/>
      <c r="W187" s="26"/>
      <c r="X187" s="27">
        <v>0</v>
      </c>
      <c r="Y187" s="44">
        <v>0</v>
      </c>
      <c r="Z187" s="27">
        <v>4753</v>
      </c>
      <c r="AA187" s="432" t="s">
        <v>1627</v>
      </c>
      <c r="AB187" s="711" t="s">
        <v>1300</v>
      </c>
      <c r="AC187" s="713" t="s">
        <v>1178</v>
      </c>
      <c r="AD187" s="379" t="s">
        <v>1282</v>
      </c>
      <c r="AE187" s="74" t="s">
        <v>1282</v>
      </c>
      <c r="AF187" s="722"/>
      <c r="AH187" s="516">
        <f t="shared" si="37"/>
        <v>0</v>
      </c>
      <c r="AI187" s="351">
        <f t="shared" si="38"/>
        <v>0</v>
      </c>
      <c r="AJ187" s="553">
        <f t="shared" si="39"/>
        <v>0</v>
      </c>
      <c r="AK187" s="509">
        <f t="shared" si="40"/>
        <v>0</v>
      </c>
      <c r="AL187" s="1140"/>
      <c r="AM187" s="1179"/>
      <c r="AN187" s="662" t="s">
        <v>458</v>
      </c>
      <c r="AO187" s="175">
        <v>7</v>
      </c>
      <c r="AP187" s="175">
        <v>1</v>
      </c>
      <c r="AQ187" s="814">
        <v>3</v>
      </c>
      <c r="AR187" s="1148"/>
      <c r="AS187" s="435"/>
      <c r="AT187" s="581"/>
      <c r="AU187" s="1096"/>
      <c r="AV187" s="1096"/>
      <c r="AW187" s="702" t="s">
        <v>1683</v>
      </c>
      <c r="AX187" s="143" t="s">
        <v>1427</v>
      </c>
      <c r="AY187" s="436">
        <v>0</v>
      </c>
      <c r="AZ187" s="436">
        <v>1</v>
      </c>
      <c r="BA187" s="653"/>
      <c r="BB187" s="434">
        <v>8</v>
      </c>
      <c r="BC187" s="434"/>
      <c r="BD187" s="434"/>
      <c r="BE187" s="434"/>
      <c r="BF187" s="434"/>
      <c r="BG187" s="1101"/>
      <c r="BH187" s="1101"/>
      <c r="BI187" s="1101"/>
      <c r="BJ187" s="710">
        <v>0</v>
      </c>
    </row>
    <row r="188" spans="1:62" s="179" customFormat="1" ht="31.5" hidden="1" customHeight="1" x14ac:dyDescent="0.2">
      <c r="A188" s="173" t="s">
        <v>1191</v>
      </c>
      <c r="B188" s="725" t="s">
        <v>1230</v>
      </c>
      <c r="C188" s="75">
        <v>2019</v>
      </c>
      <c r="D188" s="75" t="s">
        <v>1265</v>
      </c>
      <c r="E188" s="79" t="s">
        <v>506</v>
      </c>
      <c r="F188" s="79" t="s">
        <v>506</v>
      </c>
      <c r="G188" s="273" t="s">
        <v>1167</v>
      </c>
      <c r="H188" s="42">
        <v>11200</v>
      </c>
      <c r="I188" s="25">
        <v>10</v>
      </c>
      <c r="J188" s="42">
        <v>0</v>
      </c>
      <c r="K188" s="710">
        <v>0</v>
      </c>
      <c r="L188" s="542">
        <v>0</v>
      </c>
      <c r="M188" s="374">
        <v>0</v>
      </c>
      <c r="N188" s="375">
        <v>0</v>
      </c>
      <c r="O188" s="541">
        <v>0</v>
      </c>
      <c r="P188" s="726">
        <v>0</v>
      </c>
      <c r="Q188" s="676">
        <v>0</v>
      </c>
      <c r="R188" s="652">
        <f t="shared" si="36"/>
        <v>0</v>
      </c>
      <c r="S188" s="838">
        <v>0</v>
      </c>
      <c r="T188" s="22">
        <v>0</v>
      </c>
      <c r="U188" s="23">
        <v>4480</v>
      </c>
      <c r="V188" s="23"/>
      <c r="W188" s="23"/>
      <c r="X188" s="24">
        <v>0</v>
      </c>
      <c r="Y188" s="87">
        <v>0</v>
      </c>
      <c r="Z188" s="24">
        <v>6720</v>
      </c>
      <c r="AA188" s="432" t="s">
        <v>1627</v>
      </c>
      <c r="AB188" s="711" t="s">
        <v>1300</v>
      </c>
      <c r="AC188" s="713" t="s">
        <v>1178</v>
      </c>
      <c r="AD188" s="379" t="s">
        <v>1282</v>
      </c>
      <c r="AE188" s="74" t="s">
        <v>1282</v>
      </c>
      <c r="AF188" s="722"/>
      <c r="AH188" s="516">
        <f t="shared" si="37"/>
        <v>0</v>
      </c>
      <c r="AI188" s="351">
        <f t="shared" si="38"/>
        <v>0</v>
      </c>
      <c r="AJ188" s="553">
        <f t="shared" si="39"/>
        <v>0</v>
      </c>
      <c r="AK188" s="509">
        <f t="shared" si="40"/>
        <v>0</v>
      </c>
      <c r="AL188" s="1140"/>
      <c r="AM188" s="1179"/>
      <c r="AN188" s="662" t="s">
        <v>458</v>
      </c>
      <c r="AO188" s="175">
        <v>7</v>
      </c>
      <c r="AP188" s="175">
        <v>1</v>
      </c>
      <c r="AQ188" s="814">
        <v>3</v>
      </c>
      <c r="AR188" s="1148"/>
      <c r="AS188" s="435"/>
      <c r="AT188" s="581"/>
      <c r="AU188" s="1096"/>
      <c r="AV188" s="1096"/>
      <c r="AW188" s="702" t="s">
        <v>1683</v>
      </c>
      <c r="AX188" s="143" t="s">
        <v>1427</v>
      </c>
      <c r="AY188" s="436">
        <v>0</v>
      </c>
      <c r="AZ188" s="436">
        <v>1</v>
      </c>
      <c r="BA188" s="653"/>
      <c r="BB188" s="434">
        <v>8</v>
      </c>
      <c r="BC188" s="434"/>
      <c r="BD188" s="434"/>
      <c r="BE188" s="434"/>
      <c r="BF188" s="434"/>
      <c r="BG188" s="1101"/>
      <c r="BH188" s="1101"/>
      <c r="BI188" s="1101"/>
      <c r="BJ188" s="710">
        <v>0</v>
      </c>
    </row>
    <row r="189" spans="1:62" s="179" customFormat="1" ht="35.25" hidden="1" customHeight="1" x14ac:dyDescent="0.2">
      <c r="A189" s="173" t="s">
        <v>1192</v>
      </c>
      <c r="B189" s="709" t="s">
        <v>1230</v>
      </c>
      <c r="C189" s="75">
        <v>2019</v>
      </c>
      <c r="D189" s="75" t="s">
        <v>1265</v>
      </c>
      <c r="E189" s="76" t="s">
        <v>510</v>
      </c>
      <c r="F189" s="84" t="s">
        <v>510</v>
      </c>
      <c r="G189" s="229" t="s">
        <v>1193</v>
      </c>
      <c r="H189" s="25">
        <v>460</v>
      </c>
      <c r="I189" s="25">
        <v>11</v>
      </c>
      <c r="J189" s="25">
        <v>0</v>
      </c>
      <c r="K189" s="710">
        <v>0</v>
      </c>
      <c r="L189" s="542">
        <v>0</v>
      </c>
      <c r="M189" s="374">
        <v>0</v>
      </c>
      <c r="N189" s="375">
        <v>0</v>
      </c>
      <c r="O189" s="541">
        <v>0</v>
      </c>
      <c r="P189" s="545">
        <v>0</v>
      </c>
      <c r="Q189" s="676">
        <v>0</v>
      </c>
      <c r="R189" s="652">
        <f t="shared" si="36"/>
        <v>0</v>
      </c>
      <c r="S189" s="837">
        <v>0</v>
      </c>
      <c r="T189" s="22">
        <v>0</v>
      </c>
      <c r="U189" s="26">
        <v>0</v>
      </c>
      <c r="V189" s="26"/>
      <c r="W189" s="26"/>
      <c r="X189" s="27">
        <v>0</v>
      </c>
      <c r="Y189" s="44">
        <v>0</v>
      </c>
      <c r="Z189" s="27">
        <v>460</v>
      </c>
      <c r="AA189" s="719" t="s">
        <v>1579</v>
      </c>
      <c r="AB189" s="711" t="s">
        <v>1300</v>
      </c>
      <c r="AC189" s="712" t="s">
        <v>912</v>
      </c>
      <c r="AD189" s="379" t="s">
        <v>1282</v>
      </c>
      <c r="AE189" s="74" t="s">
        <v>1282</v>
      </c>
      <c r="AF189" s="722"/>
      <c r="AH189" s="516">
        <f t="shared" si="37"/>
        <v>0</v>
      </c>
      <c r="AI189" s="351">
        <f t="shared" si="38"/>
        <v>0</v>
      </c>
      <c r="AJ189" s="553">
        <f t="shared" si="39"/>
        <v>0</v>
      </c>
      <c r="AK189" s="509">
        <f t="shared" si="40"/>
        <v>0</v>
      </c>
      <c r="AL189" s="1140"/>
      <c r="AM189" s="1179"/>
      <c r="AN189" s="662" t="s">
        <v>458</v>
      </c>
      <c r="AO189" s="175">
        <v>7</v>
      </c>
      <c r="AP189" s="175">
        <v>1</v>
      </c>
      <c r="AQ189" s="814">
        <v>3</v>
      </c>
      <c r="AR189" s="1148"/>
      <c r="AS189" s="435"/>
      <c r="AT189" s="581"/>
      <c r="AU189" s="1095"/>
      <c r="AV189" s="1095"/>
      <c r="AW189" s="782" t="s">
        <v>1684</v>
      </c>
      <c r="AX189" s="192" t="s">
        <v>1628</v>
      </c>
      <c r="AY189" s="436">
        <v>0</v>
      </c>
      <c r="AZ189" s="436">
        <v>1</v>
      </c>
      <c r="BA189" s="653"/>
      <c r="BB189" s="434"/>
      <c r="BC189" s="434"/>
      <c r="BD189" s="434"/>
      <c r="BE189" s="434"/>
      <c r="BF189" s="434"/>
      <c r="BG189" s="1101"/>
      <c r="BH189" s="1101"/>
      <c r="BI189" s="1101"/>
      <c r="BJ189" s="710">
        <v>0</v>
      </c>
    </row>
    <row r="190" spans="1:62" s="179" customFormat="1" ht="32.25" hidden="1" customHeight="1" thickBot="1" x14ac:dyDescent="0.25">
      <c r="A190" s="289" t="s">
        <v>1194</v>
      </c>
      <c r="B190" s="736" t="s">
        <v>1230</v>
      </c>
      <c r="C190" s="275">
        <v>2019</v>
      </c>
      <c r="D190" s="275" t="s">
        <v>1265</v>
      </c>
      <c r="E190" s="664" t="s">
        <v>510</v>
      </c>
      <c r="F190" s="291" t="s">
        <v>510</v>
      </c>
      <c r="G190" s="292" t="s">
        <v>1195</v>
      </c>
      <c r="H190" s="293">
        <v>284</v>
      </c>
      <c r="I190" s="293">
        <v>12</v>
      </c>
      <c r="J190" s="293">
        <v>0</v>
      </c>
      <c r="K190" s="737">
        <v>0</v>
      </c>
      <c r="L190" s="738">
        <v>0</v>
      </c>
      <c r="M190" s="792">
        <v>0</v>
      </c>
      <c r="N190" s="667">
        <v>0</v>
      </c>
      <c r="O190" s="739">
        <v>0</v>
      </c>
      <c r="P190" s="740">
        <v>0</v>
      </c>
      <c r="Q190" s="741">
        <v>0</v>
      </c>
      <c r="R190" s="668">
        <f>P190+Q190</f>
        <v>0</v>
      </c>
      <c r="S190" s="839">
        <v>0</v>
      </c>
      <c r="T190" s="296">
        <v>0</v>
      </c>
      <c r="U190" s="295">
        <v>0</v>
      </c>
      <c r="V190" s="295"/>
      <c r="W190" s="295"/>
      <c r="X190" s="294">
        <v>0</v>
      </c>
      <c r="Y190" s="742">
        <v>0</v>
      </c>
      <c r="Z190" s="294">
        <v>284</v>
      </c>
      <c r="AA190" s="743" t="s">
        <v>1579</v>
      </c>
      <c r="AB190" s="744" t="s">
        <v>1300</v>
      </c>
      <c r="AC190" s="745" t="s">
        <v>1007</v>
      </c>
      <c r="AD190" s="671" t="s">
        <v>1282</v>
      </c>
      <c r="AE190" s="297" t="s">
        <v>1282</v>
      </c>
      <c r="AF190" s="722"/>
      <c r="AH190" s="516">
        <f t="shared" si="37"/>
        <v>0</v>
      </c>
      <c r="AI190" s="351">
        <f t="shared" si="38"/>
        <v>0</v>
      </c>
      <c r="AJ190" s="553">
        <f t="shared" si="39"/>
        <v>0</v>
      </c>
      <c r="AK190" s="509">
        <f t="shared" si="40"/>
        <v>0</v>
      </c>
      <c r="AL190" s="1140"/>
      <c r="AM190" s="1179"/>
      <c r="AN190" s="662" t="s">
        <v>458</v>
      </c>
      <c r="AO190" s="175">
        <v>7</v>
      </c>
      <c r="AP190" s="175">
        <v>1</v>
      </c>
      <c r="AQ190" s="814">
        <v>3</v>
      </c>
      <c r="AR190" s="1148"/>
      <c r="AS190" s="435"/>
      <c r="AT190" s="746"/>
      <c r="AU190" s="1098"/>
      <c r="AV190" s="1098"/>
      <c r="AW190" s="782" t="s">
        <v>1685</v>
      </c>
      <c r="AX190" s="724" t="s">
        <v>1628</v>
      </c>
      <c r="AY190" s="436">
        <v>0</v>
      </c>
      <c r="AZ190" s="436">
        <v>1</v>
      </c>
      <c r="BA190" s="653"/>
      <c r="BB190" s="434"/>
      <c r="BC190" s="434"/>
      <c r="BD190" s="434"/>
      <c r="BE190" s="434"/>
      <c r="BF190" s="434"/>
      <c r="BG190" s="1101"/>
      <c r="BH190" s="1101"/>
      <c r="BI190" s="1101"/>
      <c r="BJ190" s="737">
        <v>0</v>
      </c>
    </row>
    <row r="191" spans="1:62" s="179" customFormat="1" hidden="1" thickBot="1" x14ac:dyDescent="0.25">
      <c r="A191" s="616"/>
      <c r="B191" s="617"/>
      <c r="C191" s="275"/>
      <c r="D191" s="618"/>
      <c r="E191" s="619"/>
      <c r="F191" s="619"/>
      <c r="G191" s="620"/>
      <c r="H191" s="621"/>
      <c r="I191" s="621"/>
      <c r="J191" s="621"/>
      <c r="K191" s="591"/>
      <c r="L191" s="622"/>
      <c r="M191" s="623"/>
      <c r="N191" s="622"/>
      <c r="O191" s="624"/>
      <c r="P191" s="622"/>
      <c r="Q191" s="12"/>
      <c r="R191" s="622"/>
      <c r="S191" s="625"/>
      <c r="T191" s="847"/>
      <c r="U191" s="624"/>
      <c r="V191" s="624"/>
      <c r="W191" s="624"/>
      <c r="X191" s="622"/>
      <c r="Y191" s="624"/>
      <c r="Z191" s="624"/>
      <c r="AA191" s="626"/>
      <c r="AB191" s="496"/>
      <c r="AC191" s="627"/>
      <c r="AD191" s="584"/>
      <c r="AE191" s="584"/>
      <c r="AF191" s="584"/>
      <c r="AH191" s="633">
        <f t="shared" ref="AH191:AH203" si="41">H191-J191-R191-S191-T191-U191-X191-Y191-Z191</f>
        <v>0</v>
      </c>
      <c r="AI191" s="605"/>
      <c r="AJ191" s="120"/>
      <c r="AK191" s="634"/>
      <c r="AL191" s="120"/>
      <c r="AM191" s="1179"/>
      <c r="AN191" s="175" t="s">
        <v>458</v>
      </c>
      <c r="AO191" s="175">
        <v>7</v>
      </c>
      <c r="AP191" s="175"/>
      <c r="AQ191" s="175"/>
      <c r="AR191" s="1175"/>
      <c r="AS191" s="148"/>
      <c r="AY191" s="66"/>
      <c r="AZ191" s="66"/>
      <c r="BB191" s="1134"/>
      <c r="BC191" s="1134"/>
      <c r="BD191" s="1134"/>
      <c r="BE191" s="1134"/>
      <c r="BF191" s="1134"/>
    </row>
    <row r="192" spans="1:62" ht="16.5" hidden="1" thickBot="1" x14ac:dyDescent="0.3">
      <c r="A192" s="123" t="s">
        <v>1209</v>
      </c>
      <c r="B192" s="122" t="s">
        <v>1209</v>
      </c>
      <c r="C192" s="526" t="s">
        <v>1209</v>
      </c>
      <c r="D192" s="140" t="s">
        <v>1209</v>
      </c>
      <c r="E192" s="210" t="s">
        <v>1209</v>
      </c>
      <c r="F192" s="211" t="s">
        <v>1209</v>
      </c>
      <c r="G192" s="220" t="s">
        <v>1462</v>
      </c>
      <c r="H192" s="113">
        <f t="shared" ref="H192:U192" si="42">SUM(H77:H191)</f>
        <v>2096618.6101799998</v>
      </c>
      <c r="I192" s="113"/>
      <c r="J192" s="113">
        <f t="shared" si="42"/>
        <v>223308.46197999999</v>
      </c>
      <c r="K192" s="113">
        <f t="shared" si="42"/>
        <v>0</v>
      </c>
      <c r="L192" s="113">
        <f t="shared" si="42"/>
        <v>0</v>
      </c>
      <c r="M192" s="113">
        <f t="shared" si="42"/>
        <v>0</v>
      </c>
      <c r="N192" s="113">
        <f t="shared" si="42"/>
        <v>0</v>
      </c>
      <c r="O192" s="113">
        <f t="shared" si="42"/>
        <v>0</v>
      </c>
      <c r="P192" s="113">
        <f t="shared" si="42"/>
        <v>2385.1494599999996</v>
      </c>
      <c r="Q192" s="113">
        <f t="shared" si="42"/>
        <v>-2385.1494599999996</v>
      </c>
      <c r="R192" s="113">
        <f t="shared" si="42"/>
        <v>0</v>
      </c>
      <c r="S192" s="113">
        <f t="shared" si="42"/>
        <v>0</v>
      </c>
      <c r="T192" s="113">
        <f t="shared" si="42"/>
        <v>0</v>
      </c>
      <c r="U192" s="113">
        <f t="shared" si="42"/>
        <v>239881.80420000004</v>
      </c>
      <c r="V192" s="113"/>
      <c r="W192" s="113"/>
      <c r="X192" s="113">
        <f>SUM(X77:X191)</f>
        <v>0</v>
      </c>
      <c r="Y192" s="113">
        <f>SUM(Y77:Y191)</f>
        <v>0</v>
      </c>
      <c r="Z192" s="113">
        <f>SUM(Z77:Z191)</f>
        <v>1633428.3439999998</v>
      </c>
      <c r="AA192" s="165" t="s">
        <v>1209</v>
      </c>
      <c r="AB192" s="114" t="s">
        <v>1209</v>
      </c>
      <c r="AC192" s="122" t="s">
        <v>1209</v>
      </c>
      <c r="AD192" s="114" t="s">
        <v>1209</v>
      </c>
      <c r="AE192" s="122" t="s">
        <v>1209</v>
      </c>
      <c r="AF192" s="114" t="s">
        <v>1209</v>
      </c>
      <c r="AH192" s="633">
        <f t="shared" si="41"/>
        <v>0</v>
      </c>
      <c r="AI192" s="605">
        <f>R192-P192-Q192</f>
        <v>0</v>
      </c>
      <c r="AJ192" s="120">
        <f t="shared" ref="AJ192:AJ242" si="43">K192-R192</f>
        <v>0</v>
      </c>
      <c r="AK192" s="634">
        <f>R192+S192-L192-M192-N192-O192</f>
        <v>0</v>
      </c>
      <c r="AL192" s="120"/>
      <c r="AM192" s="1176">
        <v>1</v>
      </c>
      <c r="AN192" s="248" t="s">
        <v>458</v>
      </c>
      <c r="AO192" s="248">
        <v>7</v>
      </c>
      <c r="AP192" s="248"/>
      <c r="AQ192" s="248"/>
      <c r="AR192" s="1175"/>
      <c r="AS192" s="148"/>
      <c r="AY192" s="66"/>
      <c r="AZ192" s="66"/>
      <c r="BB192" s="1134"/>
      <c r="BC192" s="1134"/>
      <c r="BD192" s="1134"/>
      <c r="BE192" s="1134"/>
      <c r="BF192" s="1134"/>
    </row>
    <row r="193" spans="1:62" s="177" customFormat="1" hidden="1" thickBot="1" x14ac:dyDescent="0.25">
      <c r="A193" s="72"/>
      <c r="B193" s="99"/>
      <c r="C193" s="8"/>
      <c r="D193" s="8"/>
      <c r="E193" s="73"/>
      <c r="F193" s="141"/>
      <c r="G193" s="222"/>
      <c r="H193" s="20"/>
      <c r="I193" s="16"/>
      <c r="J193" s="16"/>
      <c r="K193" s="16"/>
      <c r="L193" s="36"/>
      <c r="M193" s="36"/>
      <c r="N193" s="36"/>
      <c r="O193" s="36"/>
      <c r="P193" s="36"/>
      <c r="Q193" s="1162"/>
      <c r="R193" s="36"/>
      <c r="S193" s="36"/>
      <c r="T193" s="36"/>
      <c r="U193" s="36"/>
      <c r="V193" s="36"/>
      <c r="W193" s="36"/>
      <c r="X193" s="36"/>
      <c r="Y193" s="36"/>
      <c r="Z193" s="36"/>
      <c r="AA193" s="73"/>
      <c r="AB193" s="8"/>
      <c r="AC193" s="299"/>
      <c r="AD193" s="585"/>
      <c r="AE193" s="585"/>
      <c r="AF193" s="585"/>
      <c r="AH193" s="633">
        <f t="shared" si="41"/>
        <v>0</v>
      </c>
      <c r="AI193" s="605">
        <f>R193-P193-Q193</f>
        <v>0</v>
      </c>
      <c r="AJ193" s="120">
        <f t="shared" si="43"/>
        <v>0</v>
      </c>
      <c r="AK193" s="634">
        <f>R193+S193-L193-M193-N193-O193</f>
        <v>0</v>
      </c>
      <c r="AL193" s="120"/>
      <c r="AM193" s="338"/>
      <c r="AN193" s="248" t="s">
        <v>618</v>
      </c>
      <c r="AO193" s="248">
        <v>8</v>
      </c>
      <c r="AP193" s="248"/>
      <c r="AQ193" s="248"/>
      <c r="AR193" s="1175"/>
      <c r="AS193" s="148"/>
      <c r="AY193" s="66"/>
      <c r="AZ193" s="66"/>
      <c r="BB193" s="1134"/>
      <c r="BC193" s="1134"/>
      <c r="BD193" s="1134"/>
      <c r="BE193" s="1134"/>
      <c r="BF193" s="1134"/>
    </row>
    <row r="194" spans="1:62" s="177" customFormat="1" hidden="1" thickBot="1" x14ac:dyDescent="0.25">
      <c r="A194" s="94"/>
      <c r="B194" s="105"/>
      <c r="C194" s="14"/>
      <c r="D194" s="14"/>
      <c r="E194" s="98"/>
      <c r="F194" s="96"/>
      <c r="G194" s="288"/>
      <c r="H194" s="9"/>
      <c r="I194" s="325"/>
      <c r="J194" s="325"/>
      <c r="K194" s="325"/>
      <c r="L194" s="267"/>
      <c r="M194" s="267"/>
      <c r="N194" s="267"/>
      <c r="O194" s="326"/>
      <c r="P194" s="267"/>
      <c r="Q194" s="867"/>
      <c r="R194" s="267"/>
      <c r="S194" s="267"/>
      <c r="T194" s="267"/>
      <c r="U194" s="267"/>
      <c r="V194" s="267"/>
      <c r="W194" s="267"/>
      <c r="X194" s="267"/>
      <c r="Y194" s="267"/>
      <c r="Z194" s="267"/>
      <c r="AA194" s="98"/>
      <c r="AB194" s="14"/>
      <c r="AC194" s="868"/>
      <c r="AD194" s="585"/>
      <c r="AE194" s="585"/>
      <c r="AF194" s="585"/>
      <c r="AH194" s="633">
        <f t="shared" si="41"/>
        <v>0</v>
      </c>
      <c r="AI194" s="605"/>
      <c r="AJ194" s="120"/>
      <c r="AK194" s="634"/>
      <c r="AL194" s="120"/>
      <c r="AM194" s="338"/>
      <c r="AN194" s="248"/>
      <c r="AO194" s="248"/>
      <c r="AP194" s="248"/>
      <c r="AQ194" s="248"/>
      <c r="AR194" s="1175"/>
      <c r="AS194" s="148"/>
      <c r="AY194" s="66"/>
      <c r="AZ194" s="66"/>
      <c r="BB194" s="1134"/>
      <c r="BC194" s="1134"/>
      <c r="BD194" s="1134"/>
      <c r="BE194" s="1134"/>
      <c r="BF194" s="1134"/>
    </row>
    <row r="195" spans="1:62" ht="16.5" hidden="1" thickBot="1" x14ac:dyDescent="0.3">
      <c r="A195" s="122" t="s">
        <v>1209</v>
      </c>
      <c r="B195" s="122" t="s">
        <v>1209</v>
      </c>
      <c r="C195" s="140" t="s">
        <v>1209</v>
      </c>
      <c r="D195" s="140" t="s">
        <v>1209</v>
      </c>
      <c r="E195" s="210" t="s">
        <v>1209</v>
      </c>
      <c r="F195" s="211" t="s">
        <v>1209</v>
      </c>
      <c r="G195" s="220" t="s">
        <v>1461</v>
      </c>
      <c r="H195" s="113">
        <f>SUM(H193:H194)</f>
        <v>0</v>
      </c>
      <c r="I195" s="113"/>
      <c r="J195" s="113">
        <f t="shared" ref="J195:Z195" si="44">SUM(J193:J194)</f>
        <v>0</v>
      </c>
      <c r="K195" s="113">
        <f t="shared" si="44"/>
        <v>0</v>
      </c>
      <c r="L195" s="113">
        <f t="shared" si="44"/>
        <v>0</v>
      </c>
      <c r="M195" s="113">
        <f t="shared" si="44"/>
        <v>0</v>
      </c>
      <c r="N195" s="113">
        <f t="shared" si="44"/>
        <v>0</v>
      </c>
      <c r="O195" s="113">
        <f t="shared" si="44"/>
        <v>0</v>
      </c>
      <c r="P195" s="113">
        <f t="shared" si="44"/>
        <v>0</v>
      </c>
      <c r="Q195" s="113">
        <f t="shared" si="44"/>
        <v>0</v>
      </c>
      <c r="R195" s="113">
        <f t="shared" si="44"/>
        <v>0</v>
      </c>
      <c r="S195" s="113">
        <f t="shared" si="44"/>
        <v>0</v>
      </c>
      <c r="T195" s="113">
        <f t="shared" si="44"/>
        <v>0</v>
      </c>
      <c r="U195" s="113">
        <f t="shared" si="44"/>
        <v>0</v>
      </c>
      <c r="V195" s="113"/>
      <c r="W195" s="113"/>
      <c r="X195" s="113">
        <f t="shared" si="44"/>
        <v>0</v>
      </c>
      <c r="Y195" s="113">
        <f t="shared" si="44"/>
        <v>0</v>
      </c>
      <c r="Z195" s="113">
        <f t="shared" si="44"/>
        <v>0</v>
      </c>
      <c r="AA195" s="114" t="s">
        <v>1209</v>
      </c>
      <c r="AB195" s="114" t="s">
        <v>1209</v>
      </c>
      <c r="AC195" s="122" t="s">
        <v>1209</v>
      </c>
      <c r="AD195" s="114" t="s">
        <v>1209</v>
      </c>
      <c r="AE195" s="122" t="s">
        <v>1209</v>
      </c>
      <c r="AF195" s="114" t="s">
        <v>1209</v>
      </c>
      <c r="AH195" s="633">
        <f t="shared" si="41"/>
        <v>0</v>
      </c>
      <c r="AI195" s="605">
        <f>R195-P195-Q195</f>
        <v>0</v>
      </c>
      <c r="AJ195" s="120">
        <f t="shared" si="43"/>
        <v>0</v>
      </c>
      <c r="AK195" s="634">
        <f>R195+S195-L195-M195-N195-O195</f>
        <v>0</v>
      </c>
      <c r="AL195" s="120"/>
      <c r="AM195" s="1176">
        <v>1</v>
      </c>
      <c r="AN195" s="248" t="s">
        <v>618</v>
      </c>
      <c r="AO195" s="248">
        <v>8</v>
      </c>
      <c r="AP195" s="248"/>
      <c r="AQ195" s="248"/>
      <c r="AR195" s="1175"/>
      <c r="AS195" s="148"/>
      <c r="AY195" s="66"/>
      <c r="AZ195" s="66"/>
      <c r="BB195" s="1134"/>
      <c r="BC195" s="1134"/>
      <c r="BD195" s="1134"/>
      <c r="BE195" s="1134"/>
      <c r="BF195" s="1134"/>
    </row>
    <row r="196" spans="1:62" s="177" customFormat="1" hidden="1" thickBot="1" x14ac:dyDescent="0.25">
      <c r="A196" s="139"/>
      <c r="B196" s="104"/>
      <c r="C196" s="59"/>
      <c r="D196" s="59"/>
      <c r="E196" s="100"/>
      <c r="F196" s="212"/>
      <c r="G196" s="230"/>
      <c r="H196" s="54"/>
      <c r="I196" s="55"/>
      <c r="J196" s="55"/>
      <c r="K196" s="320"/>
      <c r="L196" s="17"/>
      <c r="M196" s="56"/>
      <c r="N196" s="18"/>
      <c r="O196" s="117"/>
      <c r="P196" s="6"/>
      <c r="Q196" s="1163"/>
      <c r="R196" s="18"/>
      <c r="S196" s="18"/>
      <c r="T196" s="18"/>
      <c r="U196" s="18"/>
      <c r="V196" s="18"/>
      <c r="W196" s="18"/>
      <c r="X196" s="18"/>
      <c r="Y196" s="18"/>
      <c r="Z196" s="18"/>
      <c r="AA196" s="59"/>
      <c r="AB196" s="57"/>
      <c r="AC196" s="126"/>
      <c r="AD196" s="347"/>
      <c r="AE196" s="347"/>
      <c r="AF196" s="347"/>
      <c r="AH196" s="633">
        <f t="shared" si="41"/>
        <v>0</v>
      </c>
      <c r="AI196" s="605">
        <f>R196-P196-Q196</f>
        <v>0</v>
      </c>
      <c r="AJ196" s="120">
        <f t="shared" si="43"/>
        <v>0</v>
      </c>
      <c r="AK196" s="634">
        <f>R196+S196-L196-M196-N196-O196</f>
        <v>0</v>
      </c>
      <c r="AL196" s="120"/>
      <c r="AM196" s="338"/>
      <c r="AN196" s="248" t="s">
        <v>624</v>
      </c>
      <c r="AO196" s="248">
        <v>9</v>
      </c>
      <c r="AP196" s="248"/>
      <c r="AQ196" s="248"/>
      <c r="AR196" s="1175"/>
      <c r="AS196" s="148"/>
      <c r="AY196" s="66"/>
      <c r="AZ196" s="66"/>
      <c r="BB196" s="1134"/>
      <c r="BC196" s="1134"/>
      <c r="BD196" s="1134"/>
      <c r="BE196" s="1134"/>
      <c r="BF196" s="1134"/>
    </row>
    <row r="197" spans="1:62" s="177" customFormat="1" hidden="1" thickBot="1" x14ac:dyDescent="0.25">
      <c r="A197" s="188"/>
      <c r="B197" s="324"/>
      <c r="C197" s="244"/>
      <c r="D197" s="244"/>
      <c r="E197" s="869"/>
      <c r="F197" s="870"/>
      <c r="G197" s="871"/>
      <c r="H197" s="185"/>
      <c r="I197" s="872"/>
      <c r="J197" s="872"/>
      <c r="K197" s="873"/>
      <c r="L197" s="874"/>
      <c r="M197" s="875"/>
      <c r="N197" s="531"/>
      <c r="O197" s="876"/>
      <c r="P197" s="11"/>
      <c r="Q197" s="876"/>
      <c r="R197" s="531"/>
      <c r="S197" s="531"/>
      <c r="T197" s="531"/>
      <c r="U197" s="531"/>
      <c r="V197" s="531"/>
      <c r="W197" s="531"/>
      <c r="X197" s="531"/>
      <c r="Y197" s="531"/>
      <c r="Z197" s="874"/>
      <c r="AA197" s="877"/>
      <c r="AB197" s="58"/>
      <c r="AC197" s="789"/>
      <c r="AD197" s="347"/>
      <c r="AE197" s="347"/>
      <c r="AF197" s="347"/>
      <c r="AH197" s="633">
        <f t="shared" si="41"/>
        <v>0</v>
      </c>
      <c r="AI197" s="605"/>
      <c r="AJ197" s="120"/>
      <c r="AK197" s="634"/>
      <c r="AL197" s="120"/>
      <c r="AM197" s="338"/>
      <c r="AN197" s="248"/>
      <c r="AO197" s="248"/>
      <c r="AP197" s="248"/>
      <c r="AQ197" s="248"/>
      <c r="AR197" s="1175"/>
      <c r="AS197" s="148"/>
      <c r="AY197" s="66"/>
      <c r="AZ197" s="66"/>
      <c r="BB197" s="1134"/>
      <c r="BC197" s="1134"/>
      <c r="BD197" s="1134"/>
      <c r="BE197" s="1134"/>
      <c r="BF197" s="1134"/>
    </row>
    <row r="198" spans="1:62" ht="32.25" hidden="1" thickBot="1" x14ac:dyDescent="0.3">
      <c r="A198" s="122" t="s">
        <v>1209</v>
      </c>
      <c r="B198" s="122" t="s">
        <v>1209</v>
      </c>
      <c r="C198" s="140" t="s">
        <v>1209</v>
      </c>
      <c r="D198" s="140" t="s">
        <v>1209</v>
      </c>
      <c r="E198" s="210" t="s">
        <v>1209</v>
      </c>
      <c r="F198" s="213" t="s">
        <v>1209</v>
      </c>
      <c r="G198" s="220" t="s">
        <v>1460</v>
      </c>
      <c r="H198" s="113">
        <f>SUM(H196:H197)</f>
        <v>0</v>
      </c>
      <c r="I198" s="113"/>
      <c r="J198" s="113">
        <f t="shared" ref="J198:Z198" si="45">SUM(J196:J197)</f>
        <v>0</v>
      </c>
      <c r="K198" s="113">
        <f t="shared" si="45"/>
        <v>0</v>
      </c>
      <c r="L198" s="113">
        <f t="shared" si="45"/>
        <v>0</v>
      </c>
      <c r="M198" s="113">
        <f t="shared" si="45"/>
        <v>0</v>
      </c>
      <c r="N198" s="113">
        <f t="shared" si="45"/>
        <v>0</v>
      </c>
      <c r="O198" s="113">
        <f t="shared" si="45"/>
        <v>0</v>
      </c>
      <c r="P198" s="113">
        <f t="shared" si="45"/>
        <v>0</v>
      </c>
      <c r="Q198" s="113">
        <f t="shared" si="45"/>
        <v>0</v>
      </c>
      <c r="R198" s="113">
        <f t="shared" si="45"/>
        <v>0</v>
      </c>
      <c r="S198" s="113">
        <f t="shared" si="45"/>
        <v>0</v>
      </c>
      <c r="T198" s="113">
        <f t="shared" si="45"/>
        <v>0</v>
      </c>
      <c r="U198" s="113">
        <f t="shared" si="45"/>
        <v>0</v>
      </c>
      <c r="V198" s="113"/>
      <c r="W198" s="113"/>
      <c r="X198" s="113">
        <f t="shared" si="45"/>
        <v>0</v>
      </c>
      <c r="Y198" s="113">
        <f t="shared" si="45"/>
        <v>0</v>
      </c>
      <c r="Z198" s="113">
        <f t="shared" si="45"/>
        <v>0</v>
      </c>
      <c r="AA198" s="601" t="s">
        <v>1209</v>
      </c>
      <c r="AB198" s="114" t="s">
        <v>1209</v>
      </c>
      <c r="AC198" s="122" t="s">
        <v>1209</v>
      </c>
      <c r="AD198" s="114" t="s">
        <v>1209</v>
      </c>
      <c r="AE198" s="122" t="s">
        <v>1209</v>
      </c>
      <c r="AF198" s="114" t="s">
        <v>1209</v>
      </c>
      <c r="AH198" s="633">
        <f t="shared" si="41"/>
        <v>0</v>
      </c>
      <c r="AI198" s="605">
        <f>R198-P198-Q198</f>
        <v>0</v>
      </c>
      <c r="AJ198" s="120">
        <f t="shared" si="43"/>
        <v>0</v>
      </c>
      <c r="AK198" s="634">
        <f>R198+S198-L198-M198-N198-O198</f>
        <v>0</v>
      </c>
      <c r="AL198" s="120"/>
      <c r="AM198" s="1176">
        <v>1</v>
      </c>
      <c r="AN198" s="248" t="s">
        <v>624</v>
      </c>
      <c r="AO198" s="248">
        <v>9</v>
      </c>
      <c r="AP198" s="248"/>
      <c r="AQ198" s="248"/>
      <c r="AR198" s="1175"/>
      <c r="AS198" s="148"/>
      <c r="AY198" s="66"/>
      <c r="AZ198" s="66"/>
      <c r="BB198" s="1134"/>
      <c r="BC198" s="1134"/>
      <c r="BD198" s="1134"/>
      <c r="BE198" s="1134"/>
      <c r="BF198" s="1134"/>
    </row>
    <row r="199" spans="1:62" s="177" customFormat="1" hidden="1" thickBot="1" x14ac:dyDescent="0.25">
      <c r="A199" s="72"/>
      <c r="B199" s="99"/>
      <c r="C199" s="8"/>
      <c r="D199" s="170"/>
      <c r="E199" s="73"/>
      <c r="F199" s="73"/>
      <c r="G199" s="222"/>
      <c r="H199" s="20"/>
      <c r="I199" s="20"/>
      <c r="J199" s="20"/>
      <c r="K199" s="20"/>
      <c r="L199" s="22"/>
      <c r="M199" s="39"/>
      <c r="N199" s="22"/>
      <c r="O199" s="21"/>
      <c r="P199" s="22"/>
      <c r="Q199" s="1117"/>
      <c r="R199" s="22"/>
      <c r="S199" s="71"/>
      <c r="T199" s="49"/>
      <c r="U199" s="21"/>
      <c r="V199" s="21"/>
      <c r="W199" s="21"/>
      <c r="X199" s="22"/>
      <c r="Y199" s="21"/>
      <c r="Z199" s="21"/>
      <c r="AA199" s="57"/>
      <c r="AB199" s="8"/>
      <c r="AC199" s="126"/>
      <c r="AD199" s="347"/>
      <c r="AE199" s="347"/>
      <c r="AF199" s="347"/>
      <c r="AH199" s="633">
        <f t="shared" si="41"/>
        <v>0</v>
      </c>
      <c r="AI199" s="605">
        <f>R199-P199-Q199</f>
        <v>0</v>
      </c>
      <c r="AJ199" s="120">
        <f t="shared" si="43"/>
        <v>0</v>
      </c>
      <c r="AK199" s="634">
        <f>R199+S199-L199-M199-N199-O199</f>
        <v>0</v>
      </c>
      <c r="AL199" s="120"/>
      <c r="AM199" s="1151"/>
      <c r="AN199" s="248" t="s">
        <v>626</v>
      </c>
      <c r="AO199" s="248">
        <v>10</v>
      </c>
      <c r="AP199" s="248"/>
      <c r="AQ199" s="248"/>
      <c r="AR199" s="1175"/>
      <c r="AS199" s="148"/>
      <c r="AY199" s="66"/>
      <c r="AZ199" s="66"/>
      <c r="BB199" s="1134"/>
      <c r="BC199" s="1134"/>
      <c r="BD199" s="1134"/>
      <c r="BE199" s="1134"/>
      <c r="BF199" s="1134"/>
    </row>
    <row r="200" spans="1:62" s="177" customFormat="1" hidden="1" thickBot="1" x14ac:dyDescent="0.25">
      <c r="A200" s="94"/>
      <c r="B200" s="105"/>
      <c r="C200" s="14"/>
      <c r="D200" s="60"/>
      <c r="E200" s="98"/>
      <c r="F200" s="96"/>
      <c r="G200" s="288"/>
      <c r="H200" s="9"/>
      <c r="I200" s="9"/>
      <c r="J200" s="9"/>
      <c r="K200" s="318"/>
      <c r="L200" s="10"/>
      <c r="M200" s="34"/>
      <c r="N200" s="11"/>
      <c r="O200" s="19"/>
      <c r="P200" s="11"/>
      <c r="Q200" s="10"/>
      <c r="R200" s="11"/>
      <c r="S200" s="853"/>
      <c r="T200" s="878"/>
      <c r="U200" s="10"/>
      <c r="V200" s="10"/>
      <c r="W200" s="10"/>
      <c r="X200" s="11"/>
      <c r="Y200" s="10"/>
      <c r="Z200" s="10"/>
      <c r="AA200" s="58"/>
      <c r="AB200" s="14"/>
      <c r="AC200" s="789"/>
      <c r="AD200" s="347"/>
      <c r="AE200" s="347"/>
      <c r="AF200" s="347"/>
      <c r="AH200" s="633">
        <f t="shared" si="41"/>
        <v>0</v>
      </c>
      <c r="AI200" s="605"/>
      <c r="AJ200" s="120"/>
      <c r="AK200" s="634"/>
      <c r="AL200" s="120"/>
      <c r="AM200" s="1151"/>
      <c r="AN200" s="248"/>
      <c r="AO200" s="248"/>
      <c r="AP200" s="248"/>
      <c r="AQ200" s="248"/>
      <c r="AR200" s="1175"/>
      <c r="AS200" s="148"/>
      <c r="AY200" s="66"/>
      <c r="AZ200" s="66"/>
      <c r="BB200" s="1134"/>
      <c r="BC200" s="1134"/>
      <c r="BD200" s="1134"/>
      <c r="BE200" s="1134"/>
      <c r="BF200" s="1134"/>
    </row>
    <row r="201" spans="1:62" ht="32.25" hidden="1" thickBot="1" x14ac:dyDescent="0.3">
      <c r="A201" s="122" t="s">
        <v>1209</v>
      </c>
      <c r="B201" s="122" t="s">
        <v>1209</v>
      </c>
      <c r="C201" s="140" t="s">
        <v>1209</v>
      </c>
      <c r="D201" s="140" t="s">
        <v>1209</v>
      </c>
      <c r="E201" s="210" t="s">
        <v>1209</v>
      </c>
      <c r="F201" s="213" t="s">
        <v>1209</v>
      </c>
      <c r="G201" s="220" t="s">
        <v>1459</v>
      </c>
      <c r="H201" s="113">
        <f>SUM(H199:H200)</f>
        <v>0</v>
      </c>
      <c r="I201" s="113"/>
      <c r="J201" s="113">
        <f t="shared" ref="J201:Z201" si="46">SUM(J199:J200)</f>
        <v>0</v>
      </c>
      <c r="K201" s="113">
        <f t="shared" si="46"/>
        <v>0</v>
      </c>
      <c r="L201" s="113">
        <f t="shared" si="46"/>
        <v>0</v>
      </c>
      <c r="M201" s="113">
        <f t="shared" si="46"/>
        <v>0</v>
      </c>
      <c r="N201" s="113">
        <f t="shared" si="46"/>
        <v>0</v>
      </c>
      <c r="O201" s="113">
        <f t="shared" si="46"/>
        <v>0</v>
      </c>
      <c r="P201" s="113">
        <f t="shared" si="46"/>
        <v>0</v>
      </c>
      <c r="Q201" s="113">
        <f t="shared" si="46"/>
        <v>0</v>
      </c>
      <c r="R201" s="113">
        <f t="shared" si="46"/>
        <v>0</v>
      </c>
      <c r="S201" s="113">
        <f t="shared" si="46"/>
        <v>0</v>
      </c>
      <c r="T201" s="113">
        <f t="shared" si="46"/>
        <v>0</v>
      </c>
      <c r="U201" s="113">
        <f t="shared" si="46"/>
        <v>0</v>
      </c>
      <c r="V201" s="113"/>
      <c r="W201" s="113"/>
      <c r="X201" s="113">
        <f t="shared" si="46"/>
        <v>0</v>
      </c>
      <c r="Y201" s="113">
        <f t="shared" si="46"/>
        <v>0</v>
      </c>
      <c r="Z201" s="113">
        <f t="shared" si="46"/>
        <v>0</v>
      </c>
      <c r="AA201" s="165" t="s">
        <v>1209</v>
      </c>
      <c r="AB201" s="114" t="s">
        <v>1209</v>
      </c>
      <c r="AC201" s="122" t="s">
        <v>1209</v>
      </c>
      <c r="AD201" s="114" t="s">
        <v>1209</v>
      </c>
      <c r="AE201" s="122" t="s">
        <v>1209</v>
      </c>
      <c r="AF201" s="114" t="s">
        <v>1209</v>
      </c>
      <c r="AH201" s="633">
        <f t="shared" si="41"/>
        <v>0</v>
      </c>
      <c r="AI201" s="605">
        <f t="shared" ref="AI201:AI242" si="47">R201-P201-Q201</f>
        <v>0</v>
      </c>
      <c r="AJ201" s="120">
        <f t="shared" si="43"/>
        <v>0</v>
      </c>
      <c r="AK201" s="634">
        <f t="shared" ref="AK201:AK242" si="48">R201+S201-L201-M201-N201-O201</f>
        <v>0</v>
      </c>
      <c r="AL201" s="120"/>
      <c r="AM201" s="1176">
        <v>1</v>
      </c>
      <c r="AN201" s="248" t="s">
        <v>626</v>
      </c>
      <c r="AO201" s="248">
        <v>10</v>
      </c>
      <c r="AP201" s="248"/>
      <c r="AQ201" s="248"/>
      <c r="AR201" s="1175"/>
      <c r="AS201" s="148"/>
      <c r="AY201" s="66"/>
      <c r="AZ201" s="66"/>
      <c r="BB201" s="1134"/>
      <c r="BC201" s="1134"/>
      <c r="BD201" s="1134"/>
      <c r="BE201" s="1134"/>
      <c r="BF201" s="1134"/>
    </row>
    <row r="202" spans="1:62" s="179" customFormat="1" ht="25.5" x14ac:dyDescent="0.2">
      <c r="A202" s="300" t="s">
        <v>628</v>
      </c>
      <c r="B202" s="186" t="s">
        <v>629</v>
      </c>
      <c r="C202" s="83">
        <v>2017</v>
      </c>
      <c r="D202" s="301" t="s">
        <v>79</v>
      </c>
      <c r="E202" s="302" t="s">
        <v>630</v>
      </c>
      <c r="F202" s="303" t="s">
        <v>630</v>
      </c>
      <c r="G202" s="304" t="s">
        <v>631</v>
      </c>
      <c r="H202" s="85">
        <v>2023.6510000000001</v>
      </c>
      <c r="I202" s="85"/>
      <c r="J202" s="85">
        <v>2023.6510000000001</v>
      </c>
      <c r="K202" s="172"/>
      <c r="L202" s="45">
        <v>0</v>
      </c>
      <c r="M202" s="91">
        <v>0</v>
      </c>
      <c r="N202" s="45">
        <v>0</v>
      </c>
      <c r="O202" s="46">
        <v>0</v>
      </c>
      <c r="P202" s="45">
        <v>976.35</v>
      </c>
      <c r="Q202" s="1161">
        <v>-976.35</v>
      </c>
      <c r="R202" s="45">
        <f t="shared" ref="R202:R242" si="49">P202+Q202</f>
        <v>0</v>
      </c>
      <c r="S202" s="45">
        <v>0</v>
      </c>
      <c r="T202" s="86"/>
      <c r="U202" s="86">
        <v>0</v>
      </c>
      <c r="V202" s="86"/>
      <c r="W202" s="86"/>
      <c r="X202" s="45">
        <v>0</v>
      </c>
      <c r="Y202" s="46">
        <v>0</v>
      </c>
      <c r="Z202" s="530"/>
      <c r="AA202" s="166" t="s">
        <v>910</v>
      </c>
      <c r="AB202" s="191" t="s">
        <v>1256</v>
      </c>
      <c r="AC202" s="74" t="s">
        <v>1209</v>
      </c>
      <c r="AD202" s="584"/>
      <c r="AE202" s="584"/>
      <c r="AF202" s="584"/>
      <c r="AH202" s="633">
        <f t="shared" si="41"/>
        <v>0</v>
      </c>
      <c r="AI202" s="605">
        <f t="shared" si="47"/>
        <v>0</v>
      </c>
      <c r="AJ202" s="120">
        <f t="shared" si="43"/>
        <v>0</v>
      </c>
      <c r="AK202" s="634">
        <f t="shared" si="48"/>
        <v>0</v>
      </c>
      <c r="AL202" s="120"/>
      <c r="AM202" s="496"/>
      <c r="AN202" s="279" t="s">
        <v>632</v>
      </c>
      <c r="AO202" s="279">
        <v>17</v>
      </c>
      <c r="AP202" s="279"/>
      <c r="AQ202" s="279">
        <v>1</v>
      </c>
      <c r="AR202" s="1175"/>
      <c r="AS202" s="148"/>
      <c r="AY202" s="66"/>
      <c r="AZ202" s="66"/>
      <c r="BB202" s="1134"/>
      <c r="BC202" s="1134"/>
      <c r="BD202" s="1134"/>
      <c r="BE202" s="1134"/>
      <c r="BF202" s="1134"/>
    </row>
    <row r="203" spans="1:62" s="179" customFormat="1" ht="25.5" x14ac:dyDescent="0.2">
      <c r="A203" s="173" t="s">
        <v>637</v>
      </c>
      <c r="B203" s="187" t="s">
        <v>638</v>
      </c>
      <c r="C203" s="75">
        <v>2017</v>
      </c>
      <c r="D203" s="75" t="s">
        <v>79</v>
      </c>
      <c r="E203" s="76" t="s">
        <v>639</v>
      </c>
      <c r="F203" s="76" t="s">
        <v>639</v>
      </c>
      <c r="G203" s="240" t="s">
        <v>640</v>
      </c>
      <c r="H203" s="25">
        <v>4932.1590999999999</v>
      </c>
      <c r="I203" s="25"/>
      <c r="J203" s="25">
        <v>4932.1590999999999</v>
      </c>
      <c r="K203" s="172"/>
      <c r="L203" s="27">
        <v>0</v>
      </c>
      <c r="M203" s="40">
        <v>0</v>
      </c>
      <c r="N203" s="27">
        <v>0</v>
      </c>
      <c r="O203" s="26">
        <v>0</v>
      </c>
      <c r="P203" s="27">
        <v>67.84</v>
      </c>
      <c r="Q203" s="1117">
        <v>-67.84</v>
      </c>
      <c r="R203" s="27">
        <f t="shared" si="49"/>
        <v>0</v>
      </c>
      <c r="S203" s="27">
        <v>0</v>
      </c>
      <c r="T203" s="44"/>
      <c r="U203" s="44">
        <v>0</v>
      </c>
      <c r="V203" s="44"/>
      <c r="W203" s="44"/>
      <c r="X203" s="27">
        <v>0</v>
      </c>
      <c r="Y203" s="26">
        <v>0</v>
      </c>
      <c r="Z203" s="26"/>
      <c r="AA203" s="143" t="s">
        <v>910</v>
      </c>
      <c r="AB203" s="191" t="s">
        <v>1256</v>
      </c>
      <c r="AC203" s="74" t="s">
        <v>1209</v>
      </c>
      <c r="AD203" s="584"/>
      <c r="AE203" s="584"/>
      <c r="AF203" s="584"/>
      <c r="AH203" s="633">
        <f t="shared" si="41"/>
        <v>0</v>
      </c>
      <c r="AI203" s="605">
        <f t="shared" si="47"/>
        <v>0</v>
      </c>
      <c r="AJ203" s="120">
        <f t="shared" si="43"/>
        <v>0</v>
      </c>
      <c r="AK203" s="634">
        <f t="shared" si="48"/>
        <v>0</v>
      </c>
      <c r="AL203" s="120"/>
      <c r="AM203" s="496"/>
      <c r="AN203" s="279" t="s">
        <v>632</v>
      </c>
      <c r="AO203" s="279">
        <v>17</v>
      </c>
      <c r="AP203" s="279"/>
      <c r="AQ203" s="279">
        <v>1</v>
      </c>
      <c r="AR203" s="1175"/>
      <c r="AS203" s="148"/>
      <c r="AY203" s="66"/>
      <c r="AZ203" s="66"/>
      <c r="BB203" s="1134"/>
      <c r="BC203" s="1134"/>
      <c r="BD203" s="1134"/>
      <c r="BE203" s="1134"/>
      <c r="BF203" s="1134"/>
    </row>
    <row r="204" spans="1:62" ht="38.25" hidden="1" x14ac:dyDescent="0.25">
      <c r="A204" s="478" t="s">
        <v>644</v>
      </c>
      <c r="B204" s="566" t="s">
        <v>645</v>
      </c>
      <c r="C204" s="479">
        <v>2017</v>
      </c>
      <c r="D204" s="83" t="s">
        <v>1702</v>
      </c>
      <c r="E204" s="480" t="s">
        <v>1533</v>
      </c>
      <c r="F204" s="480" t="s">
        <v>1533</v>
      </c>
      <c r="G204" s="240" t="s">
        <v>646</v>
      </c>
      <c r="H204" s="471">
        <v>0</v>
      </c>
      <c r="I204" s="471">
        <v>1</v>
      </c>
      <c r="J204" s="471">
        <v>0</v>
      </c>
      <c r="K204" s="831">
        <v>0</v>
      </c>
      <c r="L204" s="540">
        <v>0</v>
      </c>
      <c r="M204" s="799">
        <v>0</v>
      </c>
      <c r="N204" s="437">
        <v>0</v>
      </c>
      <c r="O204" s="543">
        <v>0</v>
      </c>
      <c r="P204" s="561">
        <v>0</v>
      </c>
      <c r="Q204" s="562">
        <v>0</v>
      </c>
      <c r="R204" s="567">
        <f>P204+Q204</f>
        <v>0</v>
      </c>
      <c r="S204" s="841">
        <v>0</v>
      </c>
      <c r="T204" s="38">
        <v>0</v>
      </c>
      <c r="U204" s="483">
        <v>0</v>
      </c>
      <c r="V204" s="483"/>
      <c r="W204" s="483"/>
      <c r="X204" s="132">
        <v>0</v>
      </c>
      <c r="Y204" s="131">
        <v>0</v>
      </c>
      <c r="Z204" s="564">
        <v>0</v>
      </c>
      <c r="AA204" s="143" t="s">
        <v>1489</v>
      </c>
      <c r="AB204" s="479" t="s">
        <v>1300</v>
      </c>
      <c r="AC204" s="285" t="s">
        <v>369</v>
      </c>
      <c r="AD204" s="504" t="s">
        <v>1282</v>
      </c>
      <c r="AE204" s="285" t="s">
        <v>1282</v>
      </c>
      <c r="AF204" s="730"/>
      <c r="AH204" s="516">
        <f>H204-J204-R204-S204-U204-X204-Y204-Z204</f>
        <v>0</v>
      </c>
      <c r="AI204" s="351">
        <f t="shared" si="47"/>
        <v>0</v>
      </c>
      <c r="AJ204" s="553">
        <f>K204-R204</f>
        <v>0</v>
      </c>
      <c r="AK204" s="509">
        <f t="shared" si="48"/>
        <v>0</v>
      </c>
      <c r="AL204" s="1140"/>
      <c r="AM204" s="449"/>
      <c r="AN204" s="646" t="s">
        <v>632</v>
      </c>
      <c r="AO204" s="391">
        <v>17</v>
      </c>
      <c r="AP204" s="392"/>
      <c r="AQ204" s="816">
        <v>3</v>
      </c>
      <c r="AR204" s="1152"/>
      <c r="AS204" s="148"/>
      <c r="AT204" s="580"/>
      <c r="AU204" s="580"/>
      <c r="AV204" s="580"/>
      <c r="AW204" s="582" t="s">
        <v>1489</v>
      </c>
      <c r="AX204" s="397" t="s">
        <v>1209</v>
      </c>
      <c r="AY204" s="66">
        <v>1</v>
      </c>
      <c r="AZ204" s="66">
        <v>0</v>
      </c>
      <c r="BA204" s="460"/>
      <c r="BB204" s="389"/>
      <c r="BC204" s="389"/>
      <c r="BD204" s="389"/>
      <c r="BE204" s="389"/>
      <c r="BF204" s="389"/>
      <c r="BG204" s="460"/>
      <c r="BH204" s="460"/>
      <c r="BI204" s="460"/>
      <c r="BJ204" s="471">
        <v>0</v>
      </c>
    </row>
    <row r="205" spans="1:62" s="180" customFormat="1" ht="45" hidden="1" x14ac:dyDescent="0.2">
      <c r="A205" s="173" t="s">
        <v>647</v>
      </c>
      <c r="B205" s="186" t="s">
        <v>648</v>
      </c>
      <c r="C205" s="83">
        <v>2017</v>
      </c>
      <c r="D205" s="83" t="s">
        <v>79</v>
      </c>
      <c r="E205" s="76" t="s">
        <v>649</v>
      </c>
      <c r="F205" s="76" t="s">
        <v>649</v>
      </c>
      <c r="G205" s="240" t="s">
        <v>650</v>
      </c>
      <c r="H205" s="85">
        <v>0</v>
      </c>
      <c r="I205" s="85"/>
      <c r="J205" s="85">
        <v>0</v>
      </c>
      <c r="K205" s="172"/>
      <c r="L205" s="45">
        <v>0</v>
      </c>
      <c r="M205" s="91">
        <v>0</v>
      </c>
      <c r="N205" s="45">
        <v>0</v>
      </c>
      <c r="O205" s="46">
        <v>0</v>
      </c>
      <c r="P205" s="45">
        <v>629.85</v>
      </c>
      <c r="Q205" s="1161">
        <v>-629.85</v>
      </c>
      <c r="R205" s="45">
        <f t="shared" si="49"/>
        <v>0</v>
      </c>
      <c r="S205" s="45">
        <v>0</v>
      </c>
      <c r="T205" s="86"/>
      <c r="U205" s="86">
        <v>0</v>
      </c>
      <c r="V205" s="86"/>
      <c r="W205" s="86"/>
      <c r="X205" s="45">
        <v>0</v>
      </c>
      <c r="Y205" s="46">
        <v>0</v>
      </c>
      <c r="Z205" s="46"/>
      <c r="AA205" s="143" t="s">
        <v>1209</v>
      </c>
      <c r="AB205" s="75" t="s">
        <v>1257</v>
      </c>
      <c r="AC205" s="74" t="s">
        <v>1209</v>
      </c>
      <c r="AD205" s="584"/>
      <c r="AE205" s="584"/>
      <c r="AF205" s="584"/>
      <c r="AH205" s="633">
        <f t="shared" ref="AH205:AH242" si="50">H205-J205-R205-S205-T205-U205-X205-Y205-Z205</f>
        <v>0</v>
      </c>
      <c r="AI205" s="605">
        <f t="shared" si="47"/>
        <v>0</v>
      </c>
      <c r="AJ205" s="120">
        <f t="shared" si="43"/>
        <v>0</v>
      </c>
      <c r="AK205" s="634">
        <f t="shared" si="48"/>
        <v>0</v>
      </c>
      <c r="AL205" s="120"/>
      <c r="AM205" s="496"/>
      <c r="AN205" s="279" t="s">
        <v>632</v>
      </c>
      <c r="AO205" s="279">
        <v>17</v>
      </c>
      <c r="AP205" s="279"/>
      <c r="AQ205" s="279">
        <v>1</v>
      </c>
      <c r="AR205" s="1175"/>
      <c r="AS205" s="148"/>
      <c r="AY205" s="66"/>
      <c r="AZ205" s="66"/>
      <c r="BB205" s="1134"/>
      <c r="BC205" s="1134"/>
      <c r="BD205" s="1134"/>
      <c r="BE205" s="1134"/>
      <c r="BF205" s="1134"/>
    </row>
    <row r="206" spans="1:62" s="179" customFormat="1" ht="25.5" x14ac:dyDescent="0.2">
      <c r="A206" s="173" t="s">
        <v>651</v>
      </c>
      <c r="B206" s="186" t="s">
        <v>652</v>
      </c>
      <c r="C206" s="83">
        <v>2017</v>
      </c>
      <c r="D206" s="83" t="s">
        <v>79</v>
      </c>
      <c r="E206" s="76" t="s">
        <v>653</v>
      </c>
      <c r="F206" s="76" t="s">
        <v>653</v>
      </c>
      <c r="G206" s="240" t="s">
        <v>654</v>
      </c>
      <c r="H206" s="85">
        <v>4413.2322999999997</v>
      </c>
      <c r="I206" s="85"/>
      <c r="J206" s="85">
        <v>4413.2322999999997</v>
      </c>
      <c r="K206" s="172"/>
      <c r="L206" s="45">
        <v>0</v>
      </c>
      <c r="M206" s="91">
        <v>0</v>
      </c>
      <c r="N206" s="45">
        <v>0</v>
      </c>
      <c r="O206" s="46">
        <v>0</v>
      </c>
      <c r="P206" s="45">
        <v>86.77</v>
      </c>
      <c r="Q206" s="1161">
        <v>-86.77</v>
      </c>
      <c r="R206" s="45">
        <f t="shared" si="49"/>
        <v>0</v>
      </c>
      <c r="S206" s="45">
        <v>0</v>
      </c>
      <c r="T206" s="86"/>
      <c r="U206" s="86">
        <v>0</v>
      </c>
      <c r="V206" s="86"/>
      <c r="W206" s="86"/>
      <c r="X206" s="45">
        <v>0</v>
      </c>
      <c r="Y206" s="46">
        <v>0</v>
      </c>
      <c r="Z206" s="46"/>
      <c r="AA206" s="150" t="s">
        <v>910</v>
      </c>
      <c r="AB206" s="191" t="s">
        <v>1256</v>
      </c>
      <c r="AC206" s="74" t="s">
        <v>1209</v>
      </c>
      <c r="AD206" s="584"/>
      <c r="AE206" s="584"/>
      <c r="AF206" s="584"/>
      <c r="AH206" s="633">
        <f t="shared" si="50"/>
        <v>0</v>
      </c>
      <c r="AI206" s="605">
        <f t="shared" si="47"/>
        <v>0</v>
      </c>
      <c r="AJ206" s="120">
        <f t="shared" si="43"/>
        <v>0</v>
      </c>
      <c r="AK206" s="634">
        <f t="shared" si="48"/>
        <v>0</v>
      </c>
      <c r="AL206" s="120"/>
      <c r="AM206" s="496"/>
      <c r="AN206" s="279" t="s">
        <v>632</v>
      </c>
      <c r="AO206" s="279">
        <v>17</v>
      </c>
      <c r="AP206" s="279"/>
      <c r="AQ206" s="279">
        <v>1</v>
      </c>
      <c r="AR206" s="1175"/>
      <c r="AS206" s="148"/>
      <c r="AY206" s="66"/>
      <c r="AZ206" s="66"/>
      <c r="BB206" s="1134"/>
      <c r="BC206" s="1134"/>
      <c r="BD206" s="1134"/>
      <c r="BE206" s="1134"/>
      <c r="BF206" s="1134"/>
    </row>
    <row r="207" spans="1:62" s="179" customFormat="1" ht="25.5" x14ac:dyDescent="0.2">
      <c r="A207" s="173" t="s">
        <v>655</v>
      </c>
      <c r="B207" s="186" t="s">
        <v>656</v>
      </c>
      <c r="C207" s="83">
        <v>2017</v>
      </c>
      <c r="D207" s="83" t="s">
        <v>90</v>
      </c>
      <c r="E207" s="90" t="s">
        <v>657</v>
      </c>
      <c r="F207" s="90" t="s">
        <v>657</v>
      </c>
      <c r="G207" s="241" t="s">
        <v>658</v>
      </c>
      <c r="H207" s="85">
        <v>1202.317</v>
      </c>
      <c r="I207" s="85"/>
      <c r="J207" s="85">
        <v>1202.317</v>
      </c>
      <c r="K207" s="172"/>
      <c r="L207" s="45">
        <v>0</v>
      </c>
      <c r="M207" s="91">
        <v>0</v>
      </c>
      <c r="N207" s="45">
        <v>0</v>
      </c>
      <c r="O207" s="46">
        <v>0</v>
      </c>
      <c r="P207" s="45">
        <v>15.622999999999999</v>
      </c>
      <c r="Q207" s="1161">
        <v>-15.622999999999999</v>
      </c>
      <c r="R207" s="45">
        <f t="shared" si="49"/>
        <v>0</v>
      </c>
      <c r="S207" s="45">
        <v>0</v>
      </c>
      <c r="T207" s="86"/>
      <c r="U207" s="86">
        <v>0</v>
      </c>
      <c r="V207" s="86"/>
      <c r="W207" s="86"/>
      <c r="X207" s="45">
        <v>0</v>
      </c>
      <c r="Y207" s="46">
        <v>0</v>
      </c>
      <c r="Z207" s="46"/>
      <c r="AA207" s="150" t="s">
        <v>910</v>
      </c>
      <c r="AB207" s="191" t="s">
        <v>1256</v>
      </c>
      <c r="AC207" s="74" t="s">
        <v>1209</v>
      </c>
      <c r="AD207" s="584"/>
      <c r="AE207" s="584"/>
      <c r="AF207" s="584"/>
      <c r="AH207" s="633">
        <f t="shared" si="50"/>
        <v>0</v>
      </c>
      <c r="AI207" s="605">
        <f t="shared" si="47"/>
        <v>0</v>
      </c>
      <c r="AJ207" s="120">
        <f t="shared" si="43"/>
        <v>0</v>
      </c>
      <c r="AK207" s="634">
        <f t="shared" si="48"/>
        <v>0</v>
      </c>
      <c r="AL207" s="120"/>
      <c r="AM207" s="496"/>
      <c r="AN207" s="279" t="s">
        <v>632</v>
      </c>
      <c r="AO207" s="279">
        <v>17</v>
      </c>
      <c r="AP207" s="279"/>
      <c r="AQ207" s="279">
        <v>1</v>
      </c>
      <c r="AR207" s="1175"/>
      <c r="AS207" s="148"/>
      <c r="AY207" s="66"/>
      <c r="AZ207" s="66"/>
      <c r="BB207" s="1134"/>
      <c r="BC207" s="1134"/>
      <c r="BD207" s="1134"/>
      <c r="BE207" s="1134"/>
      <c r="BF207" s="1134"/>
    </row>
    <row r="208" spans="1:62" s="180" customFormat="1" ht="38.25" x14ac:dyDescent="0.2">
      <c r="A208" s="173" t="s">
        <v>659</v>
      </c>
      <c r="B208" s="186" t="s">
        <v>660</v>
      </c>
      <c r="C208" s="83">
        <v>2017</v>
      </c>
      <c r="D208" s="83" t="s">
        <v>661</v>
      </c>
      <c r="E208" s="90" t="s">
        <v>26</v>
      </c>
      <c r="F208" s="90" t="s">
        <v>26</v>
      </c>
      <c r="G208" s="241" t="s">
        <v>662</v>
      </c>
      <c r="H208" s="85">
        <v>75069.149999999994</v>
      </c>
      <c r="I208" s="85"/>
      <c r="J208" s="85">
        <v>75069.149999999994</v>
      </c>
      <c r="K208" s="172"/>
      <c r="L208" s="45">
        <v>0</v>
      </c>
      <c r="M208" s="91">
        <v>0</v>
      </c>
      <c r="N208" s="45">
        <v>0</v>
      </c>
      <c r="O208" s="46">
        <v>0</v>
      </c>
      <c r="P208" s="45">
        <v>0</v>
      </c>
      <c r="Q208" s="1161">
        <v>0</v>
      </c>
      <c r="R208" s="45">
        <f t="shared" si="49"/>
        <v>0</v>
      </c>
      <c r="S208" s="45">
        <v>0</v>
      </c>
      <c r="T208" s="86"/>
      <c r="U208" s="86">
        <v>0</v>
      </c>
      <c r="V208" s="86"/>
      <c r="W208" s="86"/>
      <c r="X208" s="45">
        <v>0</v>
      </c>
      <c r="Y208" s="46">
        <v>0</v>
      </c>
      <c r="Z208" s="46"/>
      <c r="AA208" s="150" t="s">
        <v>1209</v>
      </c>
      <c r="AB208" s="191" t="s">
        <v>1256</v>
      </c>
      <c r="AC208" s="74" t="s">
        <v>1209</v>
      </c>
      <c r="AD208" s="584"/>
      <c r="AE208" s="584"/>
      <c r="AF208" s="584"/>
      <c r="AH208" s="633">
        <f t="shared" si="50"/>
        <v>0</v>
      </c>
      <c r="AI208" s="605">
        <f t="shared" si="47"/>
        <v>0</v>
      </c>
      <c r="AJ208" s="120">
        <f t="shared" si="43"/>
        <v>0</v>
      </c>
      <c r="AK208" s="634">
        <f t="shared" si="48"/>
        <v>0</v>
      </c>
      <c r="AL208" s="120"/>
      <c r="AM208" s="496"/>
      <c r="AN208" s="279" t="s">
        <v>632</v>
      </c>
      <c r="AO208" s="279">
        <v>17</v>
      </c>
      <c r="AP208" s="279"/>
      <c r="AQ208" s="279">
        <v>1</v>
      </c>
      <c r="AR208" s="1175"/>
      <c r="AS208" s="148"/>
      <c r="AY208" s="66"/>
      <c r="AZ208" s="66"/>
      <c r="BB208" s="1134"/>
      <c r="BC208" s="1134"/>
      <c r="BD208" s="1134"/>
      <c r="BE208" s="1134"/>
      <c r="BF208" s="1134"/>
    </row>
    <row r="209" spans="1:58" s="179" customFormat="1" ht="25.5" x14ac:dyDescent="0.2">
      <c r="A209" s="173" t="s">
        <v>663</v>
      </c>
      <c r="B209" s="186" t="s">
        <v>664</v>
      </c>
      <c r="C209" s="83">
        <v>2017</v>
      </c>
      <c r="D209" s="83" t="s">
        <v>90</v>
      </c>
      <c r="E209" s="90" t="s">
        <v>665</v>
      </c>
      <c r="F209" s="90" t="s">
        <v>665</v>
      </c>
      <c r="G209" s="241" t="s">
        <v>666</v>
      </c>
      <c r="H209" s="85">
        <v>1924.011</v>
      </c>
      <c r="I209" s="85"/>
      <c r="J209" s="85">
        <v>1924.011</v>
      </c>
      <c r="K209" s="172"/>
      <c r="L209" s="45">
        <v>0</v>
      </c>
      <c r="M209" s="91">
        <v>0</v>
      </c>
      <c r="N209" s="45">
        <v>0</v>
      </c>
      <c r="O209" s="46">
        <v>0</v>
      </c>
      <c r="P209" s="45">
        <v>76.010000000000005</v>
      </c>
      <c r="Q209" s="1161">
        <v>-76.010000000000005</v>
      </c>
      <c r="R209" s="45">
        <f t="shared" si="49"/>
        <v>0</v>
      </c>
      <c r="S209" s="45">
        <v>0</v>
      </c>
      <c r="T209" s="86"/>
      <c r="U209" s="86">
        <v>0</v>
      </c>
      <c r="V209" s="86"/>
      <c r="W209" s="86"/>
      <c r="X209" s="45">
        <v>0</v>
      </c>
      <c r="Y209" s="46">
        <v>0</v>
      </c>
      <c r="Z209" s="46"/>
      <c r="AA209" s="150" t="s">
        <v>910</v>
      </c>
      <c r="AB209" s="191" t="s">
        <v>1256</v>
      </c>
      <c r="AC209" s="74" t="s">
        <v>1209</v>
      </c>
      <c r="AD209" s="584"/>
      <c r="AE209" s="584"/>
      <c r="AF209" s="584"/>
      <c r="AH209" s="633">
        <f t="shared" si="50"/>
        <v>0</v>
      </c>
      <c r="AI209" s="605">
        <f t="shared" si="47"/>
        <v>0</v>
      </c>
      <c r="AJ209" s="120">
        <f t="shared" si="43"/>
        <v>0</v>
      </c>
      <c r="AK209" s="634">
        <f t="shared" si="48"/>
        <v>0</v>
      </c>
      <c r="AL209" s="120"/>
      <c r="AM209" s="496"/>
      <c r="AN209" s="279" t="s">
        <v>632</v>
      </c>
      <c r="AO209" s="279">
        <v>17</v>
      </c>
      <c r="AP209" s="279"/>
      <c r="AQ209" s="279">
        <v>1</v>
      </c>
      <c r="AR209" s="1175"/>
      <c r="AS209" s="148"/>
      <c r="AY209" s="66"/>
      <c r="AZ209" s="66"/>
      <c r="BB209" s="1134"/>
      <c r="BC209" s="1134"/>
      <c r="BD209" s="1134"/>
      <c r="BE209" s="1134"/>
      <c r="BF209" s="1134"/>
    </row>
    <row r="210" spans="1:58" s="180" customFormat="1" ht="30" x14ac:dyDescent="0.2">
      <c r="A210" s="173" t="s">
        <v>669</v>
      </c>
      <c r="B210" s="186" t="s">
        <v>670</v>
      </c>
      <c r="C210" s="83">
        <v>2017</v>
      </c>
      <c r="D210" s="83" t="s">
        <v>90</v>
      </c>
      <c r="E210" s="90" t="s">
        <v>639</v>
      </c>
      <c r="F210" s="90" t="s">
        <v>639</v>
      </c>
      <c r="G210" s="241" t="s">
        <v>671</v>
      </c>
      <c r="H210" s="85">
        <v>2300</v>
      </c>
      <c r="I210" s="85"/>
      <c r="J210" s="85">
        <v>2300</v>
      </c>
      <c r="K210" s="172"/>
      <c r="L210" s="45">
        <v>0</v>
      </c>
      <c r="M210" s="91">
        <v>0</v>
      </c>
      <c r="N210" s="45">
        <v>0</v>
      </c>
      <c r="O210" s="46">
        <v>0</v>
      </c>
      <c r="P210" s="27">
        <v>0</v>
      </c>
      <c r="Q210" s="1161">
        <v>0</v>
      </c>
      <c r="R210" s="45">
        <f t="shared" si="49"/>
        <v>0</v>
      </c>
      <c r="S210" s="45">
        <v>0</v>
      </c>
      <c r="T210" s="86"/>
      <c r="U210" s="86">
        <v>0</v>
      </c>
      <c r="V210" s="86"/>
      <c r="W210" s="86"/>
      <c r="X210" s="45">
        <v>0</v>
      </c>
      <c r="Y210" s="46">
        <v>0</v>
      </c>
      <c r="Z210" s="46"/>
      <c r="AA210" s="150" t="s">
        <v>1209</v>
      </c>
      <c r="AB210" s="191" t="s">
        <v>1256</v>
      </c>
      <c r="AC210" s="74" t="s">
        <v>1209</v>
      </c>
      <c r="AD210" s="584"/>
      <c r="AE210" s="584"/>
      <c r="AF210" s="584"/>
      <c r="AH210" s="633">
        <f t="shared" si="50"/>
        <v>0</v>
      </c>
      <c r="AI210" s="605">
        <f t="shared" si="47"/>
        <v>0</v>
      </c>
      <c r="AJ210" s="120">
        <f t="shared" si="43"/>
        <v>0</v>
      </c>
      <c r="AK210" s="634">
        <f t="shared" si="48"/>
        <v>0</v>
      </c>
      <c r="AL210" s="120"/>
      <c r="AM210" s="496"/>
      <c r="AN210" s="279" t="s">
        <v>632</v>
      </c>
      <c r="AO210" s="279">
        <v>17</v>
      </c>
      <c r="AP210" s="279"/>
      <c r="AQ210" s="279">
        <v>1</v>
      </c>
      <c r="AR210" s="1175"/>
      <c r="AS210" s="148"/>
      <c r="AY210" s="66"/>
      <c r="AZ210" s="66"/>
      <c r="BB210" s="1134"/>
      <c r="BC210" s="1134"/>
      <c r="BD210" s="1134"/>
      <c r="BE210" s="1134"/>
      <c r="BF210" s="1134"/>
    </row>
    <row r="211" spans="1:58" s="179" customFormat="1" ht="25.5" x14ac:dyDescent="0.2">
      <c r="A211" s="173" t="s">
        <v>672</v>
      </c>
      <c r="B211" s="186" t="s">
        <v>673</v>
      </c>
      <c r="C211" s="83">
        <v>2017</v>
      </c>
      <c r="D211" s="83" t="s">
        <v>90</v>
      </c>
      <c r="E211" s="90" t="s">
        <v>639</v>
      </c>
      <c r="F211" s="90" t="s">
        <v>639</v>
      </c>
      <c r="G211" s="241" t="s">
        <v>674</v>
      </c>
      <c r="H211" s="85">
        <v>1562.77295</v>
      </c>
      <c r="I211" s="85"/>
      <c r="J211" s="85">
        <v>1562.77295</v>
      </c>
      <c r="K211" s="172"/>
      <c r="L211" s="45">
        <v>0</v>
      </c>
      <c r="M211" s="91">
        <v>0</v>
      </c>
      <c r="N211" s="45">
        <v>0</v>
      </c>
      <c r="O211" s="46">
        <v>0</v>
      </c>
      <c r="P211" s="45">
        <v>37.229999999999997</v>
      </c>
      <c r="Q211" s="1161">
        <v>-37.229999999999997</v>
      </c>
      <c r="R211" s="45">
        <f t="shared" si="49"/>
        <v>0</v>
      </c>
      <c r="S211" s="45">
        <v>0</v>
      </c>
      <c r="T211" s="86"/>
      <c r="U211" s="86">
        <v>0</v>
      </c>
      <c r="V211" s="86"/>
      <c r="W211" s="86"/>
      <c r="X211" s="45">
        <v>0</v>
      </c>
      <c r="Y211" s="46">
        <v>0</v>
      </c>
      <c r="Z211" s="46"/>
      <c r="AA211" s="150" t="s">
        <v>910</v>
      </c>
      <c r="AB211" s="191" t="s">
        <v>1256</v>
      </c>
      <c r="AC211" s="74" t="s">
        <v>1209</v>
      </c>
      <c r="AD211" s="584"/>
      <c r="AE211" s="584"/>
      <c r="AF211" s="584"/>
      <c r="AH211" s="633">
        <f t="shared" si="50"/>
        <v>0</v>
      </c>
      <c r="AI211" s="605">
        <f t="shared" si="47"/>
        <v>0</v>
      </c>
      <c r="AJ211" s="120">
        <f t="shared" si="43"/>
        <v>0</v>
      </c>
      <c r="AK211" s="634">
        <f t="shared" si="48"/>
        <v>0</v>
      </c>
      <c r="AL211" s="120"/>
      <c r="AM211" s="496"/>
      <c r="AN211" s="279" t="s">
        <v>632</v>
      </c>
      <c r="AO211" s="279">
        <v>17</v>
      </c>
      <c r="AP211" s="279"/>
      <c r="AQ211" s="279">
        <v>1</v>
      </c>
      <c r="AR211" s="1175"/>
      <c r="AS211" s="148"/>
      <c r="AY211" s="66"/>
      <c r="AZ211" s="66"/>
      <c r="BB211" s="1134"/>
      <c r="BC211" s="1134"/>
      <c r="BD211" s="1134"/>
      <c r="BE211" s="1134"/>
      <c r="BF211" s="1134"/>
    </row>
    <row r="212" spans="1:58" s="180" customFormat="1" ht="25.5" x14ac:dyDescent="0.2">
      <c r="A212" s="173" t="s">
        <v>675</v>
      </c>
      <c r="B212" s="186" t="s">
        <v>676</v>
      </c>
      <c r="C212" s="83">
        <v>2017</v>
      </c>
      <c r="D212" s="83" t="s">
        <v>90</v>
      </c>
      <c r="E212" s="90" t="s">
        <v>677</v>
      </c>
      <c r="F212" s="90" t="s">
        <v>677</v>
      </c>
      <c r="G212" s="241" t="s">
        <v>678</v>
      </c>
      <c r="H212" s="85">
        <v>0</v>
      </c>
      <c r="I212" s="85"/>
      <c r="J212" s="85">
        <v>0</v>
      </c>
      <c r="K212" s="172"/>
      <c r="L212" s="45">
        <v>0</v>
      </c>
      <c r="M212" s="91">
        <v>0</v>
      </c>
      <c r="N212" s="45">
        <v>0</v>
      </c>
      <c r="O212" s="46">
        <v>0</v>
      </c>
      <c r="P212" s="27">
        <v>0</v>
      </c>
      <c r="Q212" s="1161">
        <v>0</v>
      </c>
      <c r="R212" s="45">
        <f t="shared" si="49"/>
        <v>0</v>
      </c>
      <c r="S212" s="45">
        <v>0</v>
      </c>
      <c r="T212" s="86"/>
      <c r="U212" s="86">
        <v>0</v>
      </c>
      <c r="V212" s="86"/>
      <c r="W212" s="86"/>
      <c r="X212" s="45">
        <v>0</v>
      </c>
      <c r="Y212" s="46">
        <v>0</v>
      </c>
      <c r="Z212" s="46"/>
      <c r="AA212" s="150" t="s">
        <v>971</v>
      </c>
      <c r="AB212" s="191" t="s">
        <v>1256</v>
      </c>
      <c r="AC212" s="74" t="s">
        <v>1209</v>
      </c>
      <c r="AD212" s="584"/>
      <c r="AE212" s="584"/>
      <c r="AF212" s="584"/>
      <c r="AH212" s="633">
        <f t="shared" si="50"/>
        <v>0</v>
      </c>
      <c r="AI212" s="605">
        <f t="shared" si="47"/>
        <v>0</v>
      </c>
      <c r="AJ212" s="120">
        <f t="shared" si="43"/>
        <v>0</v>
      </c>
      <c r="AK212" s="634">
        <f t="shared" si="48"/>
        <v>0</v>
      </c>
      <c r="AL212" s="120"/>
      <c r="AM212" s="496"/>
      <c r="AN212" s="279" t="s">
        <v>632</v>
      </c>
      <c r="AO212" s="279">
        <v>17</v>
      </c>
      <c r="AP212" s="279"/>
      <c r="AQ212" s="279">
        <v>1</v>
      </c>
      <c r="AR212" s="1175"/>
      <c r="AS212" s="148"/>
      <c r="AY212" s="66"/>
      <c r="AZ212" s="66"/>
      <c r="BB212" s="1134"/>
      <c r="BC212" s="1134"/>
      <c r="BD212" s="1134"/>
      <c r="BE212" s="1134"/>
      <c r="BF212" s="1134"/>
    </row>
    <row r="213" spans="1:58" s="179" customFormat="1" ht="25.5" x14ac:dyDescent="0.2">
      <c r="A213" s="173" t="s">
        <v>679</v>
      </c>
      <c r="B213" s="186" t="s">
        <v>680</v>
      </c>
      <c r="C213" s="83">
        <v>2017</v>
      </c>
      <c r="D213" s="83" t="s">
        <v>90</v>
      </c>
      <c r="E213" s="90" t="s">
        <v>653</v>
      </c>
      <c r="F213" s="90" t="s">
        <v>653</v>
      </c>
      <c r="G213" s="241" t="s">
        <v>681</v>
      </c>
      <c r="H213" s="85">
        <v>2561.2530000000002</v>
      </c>
      <c r="I213" s="85"/>
      <c r="J213" s="85">
        <v>2561.2530000000002</v>
      </c>
      <c r="K213" s="172"/>
      <c r="L213" s="45">
        <v>0</v>
      </c>
      <c r="M213" s="91">
        <v>0</v>
      </c>
      <c r="N213" s="45">
        <v>0</v>
      </c>
      <c r="O213" s="46">
        <v>0</v>
      </c>
      <c r="P213" s="27">
        <v>238.74700000000001</v>
      </c>
      <c r="Q213" s="1161">
        <v>-238.74700000000001</v>
      </c>
      <c r="R213" s="45">
        <f t="shared" si="49"/>
        <v>0</v>
      </c>
      <c r="S213" s="45">
        <v>0</v>
      </c>
      <c r="T213" s="86"/>
      <c r="U213" s="86">
        <v>0</v>
      </c>
      <c r="V213" s="86"/>
      <c r="W213" s="86"/>
      <c r="X213" s="45">
        <v>0</v>
      </c>
      <c r="Y213" s="46">
        <v>0</v>
      </c>
      <c r="Z213" s="46"/>
      <c r="AA213" s="150" t="s">
        <v>910</v>
      </c>
      <c r="AB213" s="191" t="s">
        <v>1256</v>
      </c>
      <c r="AC213" s="74" t="s">
        <v>1209</v>
      </c>
      <c r="AD213" s="584"/>
      <c r="AE213" s="584"/>
      <c r="AF213" s="584"/>
      <c r="AH213" s="633">
        <f t="shared" si="50"/>
        <v>0</v>
      </c>
      <c r="AI213" s="605">
        <f t="shared" si="47"/>
        <v>0</v>
      </c>
      <c r="AJ213" s="120">
        <f t="shared" si="43"/>
        <v>0</v>
      </c>
      <c r="AK213" s="634">
        <f t="shared" si="48"/>
        <v>0</v>
      </c>
      <c r="AL213" s="120"/>
      <c r="AM213" s="496"/>
      <c r="AN213" s="279" t="s">
        <v>632</v>
      </c>
      <c r="AO213" s="279">
        <v>17</v>
      </c>
      <c r="AP213" s="279"/>
      <c r="AQ213" s="279">
        <v>1</v>
      </c>
      <c r="AR213" s="1175"/>
      <c r="AS213" s="148"/>
      <c r="AY213" s="66"/>
      <c r="AZ213" s="66"/>
      <c r="BB213" s="1134"/>
      <c r="BC213" s="1134"/>
      <c r="BD213" s="1134"/>
      <c r="BE213" s="1134"/>
      <c r="BF213" s="1134"/>
    </row>
    <row r="214" spans="1:58" s="179" customFormat="1" ht="25.5" x14ac:dyDescent="0.2">
      <c r="A214" s="173" t="s">
        <v>693</v>
      </c>
      <c r="B214" s="186" t="s">
        <v>694</v>
      </c>
      <c r="C214" s="83">
        <v>2017</v>
      </c>
      <c r="D214" s="83" t="s">
        <v>90</v>
      </c>
      <c r="E214" s="90" t="s">
        <v>688</v>
      </c>
      <c r="F214" s="90" t="s">
        <v>688</v>
      </c>
      <c r="G214" s="241" t="s">
        <v>695</v>
      </c>
      <c r="H214" s="85">
        <v>155.44204999999999</v>
      </c>
      <c r="I214" s="85"/>
      <c r="J214" s="85">
        <v>155.44204999999999</v>
      </c>
      <c r="K214" s="172"/>
      <c r="L214" s="45">
        <v>0</v>
      </c>
      <c r="M214" s="91">
        <v>0</v>
      </c>
      <c r="N214" s="45">
        <v>0</v>
      </c>
      <c r="O214" s="46">
        <v>0</v>
      </c>
      <c r="P214" s="27">
        <v>42.557949999999998</v>
      </c>
      <c r="Q214" s="1161">
        <v>-42.557949999999998</v>
      </c>
      <c r="R214" s="45">
        <f t="shared" si="49"/>
        <v>0</v>
      </c>
      <c r="S214" s="45">
        <v>0</v>
      </c>
      <c r="T214" s="86"/>
      <c r="U214" s="86">
        <v>0</v>
      </c>
      <c r="V214" s="86"/>
      <c r="W214" s="86"/>
      <c r="X214" s="45">
        <v>0</v>
      </c>
      <c r="Y214" s="46">
        <v>0</v>
      </c>
      <c r="Z214" s="46"/>
      <c r="AA214" s="150" t="s">
        <v>910</v>
      </c>
      <c r="AB214" s="191" t="s">
        <v>1256</v>
      </c>
      <c r="AC214" s="74" t="s">
        <v>1209</v>
      </c>
      <c r="AD214" s="584"/>
      <c r="AE214" s="584"/>
      <c r="AF214" s="584"/>
      <c r="AH214" s="633">
        <f t="shared" si="50"/>
        <v>0</v>
      </c>
      <c r="AI214" s="605">
        <f t="shared" si="47"/>
        <v>0</v>
      </c>
      <c r="AJ214" s="120">
        <f t="shared" si="43"/>
        <v>0</v>
      </c>
      <c r="AK214" s="634">
        <f t="shared" si="48"/>
        <v>0</v>
      </c>
      <c r="AL214" s="120"/>
      <c r="AM214" s="496"/>
      <c r="AN214" s="279" t="s">
        <v>632</v>
      </c>
      <c r="AO214" s="279">
        <v>17</v>
      </c>
      <c r="AP214" s="279"/>
      <c r="AQ214" s="279">
        <v>1</v>
      </c>
      <c r="AR214" s="1175"/>
      <c r="AS214" s="148"/>
      <c r="AY214" s="66"/>
      <c r="AZ214" s="66"/>
      <c r="BB214" s="1134"/>
      <c r="BC214" s="1134"/>
      <c r="BD214" s="1134"/>
      <c r="BE214" s="1134"/>
      <c r="BF214" s="1134"/>
    </row>
    <row r="215" spans="1:58" s="179" customFormat="1" ht="25.5" x14ac:dyDescent="0.2">
      <c r="A215" s="173" t="s">
        <v>700</v>
      </c>
      <c r="B215" s="186" t="s">
        <v>701</v>
      </c>
      <c r="C215" s="83">
        <v>2017</v>
      </c>
      <c r="D215" s="83" t="s">
        <v>90</v>
      </c>
      <c r="E215" s="90" t="s">
        <v>702</v>
      </c>
      <c r="F215" s="90" t="s">
        <v>702</v>
      </c>
      <c r="G215" s="241" t="s">
        <v>703</v>
      </c>
      <c r="H215" s="85">
        <v>620.09</v>
      </c>
      <c r="I215" s="85"/>
      <c r="J215" s="85">
        <v>620.09</v>
      </c>
      <c r="K215" s="172"/>
      <c r="L215" s="45">
        <v>0</v>
      </c>
      <c r="M215" s="91">
        <v>0</v>
      </c>
      <c r="N215" s="45">
        <v>0</v>
      </c>
      <c r="O215" s="46">
        <v>0</v>
      </c>
      <c r="P215" s="27">
        <v>107.72</v>
      </c>
      <c r="Q215" s="1161">
        <v>-107.72</v>
      </c>
      <c r="R215" s="45">
        <f t="shared" si="49"/>
        <v>0</v>
      </c>
      <c r="S215" s="45">
        <v>0</v>
      </c>
      <c r="T215" s="86"/>
      <c r="U215" s="86">
        <v>0</v>
      </c>
      <c r="V215" s="86"/>
      <c r="W215" s="86"/>
      <c r="X215" s="45">
        <v>0</v>
      </c>
      <c r="Y215" s="46">
        <v>0</v>
      </c>
      <c r="Z215" s="46"/>
      <c r="AA215" s="150" t="s">
        <v>910</v>
      </c>
      <c r="AB215" s="191" t="s">
        <v>1256</v>
      </c>
      <c r="AC215" s="74" t="s">
        <v>1209</v>
      </c>
      <c r="AD215" s="584"/>
      <c r="AE215" s="584"/>
      <c r="AF215" s="584"/>
      <c r="AH215" s="633">
        <f t="shared" si="50"/>
        <v>0</v>
      </c>
      <c r="AI215" s="605">
        <f t="shared" si="47"/>
        <v>0</v>
      </c>
      <c r="AJ215" s="120">
        <f t="shared" si="43"/>
        <v>0</v>
      </c>
      <c r="AK215" s="634">
        <f t="shared" si="48"/>
        <v>0</v>
      </c>
      <c r="AL215" s="120"/>
      <c r="AM215" s="496"/>
      <c r="AN215" s="279" t="s">
        <v>632</v>
      </c>
      <c r="AO215" s="279">
        <v>17</v>
      </c>
      <c r="AP215" s="279"/>
      <c r="AQ215" s="279">
        <v>1</v>
      </c>
      <c r="AR215" s="1175"/>
      <c r="AS215" s="148"/>
      <c r="AY215" s="66"/>
      <c r="AZ215" s="66"/>
      <c r="BB215" s="1134"/>
      <c r="BC215" s="1134"/>
      <c r="BD215" s="1134"/>
      <c r="BE215" s="1134"/>
      <c r="BF215" s="1134"/>
    </row>
    <row r="216" spans="1:58" s="179" customFormat="1" ht="25.5" x14ac:dyDescent="0.2">
      <c r="A216" s="173" t="s">
        <v>705</v>
      </c>
      <c r="B216" s="186" t="s">
        <v>706</v>
      </c>
      <c r="C216" s="83">
        <v>2017</v>
      </c>
      <c r="D216" s="83" t="s">
        <v>90</v>
      </c>
      <c r="E216" s="90" t="s">
        <v>707</v>
      </c>
      <c r="F216" s="90" t="s">
        <v>707</v>
      </c>
      <c r="G216" s="241" t="s">
        <v>708</v>
      </c>
      <c r="H216" s="85">
        <v>191.18</v>
      </c>
      <c r="I216" s="85"/>
      <c r="J216" s="85">
        <v>191.18</v>
      </c>
      <c r="K216" s="172"/>
      <c r="L216" s="45">
        <v>0</v>
      </c>
      <c r="M216" s="91">
        <v>0</v>
      </c>
      <c r="N216" s="45">
        <v>0</v>
      </c>
      <c r="O216" s="46">
        <v>0</v>
      </c>
      <c r="P216" s="27">
        <v>9</v>
      </c>
      <c r="Q216" s="1161">
        <v>-9</v>
      </c>
      <c r="R216" s="45">
        <f t="shared" si="49"/>
        <v>0</v>
      </c>
      <c r="S216" s="45">
        <v>0</v>
      </c>
      <c r="T216" s="86"/>
      <c r="U216" s="86">
        <v>0</v>
      </c>
      <c r="V216" s="86"/>
      <c r="W216" s="86"/>
      <c r="X216" s="45">
        <v>0</v>
      </c>
      <c r="Y216" s="46">
        <v>0</v>
      </c>
      <c r="Z216" s="46"/>
      <c r="AA216" s="150" t="s">
        <v>910</v>
      </c>
      <c r="AB216" s="191" t="s">
        <v>1256</v>
      </c>
      <c r="AC216" s="74" t="s">
        <v>1209</v>
      </c>
      <c r="AD216" s="584"/>
      <c r="AE216" s="584"/>
      <c r="AF216" s="584"/>
      <c r="AH216" s="633">
        <f t="shared" si="50"/>
        <v>0</v>
      </c>
      <c r="AI216" s="605">
        <f t="shared" si="47"/>
        <v>0</v>
      </c>
      <c r="AJ216" s="120">
        <f t="shared" si="43"/>
        <v>0</v>
      </c>
      <c r="AK216" s="634">
        <f t="shared" si="48"/>
        <v>0</v>
      </c>
      <c r="AL216" s="120"/>
      <c r="AM216" s="496"/>
      <c r="AN216" s="279" t="s">
        <v>632</v>
      </c>
      <c r="AO216" s="279">
        <v>17</v>
      </c>
      <c r="AP216" s="279"/>
      <c r="AQ216" s="279">
        <v>1</v>
      </c>
      <c r="AR216" s="1175"/>
      <c r="AS216" s="148"/>
      <c r="AY216" s="66"/>
      <c r="AZ216" s="66"/>
      <c r="BB216" s="1134"/>
      <c r="BC216" s="1134"/>
      <c r="BD216" s="1134"/>
      <c r="BE216" s="1134"/>
      <c r="BF216" s="1134"/>
    </row>
    <row r="217" spans="1:58" s="180" customFormat="1" ht="25.5" hidden="1" x14ac:dyDescent="0.2">
      <c r="A217" s="173" t="s">
        <v>719</v>
      </c>
      <c r="B217" s="186" t="s">
        <v>1230</v>
      </c>
      <c r="C217" s="83">
        <v>2017</v>
      </c>
      <c r="D217" s="83" t="s">
        <v>90</v>
      </c>
      <c r="E217" s="90" t="s">
        <v>720</v>
      </c>
      <c r="F217" s="90" t="s">
        <v>720</v>
      </c>
      <c r="G217" s="241" t="s">
        <v>721</v>
      </c>
      <c r="H217" s="85">
        <v>0</v>
      </c>
      <c r="I217" s="85"/>
      <c r="J217" s="85">
        <v>0</v>
      </c>
      <c r="K217" s="172"/>
      <c r="L217" s="45">
        <v>0</v>
      </c>
      <c r="M217" s="91">
        <v>0</v>
      </c>
      <c r="N217" s="45">
        <v>0</v>
      </c>
      <c r="O217" s="46">
        <v>0</v>
      </c>
      <c r="P217" s="22">
        <v>0</v>
      </c>
      <c r="Q217" s="1161">
        <v>0</v>
      </c>
      <c r="R217" s="45">
        <f t="shared" si="49"/>
        <v>0</v>
      </c>
      <c r="S217" s="45">
        <v>0</v>
      </c>
      <c r="T217" s="86"/>
      <c r="U217" s="86">
        <v>0</v>
      </c>
      <c r="V217" s="86"/>
      <c r="W217" s="86"/>
      <c r="X217" s="45">
        <v>0</v>
      </c>
      <c r="Y217" s="46">
        <v>0</v>
      </c>
      <c r="Z217" s="46"/>
      <c r="AA217" s="150" t="s">
        <v>1209</v>
      </c>
      <c r="AB217" s="75" t="s">
        <v>1257</v>
      </c>
      <c r="AC217" s="74" t="s">
        <v>1209</v>
      </c>
      <c r="AD217" s="584"/>
      <c r="AE217" s="584"/>
      <c r="AF217" s="584"/>
      <c r="AH217" s="633">
        <f t="shared" si="50"/>
        <v>0</v>
      </c>
      <c r="AI217" s="605">
        <f t="shared" si="47"/>
        <v>0</v>
      </c>
      <c r="AJ217" s="120">
        <f t="shared" si="43"/>
        <v>0</v>
      </c>
      <c r="AK217" s="634">
        <f t="shared" si="48"/>
        <v>0</v>
      </c>
      <c r="AL217" s="120"/>
      <c r="AM217" s="496"/>
      <c r="AN217" s="279" t="s">
        <v>632</v>
      </c>
      <c r="AO217" s="279">
        <v>17</v>
      </c>
      <c r="AP217" s="279"/>
      <c r="AQ217" s="279">
        <v>1</v>
      </c>
      <c r="AR217" s="1175"/>
      <c r="AS217" s="148"/>
      <c r="AY217" s="66"/>
      <c r="AZ217" s="66"/>
      <c r="BB217" s="1134"/>
      <c r="BC217" s="1134"/>
      <c r="BD217" s="1134"/>
      <c r="BE217" s="1134"/>
      <c r="BF217" s="1134"/>
    </row>
    <row r="218" spans="1:58" s="180" customFormat="1" ht="30" x14ac:dyDescent="0.2">
      <c r="A218" s="173" t="s">
        <v>722</v>
      </c>
      <c r="B218" s="186" t="s">
        <v>723</v>
      </c>
      <c r="C218" s="83">
        <v>2017</v>
      </c>
      <c r="D218" s="83" t="s">
        <v>90</v>
      </c>
      <c r="E218" s="90" t="s">
        <v>720</v>
      </c>
      <c r="F218" s="90" t="s">
        <v>720</v>
      </c>
      <c r="G218" s="241" t="s">
        <v>724</v>
      </c>
      <c r="H218" s="85">
        <v>180</v>
      </c>
      <c r="I218" s="85"/>
      <c r="J218" s="85">
        <v>180</v>
      </c>
      <c r="K218" s="172"/>
      <c r="L218" s="45">
        <v>0</v>
      </c>
      <c r="M218" s="91">
        <v>0</v>
      </c>
      <c r="N218" s="45">
        <v>0</v>
      </c>
      <c r="O218" s="46">
        <v>0</v>
      </c>
      <c r="P218" s="27">
        <v>0</v>
      </c>
      <c r="Q218" s="1161">
        <v>0</v>
      </c>
      <c r="R218" s="45">
        <f t="shared" si="49"/>
        <v>0</v>
      </c>
      <c r="S218" s="45">
        <v>0</v>
      </c>
      <c r="T218" s="86"/>
      <c r="U218" s="86">
        <v>0</v>
      </c>
      <c r="V218" s="86"/>
      <c r="W218" s="86"/>
      <c r="X218" s="45">
        <v>0</v>
      </c>
      <c r="Y218" s="46">
        <v>0</v>
      </c>
      <c r="Z218" s="46"/>
      <c r="AA218" s="150" t="s">
        <v>1209</v>
      </c>
      <c r="AB218" s="191" t="s">
        <v>1256</v>
      </c>
      <c r="AC218" s="74" t="s">
        <v>1209</v>
      </c>
      <c r="AD218" s="584"/>
      <c r="AE218" s="584"/>
      <c r="AF218" s="584"/>
      <c r="AH218" s="633">
        <f t="shared" si="50"/>
        <v>0</v>
      </c>
      <c r="AI218" s="605">
        <f t="shared" si="47"/>
        <v>0</v>
      </c>
      <c r="AJ218" s="120">
        <f t="shared" si="43"/>
        <v>0</v>
      </c>
      <c r="AK218" s="634">
        <f t="shared" si="48"/>
        <v>0</v>
      </c>
      <c r="AL218" s="120"/>
      <c r="AM218" s="496"/>
      <c r="AN218" s="279" t="s">
        <v>632</v>
      </c>
      <c r="AO218" s="279">
        <v>17</v>
      </c>
      <c r="AP218" s="279"/>
      <c r="AQ218" s="279">
        <v>1</v>
      </c>
      <c r="AR218" s="1175"/>
      <c r="AS218" s="148"/>
      <c r="AY218" s="66"/>
      <c r="AZ218" s="66"/>
      <c r="BB218" s="1134"/>
      <c r="BC218" s="1134"/>
      <c r="BD218" s="1134"/>
      <c r="BE218" s="1134"/>
      <c r="BF218" s="1134"/>
    </row>
    <row r="219" spans="1:58" s="179" customFormat="1" ht="25.5" x14ac:dyDescent="0.2">
      <c r="A219" s="173" t="s">
        <v>725</v>
      </c>
      <c r="B219" s="186" t="s">
        <v>726</v>
      </c>
      <c r="C219" s="83">
        <v>2017</v>
      </c>
      <c r="D219" s="83" t="s">
        <v>90</v>
      </c>
      <c r="E219" s="90" t="s">
        <v>720</v>
      </c>
      <c r="F219" s="90" t="s">
        <v>720</v>
      </c>
      <c r="G219" s="241" t="s">
        <v>727</v>
      </c>
      <c r="H219" s="85">
        <v>74.213999999999999</v>
      </c>
      <c r="I219" s="85"/>
      <c r="J219" s="85">
        <v>74.213999999999999</v>
      </c>
      <c r="K219" s="172"/>
      <c r="L219" s="45">
        <v>0</v>
      </c>
      <c r="M219" s="91">
        <v>0</v>
      </c>
      <c r="N219" s="45">
        <v>0</v>
      </c>
      <c r="O219" s="46">
        <v>0</v>
      </c>
      <c r="P219" s="27">
        <v>5.79</v>
      </c>
      <c r="Q219" s="1161">
        <v>-5.79</v>
      </c>
      <c r="R219" s="45">
        <f t="shared" si="49"/>
        <v>0</v>
      </c>
      <c r="S219" s="45">
        <v>0</v>
      </c>
      <c r="T219" s="86"/>
      <c r="U219" s="86">
        <v>0</v>
      </c>
      <c r="V219" s="86"/>
      <c r="W219" s="86"/>
      <c r="X219" s="45">
        <v>0</v>
      </c>
      <c r="Y219" s="46">
        <v>0</v>
      </c>
      <c r="Z219" s="46"/>
      <c r="AA219" s="150" t="s">
        <v>910</v>
      </c>
      <c r="AB219" s="191" t="s">
        <v>1256</v>
      </c>
      <c r="AC219" s="74" t="s">
        <v>1209</v>
      </c>
      <c r="AD219" s="584"/>
      <c r="AE219" s="584"/>
      <c r="AF219" s="584"/>
      <c r="AH219" s="633">
        <f t="shared" si="50"/>
        <v>0</v>
      </c>
      <c r="AI219" s="605">
        <f t="shared" si="47"/>
        <v>0</v>
      </c>
      <c r="AJ219" s="120">
        <f t="shared" si="43"/>
        <v>0</v>
      </c>
      <c r="AK219" s="634">
        <f t="shared" si="48"/>
        <v>0</v>
      </c>
      <c r="AL219" s="120"/>
      <c r="AM219" s="496"/>
      <c r="AN219" s="279" t="s">
        <v>632</v>
      </c>
      <c r="AO219" s="279">
        <v>17</v>
      </c>
      <c r="AP219" s="279"/>
      <c r="AQ219" s="279">
        <v>1</v>
      </c>
      <c r="AR219" s="1175"/>
      <c r="AS219" s="148"/>
      <c r="AY219" s="66"/>
      <c r="AZ219" s="66"/>
      <c r="BB219" s="1134"/>
      <c r="BC219" s="1134"/>
      <c r="BD219" s="1134"/>
      <c r="BE219" s="1134"/>
      <c r="BF219" s="1134"/>
    </row>
    <row r="220" spans="1:58" s="179" customFormat="1" ht="25.5" x14ac:dyDescent="0.2">
      <c r="A220" s="173" t="s">
        <v>730</v>
      </c>
      <c r="B220" s="186" t="s">
        <v>731</v>
      </c>
      <c r="C220" s="83">
        <v>2017</v>
      </c>
      <c r="D220" s="83" t="s">
        <v>90</v>
      </c>
      <c r="E220" s="90" t="s">
        <v>732</v>
      </c>
      <c r="F220" s="90" t="s">
        <v>732</v>
      </c>
      <c r="G220" s="241" t="s">
        <v>733</v>
      </c>
      <c r="H220" s="85">
        <v>786.11</v>
      </c>
      <c r="I220" s="85"/>
      <c r="J220" s="85">
        <v>786.11</v>
      </c>
      <c r="K220" s="172"/>
      <c r="L220" s="45">
        <v>0</v>
      </c>
      <c r="M220" s="91">
        <v>0</v>
      </c>
      <c r="N220" s="45">
        <v>0</v>
      </c>
      <c r="O220" s="46">
        <v>0</v>
      </c>
      <c r="P220" s="27">
        <v>0</v>
      </c>
      <c r="Q220" s="1161">
        <v>0</v>
      </c>
      <c r="R220" s="45">
        <f t="shared" si="49"/>
        <v>0</v>
      </c>
      <c r="S220" s="45">
        <v>0</v>
      </c>
      <c r="T220" s="86"/>
      <c r="U220" s="86">
        <v>0</v>
      </c>
      <c r="V220" s="86"/>
      <c r="W220" s="86"/>
      <c r="X220" s="45">
        <v>0</v>
      </c>
      <c r="Y220" s="46">
        <v>0</v>
      </c>
      <c r="Z220" s="46"/>
      <c r="AA220" s="150" t="s">
        <v>1209</v>
      </c>
      <c r="AB220" s="191" t="s">
        <v>1256</v>
      </c>
      <c r="AC220" s="74" t="s">
        <v>1209</v>
      </c>
      <c r="AD220" s="584"/>
      <c r="AE220" s="584"/>
      <c r="AF220" s="584"/>
      <c r="AH220" s="633">
        <f t="shared" si="50"/>
        <v>0</v>
      </c>
      <c r="AI220" s="605">
        <f t="shared" si="47"/>
        <v>0</v>
      </c>
      <c r="AJ220" s="120">
        <f t="shared" si="43"/>
        <v>0</v>
      </c>
      <c r="AK220" s="634">
        <f t="shared" si="48"/>
        <v>0</v>
      </c>
      <c r="AL220" s="120"/>
      <c r="AM220" s="496"/>
      <c r="AN220" s="279" t="s">
        <v>632</v>
      </c>
      <c r="AO220" s="279">
        <v>17</v>
      </c>
      <c r="AP220" s="279"/>
      <c r="AQ220" s="279">
        <v>1</v>
      </c>
      <c r="AR220" s="1175"/>
      <c r="AS220" s="148"/>
      <c r="AY220" s="66"/>
      <c r="AZ220" s="66"/>
      <c r="BB220" s="1134"/>
      <c r="BC220" s="1134"/>
      <c r="BD220" s="1134"/>
      <c r="BE220" s="1134"/>
      <c r="BF220" s="1134"/>
    </row>
    <row r="221" spans="1:58" s="179" customFormat="1" ht="25.5" x14ac:dyDescent="0.2">
      <c r="A221" s="173" t="s">
        <v>734</v>
      </c>
      <c r="B221" s="186" t="s">
        <v>735</v>
      </c>
      <c r="C221" s="83">
        <v>2017</v>
      </c>
      <c r="D221" s="83" t="s">
        <v>90</v>
      </c>
      <c r="E221" s="90" t="s">
        <v>736</v>
      </c>
      <c r="F221" s="90" t="s">
        <v>736</v>
      </c>
      <c r="G221" s="241" t="s">
        <v>737</v>
      </c>
      <c r="H221" s="85">
        <v>2485.4209999999998</v>
      </c>
      <c r="I221" s="85"/>
      <c r="J221" s="85">
        <v>2485.4209999999998</v>
      </c>
      <c r="K221" s="172"/>
      <c r="L221" s="45">
        <v>0</v>
      </c>
      <c r="M221" s="91">
        <v>0</v>
      </c>
      <c r="N221" s="45">
        <v>0</v>
      </c>
      <c r="O221" s="46">
        <v>0</v>
      </c>
      <c r="P221" s="27">
        <v>15.420999999999999</v>
      </c>
      <c r="Q221" s="1161">
        <v>-15.420999999999999</v>
      </c>
      <c r="R221" s="45">
        <f t="shared" si="49"/>
        <v>0</v>
      </c>
      <c r="S221" s="45">
        <v>0</v>
      </c>
      <c r="T221" s="86"/>
      <c r="U221" s="86">
        <v>0</v>
      </c>
      <c r="V221" s="86"/>
      <c r="W221" s="86"/>
      <c r="X221" s="45">
        <v>0</v>
      </c>
      <c r="Y221" s="46">
        <v>0</v>
      </c>
      <c r="Z221" s="46"/>
      <c r="AA221" s="150" t="s">
        <v>910</v>
      </c>
      <c r="AB221" s="191" t="s">
        <v>1256</v>
      </c>
      <c r="AC221" s="74" t="s">
        <v>1209</v>
      </c>
      <c r="AD221" s="584"/>
      <c r="AE221" s="584"/>
      <c r="AF221" s="584"/>
      <c r="AH221" s="633">
        <f t="shared" si="50"/>
        <v>0</v>
      </c>
      <c r="AI221" s="605">
        <f t="shared" si="47"/>
        <v>0</v>
      </c>
      <c r="AJ221" s="120">
        <f t="shared" si="43"/>
        <v>0</v>
      </c>
      <c r="AK221" s="634">
        <f t="shared" si="48"/>
        <v>0</v>
      </c>
      <c r="AL221" s="120"/>
      <c r="AM221" s="496"/>
      <c r="AN221" s="279" t="s">
        <v>632</v>
      </c>
      <c r="AO221" s="279">
        <v>17</v>
      </c>
      <c r="AP221" s="279"/>
      <c r="AQ221" s="279">
        <v>1</v>
      </c>
      <c r="AR221" s="1175"/>
      <c r="AS221" s="148"/>
      <c r="AY221" s="66"/>
      <c r="AZ221" s="66"/>
      <c r="BB221" s="1134"/>
      <c r="BC221" s="1134"/>
      <c r="BD221" s="1134"/>
      <c r="BE221" s="1134"/>
      <c r="BF221" s="1134"/>
    </row>
    <row r="222" spans="1:58" s="180" customFormat="1" ht="30" hidden="1" x14ac:dyDescent="0.2">
      <c r="A222" s="173" t="s">
        <v>738</v>
      </c>
      <c r="B222" s="186" t="s">
        <v>1230</v>
      </c>
      <c r="C222" s="83">
        <v>2017</v>
      </c>
      <c r="D222" s="83" t="s">
        <v>90</v>
      </c>
      <c r="E222" s="90" t="s">
        <v>649</v>
      </c>
      <c r="F222" s="90" t="s">
        <v>649</v>
      </c>
      <c r="G222" s="241" t="s">
        <v>739</v>
      </c>
      <c r="H222" s="85">
        <v>0</v>
      </c>
      <c r="I222" s="85"/>
      <c r="J222" s="85">
        <v>0</v>
      </c>
      <c r="K222" s="172"/>
      <c r="L222" s="45">
        <v>0</v>
      </c>
      <c r="M222" s="91">
        <v>0</v>
      </c>
      <c r="N222" s="45">
        <v>0</v>
      </c>
      <c r="O222" s="46">
        <v>0</v>
      </c>
      <c r="P222" s="22">
        <v>617</v>
      </c>
      <c r="Q222" s="1161">
        <v>-617</v>
      </c>
      <c r="R222" s="45">
        <f t="shared" si="49"/>
        <v>0</v>
      </c>
      <c r="S222" s="45">
        <v>0</v>
      </c>
      <c r="T222" s="86"/>
      <c r="U222" s="86">
        <v>0</v>
      </c>
      <c r="V222" s="86"/>
      <c r="W222" s="86"/>
      <c r="X222" s="45">
        <v>0</v>
      </c>
      <c r="Y222" s="46">
        <v>0</v>
      </c>
      <c r="Z222" s="46"/>
      <c r="AA222" s="143" t="s">
        <v>1209</v>
      </c>
      <c r="AB222" s="75" t="s">
        <v>1257</v>
      </c>
      <c r="AC222" s="74" t="s">
        <v>1209</v>
      </c>
      <c r="AD222" s="584"/>
      <c r="AE222" s="584"/>
      <c r="AF222" s="584"/>
      <c r="AH222" s="633">
        <f t="shared" si="50"/>
        <v>0</v>
      </c>
      <c r="AI222" s="605">
        <f t="shared" si="47"/>
        <v>0</v>
      </c>
      <c r="AJ222" s="120">
        <f t="shared" si="43"/>
        <v>0</v>
      </c>
      <c r="AK222" s="634">
        <f t="shared" si="48"/>
        <v>0</v>
      </c>
      <c r="AL222" s="120"/>
      <c r="AM222" s="496"/>
      <c r="AN222" s="279" t="s">
        <v>632</v>
      </c>
      <c r="AO222" s="279">
        <v>17</v>
      </c>
      <c r="AP222" s="279"/>
      <c r="AQ222" s="279">
        <v>1</v>
      </c>
      <c r="AR222" s="1175"/>
      <c r="AS222" s="148"/>
      <c r="AY222" s="66"/>
      <c r="AZ222" s="66"/>
      <c r="BB222" s="1134"/>
      <c r="BC222" s="1134"/>
      <c r="BD222" s="1134"/>
      <c r="BE222" s="1134"/>
      <c r="BF222" s="1134"/>
    </row>
    <row r="223" spans="1:58" s="206" customFormat="1" ht="25.5" x14ac:dyDescent="0.2">
      <c r="A223" s="173" t="s">
        <v>745</v>
      </c>
      <c r="B223" s="186" t="s">
        <v>746</v>
      </c>
      <c r="C223" s="83">
        <v>2017</v>
      </c>
      <c r="D223" s="83" t="s">
        <v>90</v>
      </c>
      <c r="E223" s="90" t="s">
        <v>684</v>
      </c>
      <c r="F223" s="90" t="s">
        <v>684</v>
      </c>
      <c r="G223" s="241" t="s">
        <v>747</v>
      </c>
      <c r="H223" s="85">
        <v>1353.5637300000001</v>
      </c>
      <c r="I223" s="85"/>
      <c r="J223" s="85">
        <v>1353.5637300000001</v>
      </c>
      <c r="K223" s="172"/>
      <c r="L223" s="45">
        <v>0</v>
      </c>
      <c r="M223" s="91">
        <v>0</v>
      </c>
      <c r="N223" s="45">
        <v>0</v>
      </c>
      <c r="O223" s="46">
        <v>0</v>
      </c>
      <c r="P223" s="27">
        <v>146.43627000000001</v>
      </c>
      <c r="Q223" s="1161">
        <v>-146.43627000000001</v>
      </c>
      <c r="R223" s="45">
        <f t="shared" si="49"/>
        <v>0</v>
      </c>
      <c r="S223" s="45">
        <v>0</v>
      </c>
      <c r="T223" s="86"/>
      <c r="U223" s="86">
        <v>0</v>
      </c>
      <c r="V223" s="86"/>
      <c r="W223" s="86"/>
      <c r="X223" s="45">
        <v>0</v>
      </c>
      <c r="Y223" s="46">
        <v>0</v>
      </c>
      <c r="Z223" s="46"/>
      <c r="AA223" s="150" t="s">
        <v>910</v>
      </c>
      <c r="AB223" s="191" t="s">
        <v>1256</v>
      </c>
      <c r="AC223" s="74" t="s">
        <v>1209</v>
      </c>
      <c r="AD223" s="584"/>
      <c r="AE223" s="584"/>
      <c r="AF223" s="584"/>
      <c r="AH223" s="633">
        <f t="shared" si="50"/>
        <v>0</v>
      </c>
      <c r="AI223" s="605">
        <f t="shared" si="47"/>
        <v>0</v>
      </c>
      <c r="AJ223" s="120">
        <f t="shared" si="43"/>
        <v>0</v>
      </c>
      <c r="AK223" s="634">
        <f t="shared" si="48"/>
        <v>0</v>
      </c>
      <c r="AL223" s="120"/>
      <c r="AM223" s="496"/>
      <c r="AN223" s="279" t="s">
        <v>632</v>
      </c>
      <c r="AO223" s="279">
        <v>17</v>
      </c>
      <c r="AP223" s="279"/>
      <c r="AQ223" s="279">
        <v>1</v>
      </c>
      <c r="AR223" s="1175"/>
      <c r="AS223" s="148"/>
      <c r="AY223" s="66"/>
      <c r="AZ223" s="66"/>
      <c r="BB223" s="1134"/>
      <c r="BC223" s="1134"/>
      <c r="BD223" s="1134"/>
      <c r="BE223" s="1134"/>
      <c r="BF223" s="1134"/>
    </row>
    <row r="224" spans="1:58" s="206" customFormat="1" ht="25.5" x14ac:dyDescent="0.2">
      <c r="A224" s="173" t="s">
        <v>748</v>
      </c>
      <c r="B224" s="186" t="s">
        <v>924</v>
      </c>
      <c r="C224" s="83">
        <v>2017</v>
      </c>
      <c r="D224" s="83" t="s">
        <v>225</v>
      </c>
      <c r="E224" s="76" t="s">
        <v>749</v>
      </c>
      <c r="F224" s="76" t="s">
        <v>749</v>
      </c>
      <c r="G224" s="240" t="s">
        <v>750</v>
      </c>
      <c r="H224" s="85">
        <v>1441.67795</v>
      </c>
      <c r="I224" s="85"/>
      <c r="J224" s="85">
        <v>1441.67795</v>
      </c>
      <c r="K224" s="172"/>
      <c r="L224" s="45">
        <v>0</v>
      </c>
      <c r="M224" s="91">
        <v>0</v>
      </c>
      <c r="N224" s="45">
        <v>0</v>
      </c>
      <c r="O224" s="46">
        <v>0</v>
      </c>
      <c r="P224" s="27">
        <v>58.322049999999997</v>
      </c>
      <c r="Q224" s="1161">
        <v>-58.322049999999997</v>
      </c>
      <c r="R224" s="45">
        <f t="shared" si="49"/>
        <v>0</v>
      </c>
      <c r="S224" s="45">
        <v>0</v>
      </c>
      <c r="T224" s="86"/>
      <c r="U224" s="86">
        <v>0</v>
      </c>
      <c r="V224" s="86"/>
      <c r="W224" s="86"/>
      <c r="X224" s="45">
        <v>0</v>
      </c>
      <c r="Y224" s="46">
        <v>0</v>
      </c>
      <c r="Z224" s="46"/>
      <c r="AA224" s="150" t="s">
        <v>910</v>
      </c>
      <c r="AB224" s="191" t="s">
        <v>1256</v>
      </c>
      <c r="AC224" s="74" t="s">
        <v>1209</v>
      </c>
      <c r="AD224" s="584"/>
      <c r="AE224" s="584"/>
      <c r="AF224" s="584"/>
      <c r="AH224" s="633">
        <f t="shared" si="50"/>
        <v>0</v>
      </c>
      <c r="AI224" s="605">
        <f t="shared" si="47"/>
        <v>0</v>
      </c>
      <c r="AJ224" s="120">
        <f t="shared" si="43"/>
        <v>0</v>
      </c>
      <c r="AK224" s="634">
        <f t="shared" si="48"/>
        <v>0</v>
      </c>
      <c r="AL224" s="120"/>
      <c r="AM224" s="496"/>
      <c r="AN224" s="279" t="s">
        <v>632</v>
      </c>
      <c r="AO224" s="279">
        <v>17</v>
      </c>
      <c r="AP224" s="279"/>
      <c r="AQ224" s="279">
        <v>1</v>
      </c>
      <c r="AR224" s="1175"/>
      <c r="AS224" s="148"/>
      <c r="AY224" s="66"/>
      <c r="AZ224" s="66"/>
      <c r="BB224" s="1134"/>
      <c r="BC224" s="1134"/>
      <c r="BD224" s="1134"/>
      <c r="BE224" s="1134"/>
      <c r="BF224" s="1134"/>
    </row>
    <row r="225" spans="1:58" s="180" customFormat="1" ht="25.5" x14ac:dyDescent="0.2">
      <c r="A225" s="173" t="s">
        <v>751</v>
      </c>
      <c r="B225" s="186" t="s">
        <v>925</v>
      </c>
      <c r="C225" s="83">
        <v>2017</v>
      </c>
      <c r="D225" s="83" t="s">
        <v>225</v>
      </c>
      <c r="E225" s="76" t="s">
        <v>752</v>
      </c>
      <c r="F225" s="76" t="s">
        <v>752</v>
      </c>
      <c r="G225" s="240" t="s">
        <v>753</v>
      </c>
      <c r="H225" s="85">
        <v>863.03</v>
      </c>
      <c r="I225" s="85"/>
      <c r="J225" s="85">
        <v>863.03</v>
      </c>
      <c r="K225" s="172"/>
      <c r="L225" s="45">
        <v>0</v>
      </c>
      <c r="M225" s="91">
        <v>0</v>
      </c>
      <c r="N225" s="45">
        <v>0</v>
      </c>
      <c r="O225" s="46">
        <v>0</v>
      </c>
      <c r="P225" s="27">
        <v>0</v>
      </c>
      <c r="Q225" s="1161">
        <v>0</v>
      </c>
      <c r="R225" s="45">
        <f t="shared" si="49"/>
        <v>0</v>
      </c>
      <c r="S225" s="45">
        <v>0</v>
      </c>
      <c r="T225" s="86"/>
      <c r="U225" s="86">
        <v>0</v>
      </c>
      <c r="V225" s="86"/>
      <c r="W225" s="86"/>
      <c r="X225" s="45">
        <v>0</v>
      </c>
      <c r="Y225" s="46">
        <v>0</v>
      </c>
      <c r="Z225" s="46"/>
      <c r="AA225" s="150" t="s">
        <v>1209</v>
      </c>
      <c r="AB225" s="191" t="s">
        <v>1256</v>
      </c>
      <c r="AC225" s="74" t="s">
        <v>1209</v>
      </c>
      <c r="AD225" s="584"/>
      <c r="AE225" s="584"/>
      <c r="AF225" s="584"/>
      <c r="AH225" s="633">
        <f t="shared" si="50"/>
        <v>0</v>
      </c>
      <c r="AI225" s="605">
        <f t="shared" si="47"/>
        <v>0</v>
      </c>
      <c r="AJ225" s="120">
        <f t="shared" si="43"/>
        <v>0</v>
      </c>
      <c r="AK225" s="634">
        <f t="shared" si="48"/>
        <v>0</v>
      </c>
      <c r="AL225" s="120"/>
      <c r="AM225" s="496"/>
      <c r="AN225" s="279" t="s">
        <v>632</v>
      </c>
      <c r="AO225" s="279">
        <v>17</v>
      </c>
      <c r="AP225" s="279"/>
      <c r="AQ225" s="279">
        <v>1</v>
      </c>
      <c r="AR225" s="1175"/>
      <c r="AS225" s="148"/>
      <c r="AY225" s="66"/>
      <c r="AZ225" s="66"/>
      <c r="BB225" s="1134"/>
      <c r="BC225" s="1134"/>
      <c r="BD225" s="1134"/>
      <c r="BE225" s="1134"/>
      <c r="BF225" s="1134"/>
    </row>
    <row r="226" spans="1:58" s="206" customFormat="1" ht="25.5" x14ac:dyDescent="0.2">
      <c r="A226" s="173" t="s">
        <v>754</v>
      </c>
      <c r="B226" s="186" t="s">
        <v>926</v>
      </c>
      <c r="C226" s="83">
        <v>2017</v>
      </c>
      <c r="D226" s="83" t="s">
        <v>225</v>
      </c>
      <c r="E226" s="76" t="s">
        <v>755</v>
      </c>
      <c r="F226" s="76" t="s">
        <v>755</v>
      </c>
      <c r="G226" s="240" t="s">
        <v>756</v>
      </c>
      <c r="H226" s="85">
        <v>150.53</v>
      </c>
      <c r="I226" s="85"/>
      <c r="J226" s="85">
        <v>150.53</v>
      </c>
      <c r="K226" s="172"/>
      <c r="L226" s="45">
        <v>0</v>
      </c>
      <c r="M226" s="91">
        <v>0</v>
      </c>
      <c r="N226" s="45">
        <v>0</v>
      </c>
      <c r="O226" s="46">
        <v>0</v>
      </c>
      <c r="P226" s="27">
        <v>199.47</v>
      </c>
      <c r="Q226" s="1161">
        <v>-199.47</v>
      </c>
      <c r="R226" s="45">
        <f t="shared" si="49"/>
        <v>0</v>
      </c>
      <c r="S226" s="45">
        <v>0</v>
      </c>
      <c r="T226" s="86"/>
      <c r="U226" s="86">
        <v>0</v>
      </c>
      <c r="V226" s="86"/>
      <c r="W226" s="86"/>
      <c r="X226" s="45">
        <v>0</v>
      </c>
      <c r="Y226" s="46">
        <v>0</v>
      </c>
      <c r="Z226" s="46"/>
      <c r="AA226" s="150" t="s">
        <v>910</v>
      </c>
      <c r="AB226" s="191" t="s">
        <v>1256</v>
      </c>
      <c r="AC226" s="74" t="s">
        <v>1209</v>
      </c>
      <c r="AD226" s="584"/>
      <c r="AE226" s="584"/>
      <c r="AF226" s="584"/>
      <c r="AH226" s="633">
        <f t="shared" si="50"/>
        <v>0</v>
      </c>
      <c r="AI226" s="605">
        <f t="shared" si="47"/>
        <v>0</v>
      </c>
      <c r="AJ226" s="120">
        <f t="shared" si="43"/>
        <v>0</v>
      </c>
      <c r="AK226" s="634">
        <f t="shared" si="48"/>
        <v>0</v>
      </c>
      <c r="AL226" s="120"/>
      <c r="AM226" s="496"/>
      <c r="AN226" s="279" t="s">
        <v>632</v>
      </c>
      <c r="AO226" s="279">
        <v>17</v>
      </c>
      <c r="AP226" s="279"/>
      <c r="AQ226" s="279">
        <v>1</v>
      </c>
      <c r="AR226" s="1175"/>
      <c r="AS226" s="148"/>
      <c r="AY226" s="66"/>
      <c r="AZ226" s="66"/>
      <c r="BB226" s="1134"/>
      <c r="BC226" s="1134"/>
      <c r="BD226" s="1134"/>
      <c r="BE226" s="1134"/>
      <c r="BF226" s="1134"/>
    </row>
    <row r="227" spans="1:58" s="180" customFormat="1" ht="15" x14ac:dyDescent="0.2">
      <c r="A227" s="173" t="s">
        <v>757</v>
      </c>
      <c r="B227" s="187" t="s">
        <v>927</v>
      </c>
      <c r="C227" s="75">
        <v>2018</v>
      </c>
      <c r="D227" s="75" t="s">
        <v>1232</v>
      </c>
      <c r="E227" s="76" t="s">
        <v>758</v>
      </c>
      <c r="F227" s="76" t="s">
        <v>758</v>
      </c>
      <c r="G227" s="240" t="s">
        <v>759</v>
      </c>
      <c r="H227" s="25">
        <v>500</v>
      </c>
      <c r="I227" s="25"/>
      <c r="J227" s="25">
        <v>500</v>
      </c>
      <c r="K227" s="172"/>
      <c r="L227" s="27">
        <v>0</v>
      </c>
      <c r="M227" s="40">
        <v>0</v>
      </c>
      <c r="N227" s="27">
        <v>0</v>
      </c>
      <c r="O227" s="26">
        <v>0</v>
      </c>
      <c r="P227" s="27">
        <v>0</v>
      </c>
      <c r="Q227" s="1161">
        <v>0</v>
      </c>
      <c r="R227" s="45">
        <f t="shared" si="49"/>
        <v>0</v>
      </c>
      <c r="S227" s="27">
        <v>0</v>
      </c>
      <c r="T227" s="26"/>
      <c r="U227" s="26">
        <v>0</v>
      </c>
      <c r="V227" s="26"/>
      <c r="W227" s="26"/>
      <c r="X227" s="27">
        <v>0</v>
      </c>
      <c r="Y227" s="26">
        <v>0</v>
      </c>
      <c r="Z227" s="46"/>
      <c r="AA227" s="150" t="s">
        <v>1209</v>
      </c>
      <c r="AB227" s="191" t="s">
        <v>1256</v>
      </c>
      <c r="AC227" s="74" t="s">
        <v>1209</v>
      </c>
      <c r="AD227" s="584"/>
      <c r="AE227" s="584"/>
      <c r="AF227" s="584"/>
      <c r="AH227" s="633">
        <f t="shared" si="50"/>
        <v>0</v>
      </c>
      <c r="AI227" s="605">
        <f t="shared" si="47"/>
        <v>0</v>
      </c>
      <c r="AJ227" s="120">
        <f t="shared" si="43"/>
        <v>0</v>
      </c>
      <c r="AK227" s="634">
        <f t="shared" si="48"/>
        <v>0</v>
      </c>
      <c r="AL227" s="120"/>
      <c r="AM227" s="496"/>
      <c r="AN227" s="279" t="s">
        <v>632</v>
      </c>
      <c r="AO227" s="279">
        <v>17</v>
      </c>
      <c r="AP227" s="279"/>
      <c r="AQ227" s="279">
        <v>1</v>
      </c>
      <c r="AR227" s="1175"/>
      <c r="AS227" s="148"/>
      <c r="AY227" s="66"/>
      <c r="AZ227" s="66"/>
      <c r="BB227" s="1134"/>
      <c r="BC227" s="1134"/>
      <c r="BD227" s="1134"/>
      <c r="BE227" s="1134"/>
      <c r="BF227" s="1134"/>
    </row>
    <row r="228" spans="1:58" s="180" customFormat="1" ht="25.5" x14ac:dyDescent="0.2">
      <c r="A228" s="173" t="s">
        <v>766</v>
      </c>
      <c r="B228" s="186" t="s">
        <v>933</v>
      </c>
      <c r="C228" s="83">
        <v>2018</v>
      </c>
      <c r="D228" s="75" t="s">
        <v>284</v>
      </c>
      <c r="E228" s="76" t="s">
        <v>767</v>
      </c>
      <c r="F228" s="76" t="s">
        <v>767</v>
      </c>
      <c r="G228" s="243" t="s">
        <v>768</v>
      </c>
      <c r="H228" s="25">
        <v>500</v>
      </c>
      <c r="I228" s="25"/>
      <c r="J228" s="25">
        <v>500</v>
      </c>
      <c r="K228" s="172"/>
      <c r="L228" s="27">
        <v>0</v>
      </c>
      <c r="M228" s="40">
        <v>0</v>
      </c>
      <c r="N228" s="27">
        <v>0</v>
      </c>
      <c r="O228" s="26">
        <v>0</v>
      </c>
      <c r="P228" s="27">
        <v>0</v>
      </c>
      <c r="Q228" s="1161">
        <v>0</v>
      </c>
      <c r="R228" s="45">
        <f t="shared" si="49"/>
        <v>0</v>
      </c>
      <c r="S228" s="45">
        <v>0</v>
      </c>
      <c r="T228" s="45"/>
      <c r="U228" s="27">
        <v>0</v>
      </c>
      <c r="V228" s="27"/>
      <c r="W228" s="27"/>
      <c r="X228" s="27">
        <v>0</v>
      </c>
      <c r="Y228" s="26">
        <v>0</v>
      </c>
      <c r="Z228" s="26"/>
      <c r="AA228" s="75" t="s">
        <v>1209</v>
      </c>
      <c r="AB228" s="191" t="s">
        <v>1256</v>
      </c>
      <c r="AC228" s="74" t="s">
        <v>1209</v>
      </c>
      <c r="AD228" s="584"/>
      <c r="AE228" s="584"/>
      <c r="AF228" s="584"/>
      <c r="AH228" s="633">
        <f t="shared" si="50"/>
        <v>0</v>
      </c>
      <c r="AI228" s="605">
        <f t="shared" si="47"/>
        <v>0</v>
      </c>
      <c r="AJ228" s="120">
        <f t="shared" si="43"/>
        <v>0</v>
      </c>
      <c r="AK228" s="634">
        <f t="shared" si="48"/>
        <v>0</v>
      </c>
      <c r="AL228" s="120"/>
      <c r="AM228" s="496"/>
      <c r="AN228" s="279" t="s">
        <v>632</v>
      </c>
      <c r="AO228" s="279">
        <v>17</v>
      </c>
      <c r="AP228" s="279"/>
      <c r="AQ228" s="279">
        <v>1</v>
      </c>
      <c r="AR228" s="1175"/>
      <c r="AS228" s="148"/>
      <c r="AY228" s="66"/>
      <c r="AZ228" s="66"/>
      <c r="BB228" s="1134"/>
      <c r="BC228" s="1134"/>
      <c r="BD228" s="1134"/>
      <c r="BE228" s="1134"/>
      <c r="BF228" s="1134"/>
    </row>
    <row r="229" spans="1:58" s="206" customFormat="1" ht="25.5" x14ac:dyDescent="0.2">
      <c r="A229" s="173" t="s">
        <v>771</v>
      </c>
      <c r="B229" s="186" t="s">
        <v>935</v>
      </c>
      <c r="C229" s="83">
        <v>2018</v>
      </c>
      <c r="D229" s="75" t="s">
        <v>284</v>
      </c>
      <c r="E229" s="76" t="s">
        <v>732</v>
      </c>
      <c r="F229" s="76" t="s">
        <v>732</v>
      </c>
      <c r="G229" s="243" t="s">
        <v>772</v>
      </c>
      <c r="H229" s="85">
        <v>342.71839999999997</v>
      </c>
      <c r="I229" s="85"/>
      <c r="J229" s="25">
        <v>342.71839999999997</v>
      </c>
      <c r="K229" s="172"/>
      <c r="L229" s="27">
        <v>0</v>
      </c>
      <c r="M229" s="40">
        <v>0</v>
      </c>
      <c r="N229" s="27">
        <v>0</v>
      </c>
      <c r="O229" s="26">
        <v>0</v>
      </c>
      <c r="P229" s="27">
        <v>7.2816000000000001</v>
      </c>
      <c r="Q229" s="1161">
        <v>-7.2816000000000001</v>
      </c>
      <c r="R229" s="45">
        <f t="shared" si="49"/>
        <v>0</v>
      </c>
      <c r="S229" s="45">
        <v>0</v>
      </c>
      <c r="T229" s="45"/>
      <c r="U229" s="27">
        <v>0</v>
      </c>
      <c r="V229" s="27"/>
      <c r="W229" s="27"/>
      <c r="X229" s="27">
        <v>0</v>
      </c>
      <c r="Y229" s="26">
        <v>0</v>
      </c>
      <c r="Z229" s="46"/>
      <c r="AA229" s="150" t="s">
        <v>910</v>
      </c>
      <c r="AB229" s="191" t="s">
        <v>1256</v>
      </c>
      <c r="AC229" s="74" t="s">
        <v>1209</v>
      </c>
      <c r="AD229" s="584"/>
      <c r="AE229" s="584"/>
      <c r="AF229" s="584"/>
      <c r="AH229" s="633">
        <f t="shared" si="50"/>
        <v>0</v>
      </c>
      <c r="AI229" s="605">
        <f t="shared" si="47"/>
        <v>0</v>
      </c>
      <c r="AJ229" s="120">
        <f t="shared" si="43"/>
        <v>0</v>
      </c>
      <c r="AK229" s="634">
        <f t="shared" si="48"/>
        <v>0</v>
      </c>
      <c r="AL229" s="120"/>
      <c r="AM229" s="496"/>
      <c r="AN229" s="279" t="s">
        <v>632</v>
      </c>
      <c r="AO229" s="279">
        <v>17</v>
      </c>
      <c r="AP229" s="279"/>
      <c r="AQ229" s="279">
        <v>1</v>
      </c>
      <c r="AR229" s="1175"/>
      <c r="AS229" s="148"/>
      <c r="AY229" s="66"/>
      <c r="AZ229" s="66"/>
      <c r="BB229" s="1134"/>
      <c r="BC229" s="1134"/>
      <c r="BD229" s="1134"/>
      <c r="BE229" s="1134"/>
      <c r="BF229" s="1134"/>
    </row>
    <row r="230" spans="1:58" s="180" customFormat="1" ht="25.5" x14ac:dyDescent="0.2">
      <c r="A230" s="173" t="s">
        <v>773</v>
      </c>
      <c r="B230" s="186" t="s">
        <v>936</v>
      </c>
      <c r="C230" s="83">
        <v>2018</v>
      </c>
      <c r="D230" s="75" t="s">
        <v>284</v>
      </c>
      <c r="E230" s="76" t="s">
        <v>774</v>
      </c>
      <c r="F230" s="76" t="s">
        <v>774</v>
      </c>
      <c r="G230" s="243" t="s">
        <v>775</v>
      </c>
      <c r="H230" s="25">
        <v>600</v>
      </c>
      <c r="I230" s="25"/>
      <c r="J230" s="25">
        <v>600</v>
      </c>
      <c r="K230" s="172"/>
      <c r="L230" s="27">
        <v>0</v>
      </c>
      <c r="M230" s="40">
        <v>0</v>
      </c>
      <c r="N230" s="27">
        <v>0</v>
      </c>
      <c r="O230" s="26">
        <v>0</v>
      </c>
      <c r="P230" s="27">
        <v>0</v>
      </c>
      <c r="Q230" s="1161">
        <v>0</v>
      </c>
      <c r="R230" s="45">
        <f t="shared" si="49"/>
        <v>0</v>
      </c>
      <c r="S230" s="45">
        <v>0</v>
      </c>
      <c r="T230" s="45"/>
      <c r="U230" s="27">
        <v>0</v>
      </c>
      <c r="V230" s="27"/>
      <c r="W230" s="27"/>
      <c r="X230" s="27">
        <v>0</v>
      </c>
      <c r="Y230" s="26">
        <v>0</v>
      </c>
      <c r="Z230" s="26"/>
      <c r="AA230" s="75" t="s">
        <v>1209</v>
      </c>
      <c r="AB230" s="191" t="s">
        <v>1256</v>
      </c>
      <c r="AC230" s="74" t="s">
        <v>1209</v>
      </c>
      <c r="AD230" s="584"/>
      <c r="AE230" s="584"/>
      <c r="AF230" s="584"/>
      <c r="AH230" s="633">
        <f t="shared" si="50"/>
        <v>0</v>
      </c>
      <c r="AI230" s="605">
        <f t="shared" si="47"/>
        <v>0</v>
      </c>
      <c r="AJ230" s="120">
        <f t="shared" si="43"/>
        <v>0</v>
      </c>
      <c r="AK230" s="634">
        <f t="shared" si="48"/>
        <v>0</v>
      </c>
      <c r="AL230" s="120"/>
      <c r="AM230" s="496"/>
      <c r="AN230" s="279" t="s">
        <v>632</v>
      </c>
      <c r="AO230" s="279">
        <v>17</v>
      </c>
      <c r="AP230" s="279"/>
      <c r="AQ230" s="279">
        <v>1</v>
      </c>
      <c r="AR230" s="1175"/>
      <c r="AS230" s="148"/>
      <c r="AY230" s="66"/>
      <c r="AZ230" s="66"/>
      <c r="BB230" s="1134"/>
      <c r="BC230" s="1134"/>
      <c r="BD230" s="1134"/>
      <c r="BE230" s="1134"/>
      <c r="BF230" s="1134"/>
    </row>
    <row r="231" spans="1:58" s="206" customFormat="1" ht="25.5" x14ac:dyDescent="0.2">
      <c r="A231" s="173" t="s">
        <v>776</v>
      </c>
      <c r="B231" s="186" t="s">
        <v>937</v>
      </c>
      <c r="C231" s="83">
        <v>2018</v>
      </c>
      <c r="D231" s="75" t="s">
        <v>284</v>
      </c>
      <c r="E231" s="76" t="s">
        <v>777</v>
      </c>
      <c r="F231" s="76" t="s">
        <v>777</v>
      </c>
      <c r="G231" s="243" t="s">
        <v>778</v>
      </c>
      <c r="H231" s="85">
        <v>141.44999999999999</v>
      </c>
      <c r="I231" s="85"/>
      <c r="J231" s="25">
        <v>141.44999999999999</v>
      </c>
      <c r="K231" s="172"/>
      <c r="L231" s="27">
        <v>0</v>
      </c>
      <c r="M231" s="40">
        <v>0</v>
      </c>
      <c r="N231" s="27">
        <v>0</v>
      </c>
      <c r="O231" s="26">
        <v>0</v>
      </c>
      <c r="P231" s="27">
        <v>8.5500000000000007</v>
      </c>
      <c r="Q231" s="1161">
        <v>-8.5500000000000007</v>
      </c>
      <c r="R231" s="45">
        <f t="shared" si="49"/>
        <v>0</v>
      </c>
      <c r="S231" s="45">
        <v>0</v>
      </c>
      <c r="T231" s="45"/>
      <c r="U231" s="27">
        <v>0</v>
      </c>
      <c r="V231" s="27"/>
      <c r="W231" s="27"/>
      <c r="X231" s="27">
        <v>0</v>
      </c>
      <c r="Y231" s="26">
        <v>0</v>
      </c>
      <c r="Z231" s="46"/>
      <c r="AA231" s="150" t="s">
        <v>910</v>
      </c>
      <c r="AB231" s="191" t="s">
        <v>1256</v>
      </c>
      <c r="AC231" s="74" t="s">
        <v>1209</v>
      </c>
      <c r="AD231" s="584"/>
      <c r="AE231" s="584"/>
      <c r="AF231" s="584"/>
      <c r="AH231" s="633">
        <f t="shared" si="50"/>
        <v>0</v>
      </c>
      <c r="AI231" s="605">
        <f t="shared" si="47"/>
        <v>0</v>
      </c>
      <c r="AJ231" s="120">
        <f t="shared" si="43"/>
        <v>0</v>
      </c>
      <c r="AK231" s="634">
        <f t="shared" si="48"/>
        <v>0</v>
      </c>
      <c r="AL231" s="120"/>
      <c r="AM231" s="496"/>
      <c r="AN231" s="279" t="s">
        <v>632</v>
      </c>
      <c r="AO231" s="279">
        <v>17</v>
      </c>
      <c r="AP231" s="279"/>
      <c r="AQ231" s="279">
        <v>1</v>
      </c>
      <c r="AR231" s="1175"/>
      <c r="AS231" s="148"/>
      <c r="AY231" s="66"/>
      <c r="AZ231" s="66"/>
      <c r="BB231" s="1134"/>
      <c r="BC231" s="1134"/>
      <c r="BD231" s="1134"/>
      <c r="BE231" s="1134"/>
      <c r="BF231" s="1134"/>
    </row>
    <row r="232" spans="1:58" s="180" customFormat="1" ht="25.5" x14ac:dyDescent="0.2">
      <c r="A232" s="173" t="s">
        <v>779</v>
      </c>
      <c r="B232" s="187" t="s">
        <v>938</v>
      </c>
      <c r="C232" s="83">
        <v>2018</v>
      </c>
      <c r="D232" s="75" t="s">
        <v>284</v>
      </c>
      <c r="E232" s="76" t="s">
        <v>780</v>
      </c>
      <c r="F232" s="76" t="s">
        <v>780</v>
      </c>
      <c r="G232" s="243" t="s">
        <v>781</v>
      </c>
      <c r="H232" s="85">
        <v>199.989</v>
      </c>
      <c r="I232" s="85"/>
      <c r="J232" s="25">
        <v>199.989</v>
      </c>
      <c r="K232" s="172"/>
      <c r="L232" s="27">
        <v>0</v>
      </c>
      <c r="M232" s="40">
        <v>0</v>
      </c>
      <c r="N232" s="27">
        <v>0</v>
      </c>
      <c r="O232" s="26">
        <v>0</v>
      </c>
      <c r="P232" s="27">
        <v>1.0999999999999999E-2</v>
      </c>
      <c r="Q232" s="1161">
        <v>-1.0999999999999999E-2</v>
      </c>
      <c r="R232" s="45">
        <f t="shared" si="49"/>
        <v>0</v>
      </c>
      <c r="S232" s="280">
        <v>0</v>
      </c>
      <c r="T232" s="280"/>
      <c r="U232" s="27">
        <v>0</v>
      </c>
      <c r="V232" s="27"/>
      <c r="W232" s="27"/>
      <c r="X232" s="27">
        <v>0</v>
      </c>
      <c r="Y232" s="26">
        <v>0</v>
      </c>
      <c r="Z232" s="26"/>
      <c r="AA232" s="75" t="s">
        <v>1209</v>
      </c>
      <c r="AB232" s="191" t="s">
        <v>1256</v>
      </c>
      <c r="AC232" s="74" t="s">
        <v>1209</v>
      </c>
      <c r="AD232" s="584"/>
      <c r="AE232" s="584"/>
      <c r="AF232" s="584"/>
      <c r="AH232" s="633">
        <f t="shared" si="50"/>
        <v>0</v>
      </c>
      <c r="AI232" s="605">
        <f t="shared" si="47"/>
        <v>0</v>
      </c>
      <c r="AJ232" s="120">
        <f t="shared" si="43"/>
        <v>0</v>
      </c>
      <c r="AK232" s="634">
        <f t="shared" si="48"/>
        <v>0</v>
      </c>
      <c r="AL232" s="120"/>
      <c r="AM232" s="496"/>
      <c r="AN232" s="279" t="s">
        <v>632</v>
      </c>
      <c r="AO232" s="279">
        <v>17</v>
      </c>
      <c r="AP232" s="279"/>
      <c r="AQ232" s="279">
        <v>1</v>
      </c>
      <c r="AR232" s="1175"/>
      <c r="AS232" s="148"/>
      <c r="AY232" s="66"/>
      <c r="AZ232" s="66"/>
      <c r="BB232" s="1134"/>
      <c r="BC232" s="1134"/>
      <c r="BD232" s="1134"/>
      <c r="BE232" s="1134"/>
      <c r="BF232" s="1134"/>
    </row>
    <row r="233" spans="1:58" s="206" customFormat="1" ht="25.5" x14ac:dyDescent="0.2">
      <c r="A233" s="173" t="s">
        <v>782</v>
      </c>
      <c r="B233" s="187" t="s">
        <v>939</v>
      </c>
      <c r="C233" s="83">
        <v>2018</v>
      </c>
      <c r="D233" s="75" t="s">
        <v>284</v>
      </c>
      <c r="E233" s="76" t="s">
        <v>780</v>
      </c>
      <c r="F233" s="76" t="s">
        <v>780</v>
      </c>
      <c r="G233" s="243" t="s">
        <v>783</v>
      </c>
      <c r="H233" s="85">
        <v>119.48699999999999</v>
      </c>
      <c r="I233" s="85"/>
      <c r="J233" s="25">
        <v>119.48699999999999</v>
      </c>
      <c r="K233" s="172"/>
      <c r="L233" s="27">
        <v>0</v>
      </c>
      <c r="M233" s="40">
        <v>0</v>
      </c>
      <c r="N233" s="27">
        <v>0</v>
      </c>
      <c r="O233" s="26">
        <v>0</v>
      </c>
      <c r="P233" s="27">
        <v>30.513000000000002</v>
      </c>
      <c r="Q233" s="1161">
        <v>-30.513000000000002</v>
      </c>
      <c r="R233" s="45">
        <f t="shared" si="49"/>
        <v>0</v>
      </c>
      <c r="S233" s="27">
        <v>0</v>
      </c>
      <c r="T233" s="26"/>
      <c r="U233" s="26">
        <v>0</v>
      </c>
      <c r="V233" s="26"/>
      <c r="W233" s="26"/>
      <c r="X233" s="27">
        <v>0</v>
      </c>
      <c r="Y233" s="26">
        <v>0</v>
      </c>
      <c r="Z233" s="46"/>
      <c r="AA233" s="150" t="s">
        <v>910</v>
      </c>
      <c r="AB233" s="191" t="s">
        <v>1256</v>
      </c>
      <c r="AC233" s="74" t="s">
        <v>1209</v>
      </c>
      <c r="AD233" s="584"/>
      <c r="AE233" s="584"/>
      <c r="AF233" s="584"/>
      <c r="AH233" s="633">
        <f t="shared" si="50"/>
        <v>0</v>
      </c>
      <c r="AI233" s="605">
        <f t="shared" si="47"/>
        <v>0</v>
      </c>
      <c r="AJ233" s="120">
        <f t="shared" si="43"/>
        <v>0</v>
      </c>
      <c r="AK233" s="634">
        <f t="shared" si="48"/>
        <v>0</v>
      </c>
      <c r="AL233" s="120"/>
      <c r="AM233" s="496"/>
      <c r="AN233" s="279" t="s">
        <v>632</v>
      </c>
      <c r="AO233" s="279">
        <v>17</v>
      </c>
      <c r="AP233" s="279"/>
      <c r="AQ233" s="279">
        <v>1</v>
      </c>
      <c r="AR233" s="1175"/>
      <c r="AS233" s="148"/>
      <c r="AY233" s="66"/>
      <c r="AZ233" s="66"/>
      <c r="BB233" s="1134"/>
      <c r="BC233" s="1134"/>
      <c r="BD233" s="1134"/>
      <c r="BE233" s="1134"/>
      <c r="BF233" s="1134"/>
    </row>
    <row r="234" spans="1:58" s="180" customFormat="1" ht="25.5" x14ac:dyDescent="0.2">
      <c r="A234" s="173" t="s">
        <v>785</v>
      </c>
      <c r="B234" s="187" t="s">
        <v>940</v>
      </c>
      <c r="C234" s="83">
        <v>2018</v>
      </c>
      <c r="D234" s="75" t="s">
        <v>284</v>
      </c>
      <c r="E234" s="76" t="s">
        <v>786</v>
      </c>
      <c r="F234" s="76" t="s">
        <v>786</v>
      </c>
      <c r="G234" s="243" t="s">
        <v>787</v>
      </c>
      <c r="H234" s="25">
        <v>800</v>
      </c>
      <c r="I234" s="25"/>
      <c r="J234" s="25">
        <v>800</v>
      </c>
      <c r="K234" s="172"/>
      <c r="L234" s="27">
        <v>0</v>
      </c>
      <c r="M234" s="40">
        <v>0</v>
      </c>
      <c r="N234" s="27">
        <v>0</v>
      </c>
      <c r="O234" s="26">
        <v>0</v>
      </c>
      <c r="P234" s="27">
        <v>0</v>
      </c>
      <c r="Q234" s="1161">
        <v>0</v>
      </c>
      <c r="R234" s="45">
        <f t="shared" si="49"/>
        <v>0</v>
      </c>
      <c r="S234" s="27">
        <v>0</v>
      </c>
      <c r="T234" s="26"/>
      <c r="U234" s="26">
        <v>0</v>
      </c>
      <c r="V234" s="26"/>
      <c r="W234" s="26"/>
      <c r="X234" s="27">
        <v>0</v>
      </c>
      <c r="Y234" s="26">
        <v>0</v>
      </c>
      <c r="Z234" s="26"/>
      <c r="AA234" s="75" t="s">
        <v>1209</v>
      </c>
      <c r="AB234" s="191" t="s">
        <v>1256</v>
      </c>
      <c r="AC234" s="74" t="s">
        <v>1209</v>
      </c>
      <c r="AD234" s="584"/>
      <c r="AE234" s="584"/>
      <c r="AF234" s="584"/>
      <c r="AH234" s="633">
        <f t="shared" si="50"/>
        <v>0</v>
      </c>
      <c r="AI234" s="605">
        <f t="shared" si="47"/>
        <v>0</v>
      </c>
      <c r="AJ234" s="120">
        <f t="shared" si="43"/>
        <v>0</v>
      </c>
      <c r="AK234" s="634">
        <f t="shared" si="48"/>
        <v>0</v>
      </c>
      <c r="AL234" s="120"/>
      <c r="AM234" s="496"/>
      <c r="AN234" s="279" t="s">
        <v>632</v>
      </c>
      <c r="AO234" s="279">
        <v>17</v>
      </c>
      <c r="AP234" s="279"/>
      <c r="AQ234" s="279">
        <v>1</v>
      </c>
      <c r="AR234" s="1175"/>
      <c r="AS234" s="148"/>
      <c r="AY234" s="66"/>
      <c r="AZ234" s="66"/>
      <c r="BB234" s="1134"/>
      <c r="BC234" s="1134"/>
      <c r="BD234" s="1134"/>
      <c r="BE234" s="1134"/>
      <c r="BF234" s="1134"/>
    </row>
    <row r="235" spans="1:58" s="180" customFormat="1" ht="25.5" x14ac:dyDescent="0.2">
      <c r="A235" s="173" t="s">
        <v>788</v>
      </c>
      <c r="B235" s="187" t="s">
        <v>941</v>
      </c>
      <c r="C235" s="83">
        <v>2018</v>
      </c>
      <c r="D235" s="75" t="s">
        <v>284</v>
      </c>
      <c r="E235" s="76" t="s">
        <v>789</v>
      </c>
      <c r="F235" s="76" t="s">
        <v>789</v>
      </c>
      <c r="G235" s="243" t="s">
        <v>790</v>
      </c>
      <c r="H235" s="25">
        <v>130</v>
      </c>
      <c r="I235" s="25"/>
      <c r="J235" s="25">
        <v>130</v>
      </c>
      <c r="K235" s="172"/>
      <c r="L235" s="27">
        <v>0</v>
      </c>
      <c r="M235" s="40">
        <v>0</v>
      </c>
      <c r="N235" s="27">
        <v>0</v>
      </c>
      <c r="O235" s="26">
        <v>0</v>
      </c>
      <c r="P235" s="27">
        <v>0</v>
      </c>
      <c r="Q235" s="1161">
        <v>0</v>
      </c>
      <c r="R235" s="45">
        <f t="shared" si="49"/>
        <v>0</v>
      </c>
      <c r="S235" s="27">
        <v>0</v>
      </c>
      <c r="T235" s="26"/>
      <c r="U235" s="26">
        <v>0</v>
      </c>
      <c r="V235" s="26"/>
      <c r="W235" s="26"/>
      <c r="X235" s="27">
        <v>0</v>
      </c>
      <c r="Y235" s="26">
        <v>0</v>
      </c>
      <c r="Z235" s="26"/>
      <c r="AA235" s="75" t="s">
        <v>1209</v>
      </c>
      <c r="AB235" s="191" t="s">
        <v>1256</v>
      </c>
      <c r="AC235" s="74" t="s">
        <v>1209</v>
      </c>
      <c r="AD235" s="584"/>
      <c r="AE235" s="584"/>
      <c r="AF235" s="584"/>
      <c r="AH235" s="633">
        <f t="shared" si="50"/>
        <v>0</v>
      </c>
      <c r="AI235" s="605">
        <f t="shared" si="47"/>
        <v>0</v>
      </c>
      <c r="AJ235" s="120">
        <f t="shared" si="43"/>
        <v>0</v>
      </c>
      <c r="AK235" s="634">
        <f t="shared" si="48"/>
        <v>0</v>
      </c>
      <c r="AL235" s="120"/>
      <c r="AM235" s="496"/>
      <c r="AN235" s="279" t="s">
        <v>632</v>
      </c>
      <c r="AO235" s="279">
        <v>17</v>
      </c>
      <c r="AP235" s="279"/>
      <c r="AQ235" s="279">
        <v>1</v>
      </c>
      <c r="AR235" s="1175"/>
      <c r="AS235" s="148"/>
      <c r="AY235" s="66"/>
      <c r="AZ235" s="66"/>
      <c r="BB235" s="1134"/>
      <c r="BC235" s="1134"/>
      <c r="BD235" s="1134"/>
      <c r="BE235" s="1134"/>
      <c r="BF235" s="1134"/>
    </row>
    <row r="236" spans="1:58" s="206" customFormat="1" ht="25.5" x14ac:dyDescent="0.2">
      <c r="A236" s="173" t="s">
        <v>791</v>
      </c>
      <c r="B236" s="187" t="s">
        <v>942</v>
      </c>
      <c r="C236" s="83">
        <v>2018</v>
      </c>
      <c r="D236" s="75" t="s">
        <v>284</v>
      </c>
      <c r="E236" s="76" t="s">
        <v>642</v>
      </c>
      <c r="F236" s="76" t="s">
        <v>642</v>
      </c>
      <c r="G236" s="243" t="s">
        <v>792</v>
      </c>
      <c r="H236" s="85">
        <v>687.7</v>
      </c>
      <c r="I236" s="85"/>
      <c r="J236" s="25">
        <v>687.7</v>
      </c>
      <c r="K236" s="172"/>
      <c r="L236" s="27">
        <v>0</v>
      </c>
      <c r="M236" s="40">
        <v>0</v>
      </c>
      <c r="N236" s="27">
        <v>0</v>
      </c>
      <c r="O236" s="26">
        <v>0</v>
      </c>
      <c r="P236" s="27">
        <v>12.3</v>
      </c>
      <c r="Q236" s="1161">
        <v>-12.3</v>
      </c>
      <c r="R236" s="45">
        <f t="shared" si="49"/>
        <v>0</v>
      </c>
      <c r="S236" s="27">
        <v>0</v>
      </c>
      <c r="T236" s="26"/>
      <c r="U236" s="26">
        <v>0</v>
      </c>
      <c r="V236" s="26"/>
      <c r="W236" s="26"/>
      <c r="X236" s="27">
        <v>0</v>
      </c>
      <c r="Y236" s="26">
        <v>0</v>
      </c>
      <c r="Z236" s="46"/>
      <c r="AA236" s="150" t="s">
        <v>910</v>
      </c>
      <c r="AB236" s="191" t="s">
        <v>1256</v>
      </c>
      <c r="AC236" s="74" t="s">
        <v>1209</v>
      </c>
      <c r="AD236" s="584"/>
      <c r="AE236" s="584"/>
      <c r="AF236" s="584"/>
      <c r="AH236" s="633">
        <f t="shared" si="50"/>
        <v>0</v>
      </c>
      <c r="AI236" s="605">
        <f t="shared" si="47"/>
        <v>0</v>
      </c>
      <c r="AJ236" s="120">
        <f t="shared" si="43"/>
        <v>0</v>
      </c>
      <c r="AK236" s="634">
        <f t="shared" si="48"/>
        <v>0</v>
      </c>
      <c r="AL236" s="120"/>
      <c r="AM236" s="496"/>
      <c r="AN236" s="279" t="s">
        <v>632</v>
      </c>
      <c r="AO236" s="279">
        <v>17</v>
      </c>
      <c r="AP236" s="279"/>
      <c r="AQ236" s="279">
        <v>1</v>
      </c>
      <c r="AR236" s="1175"/>
      <c r="AS236" s="148"/>
      <c r="AY236" s="66"/>
      <c r="AZ236" s="66"/>
      <c r="BB236" s="1134"/>
      <c r="BC236" s="1134"/>
      <c r="BD236" s="1134"/>
      <c r="BE236" s="1134"/>
      <c r="BF236" s="1134"/>
    </row>
    <row r="237" spans="1:58" s="206" customFormat="1" ht="25.5" x14ac:dyDescent="0.2">
      <c r="A237" s="173" t="s">
        <v>795</v>
      </c>
      <c r="B237" s="187" t="s">
        <v>944</v>
      </c>
      <c r="C237" s="83">
        <v>2018</v>
      </c>
      <c r="D237" s="75" t="s">
        <v>284</v>
      </c>
      <c r="E237" s="76" t="s">
        <v>796</v>
      </c>
      <c r="F237" s="76" t="s">
        <v>796</v>
      </c>
      <c r="G237" s="243" t="s">
        <v>797</v>
      </c>
      <c r="H237" s="85">
        <v>159.708</v>
      </c>
      <c r="I237" s="85"/>
      <c r="J237" s="25">
        <v>159.708</v>
      </c>
      <c r="K237" s="172"/>
      <c r="L237" s="27">
        <v>0</v>
      </c>
      <c r="M237" s="40">
        <v>0</v>
      </c>
      <c r="N237" s="27">
        <v>0</v>
      </c>
      <c r="O237" s="26">
        <v>0</v>
      </c>
      <c r="P237" s="27">
        <v>90.292000000000002</v>
      </c>
      <c r="Q237" s="1161">
        <v>-90.292000000000002</v>
      </c>
      <c r="R237" s="45">
        <f t="shared" si="49"/>
        <v>0</v>
      </c>
      <c r="S237" s="27">
        <v>0</v>
      </c>
      <c r="T237" s="26"/>
      <c r="U237" s="26">
        <v>0</v>
      </c>
      <c r="V237" s="26"/>
      <c r="W237" s="26"/>
      <c r="X237" s="27">
        <v>0</v>
      </c>
      <c r="Y237" s="26">
        <v>0</v>
      </c>
      <c r="Z237" s="46"/>
      <c r="AA237" s="150" t="s">
        <v>910</v>
      </c>
      <c r="AB237" s="191" t="s">
        <v>1256</v>
      </c>
      <c r="AC237" s="74" t="s">
        <v>1209</v>
      </c>
      <c r="AD237" s="584"/>
      <c r="AE237" s="584"/>
      <c r="AF237" s="584"/>
      <c r="AH237" s="633">
        <f t="shared" si="50"/>
        <v>0</v>
      </c>
      <c r="AI237" s="605">
        <f t="shared" si="47"/>
        <v>0</v>
      </c>
      <c r="AJ237" s="120">
        <f t="shared" si="43"/>
        <v>0</v>
      </c>
      <c r="AK237" s="634">
        <f t="shared" si="48"/>
        <v>0</v>
      </c>
      <c r="AL237" s="120"/>
      <c r="AM237" s="496"/>
      <c r="AN237" s="279" t="s">
        <v>632</v>
      </c>
      <c r="AO237" s="279">
        <v>17</v>
      </c>
      <c r="AP237" s="279"/>
      <c r="AQ237" s="279">
        <v>1</v>
      </c>
      <c r="AR237" s="1175"/>
      <c r="AS237" s="148"/>
      <c r="AY237" s="66"/>
      <c r="AZ237" s="66"/>
      <c r="BB237" s="1134"/>
      <c r="BC237" s="1134"/>
      <c r="BD237" s="1134"/>
      <c r="BE237" s="1134"/>
      <c r="BF237" s="1134"/>
    </row>
    <row r="238" spans="1:58" s="206" customFormat="1" ht="25.5" x14ac:dyDescent="0.2">
      <c r="A238" s="173" t="s">
        <v>798</v>
      </c>
      <c r="B238" s="187" t="s">
        <v>945</v>
      </c>
      <c r="C238" s="83">
        <v>2018</v>
      </c>
      <c r="D238" s="75" t="s">
        <v>284</v>
      </c>
      <c r="E238" s="76" t="s">
        <v>799</v>
      </c>
      <c r="F238" s="76" t="s">
        <v>799</v>
      </c>
      <c r="G238" s="243" t="s">
        <v>800</v>
      </c>
      <c r="H238" s="85">
        <v>344.77</v>
      </c>
      <c r="I238" s="85"/>
      <c r="J238" s="25">
        <v>344.77</v>
      </c>
      <c r="K238" s="172"/>
      <c r="L238" s="27">
        <v>0</v>
      </c>
      <c r="M238" s="40">
        <v>0</v>
      </c>
      <c r="N238" s="27">
        <v>0</v>
      </c>
      <c r="O238" s="26">
        <v>0</v>
      </c>
      <c r="P238" s="27">
        <v>15.23</v>
      </c>
      <c r="Q238" s="1161">
        <v>-15.23</v>
      </c>
      <c r="R238" s="45">
        <f t="shared" si="49"/>
        <v>0</v>
      </c>
      <c r="S238" s="27">
        <v>0</v>
      </c>
      <c r="T238" s="26"/>
      <c r="U238" s="26">
        <v>0</v>
      </c>
      <c r="V238" s="26"/>
      <c r="W238" s="26"/>
      <c r="X238" s="27">
        <v>0</v>
      </c>
      <c r="Y238" s="26">
        <v>0</v>
      </c>
      <c r="Z238" s="46"/>
      <c r="AA238" s="150" t="s">
        <v>910</v>
      </c>
      <c r="AB238" s="191" t="s">
        <v>1256</v>
      </c>
      <c r="AC238" s="74" t="s">
        <v>1209</v>
      </c>
      <c r="AD238" s="584"/>
      <c r="AE238" s="584"/>
      <c r="AF238" s="584"/>
      <c r="AH238" s="633">
        <f t="shared" si="50"/>
        <v>0</v>
      </c>
      <c r="AI238" s="605">
        <f t="shared" si="47"/>
        <v>0</v>
      </c>
      <c r="AJ238" s="120">
        <f t="shared" si="43"/>
        <v>0</v>
      </c>
      <c r="AK238" s="634">
        <f t="shared" si="48"/>
        <v>0</v>
      </c>
      <c r="AL238" s="120"/>
      <c r="AM238" s="496"/>
      <c r="AN238" s="279" t="s">
        <v>632</v>
      </c>
      <c r="AO238" s="279">
        <v>17</v>
      </c>
      <c r="AP238" s="279"/>
      <c r="AQ238" s="279">
        <v>1</v>
      </c>
      <c r="AR238" s="1175"/>
      <c r="AS238" s="148"/>
      <c r="AY238" s="66"/>
      <c r="AZ238" s="66"/>
      <c r="BB238" s="1134"/>
      <c r="BC238" s="1134"/>
      <c r="BD238" s="1134"/>
      <c r="BE238" s="1134"/>
      <c r="BF238" s="1134"/>
    </row>
    <row r="239" spans="1:58" s="180" customFormat="1" ht="25.5" x14ac:dyDescent="0.2">
      <c r="A239" s="173" t="s">
        <v>801</v>
      </c>
      <c r="B239" s="187" t="s">
        <v>946</v>
      </c>
      <c r="C239" s="83">
        <v>2018</v>
      </c>
      <c r="D239" s="75" t="s">
        <v>284</v>
      </c>
      <c r="E239" s="76" t="s">
        <v>799</v>
      </c>
      <c r="F239" s="76" t="s">
        <v>799</v>
      </c>
      <c r="G239" s="243" t="s">
        <v>778</v>
      </c>
      <c r="H239" s="25">
        <v>250</v>
      </c>
      <c r="I239" s="25"/>
      <c r="J239" s="25">
        <v>250</v>
      </c>
      <c r="K239" s="172"/>
      <c r="L239" s="27">
        <v>0</v>
      </c>
      <c r="M239" s="40">
        <v>0</v>
      </c>
      <c r="N239" s="27">
        <v>0</v>
      </c>
      <c r="O239" s="26">
        <v>0</v>
      </c>
      <c r="P239" s="27">
        <v>0</v>
      </c>
      <c r="Q239" s="1161">
        <v>0</v>
      </c>
      <c r="R239" s="45">
        <f t="shared" si="49"/>
        <v>0</v>
      </c>
      <c r="S239" s="27">
        <v>0</v>
      </c>
      <c r="T239" s="26"/>
      <c r="U239" s="26">
        <v>0</v>
      </c>
      <c r="V239" s="26"/>
      <c r="W239" s="26"/>
      <c r="X239" s="27">
        <v>0</v>
      </c>
      <c r="Y239" s="26">
        <v>0</v>
      </c>
      <c r="Z239" s="26"/>
      <c r="AA239" s="75" t="s">
        <v>1209</v>
      </c>
      <c r="AB239" s="191" t="s">
        <v>1256</v>
      </c>
      <c r="AC239" s="74" t="s">
        <v>1209</v>
      </c>
      <c r="AD239" s="584"/>
      <c r="AE239" s="584"/>
      <c r="AF239" s="584"/>
      <c r="AH239" s="633">
        <f t="shared" si="50"/>
        <v>0</v>
      </c>
      <c r="AI239" s="605">
        <f t="shared" si="47"/>
        <v>0</v>
      </c>
      <c r="AJ239" s="120">
        <f t="shared" si="43"/>
        <v>0</v>
      </c>
      <c r="AK239" s="634">
        <f t="shared" si="48"/>
        <v>0</v>
      </c>
      <c r="AL239" s="120"/>
      <c r="AM239" s="496"/>
      <c r="AN239" s="279" t="s">
        <v>632</v>
      </c>
      <c r="AO239" s="279">
        <v>17</v>
      </c>
      <c r="AP239" s="279"/>
      <c r="AQ239" s="279">
        <v>1</v>
      </c>
      <c r="AR239" s="1175"/>
      <c r="AS239" s="148"/>
      <c r="AY239" s="66"/>
      <c r="AZ239" s="66"/>
      <c r="BB239" s="1134"/>
      <c r="BC239" s="1134"/>
      <c r="BD239" s="1134"/>
      <c r="BE239" s="1134"/>
      <c r="BF239" s="1134"/>
    </row>
    <row r="240" spans="1:58" s="206" customFormat="1" ht="25.5" x14ac:dyDescent="0.2">
      <c r="A240" s="173" t="s">
        <v>802</v>
      </c>
      <c r="B240" s="187" t="s">
        <v>947</v>
      </c>
      <c r="C240" s="83">
        <v>2018</v>
      </c>
      <c r="D240" s="75" t="s">
        <v>284</v>
      </c>
      <c r="E240" s="76" t="s">
        <v>803</v>
      </c>
      <c r="F240" s="76" t="s">
        <v>803</v>
      </c>
      <c r="G240" s="243" t="s">
        <v>804</v>
      </c>
      <c r="H240" s="85">
        <v>196.54</v>
      </c>
      <c r="I240" s="85"/>
      <c r="J240" s="25">
        <v>196.54</v>
      </c>
      <c r="K240" s="172"/>
      <c r="L240" s="27">
        <v>0</v>
      </c>
      <c r="M240" s="40">
        <v>0</v>
      </c>
      <c r="N240" s="27">
        <v>0</v>
      </c>
      <c r="O240" s="26">
        <v>0</v>
      </c>
      <c r="P240" s="27">
        <v>103.46</v>
      </c>
      <c r="Q240" s="1161">
        <v>-103.46</v>
      </c>
      <c r="R240" s="45">
        <f t="shared" si="49"/>
        <v>0</v>
      </c>
      <c r="S240" s="27">
        <v>0</v>
      </c>
      <c r="T240" s="26"/>
      <c r="U240" s="26">
        <v>0</v>
      </c>
      <c r="V240" s="26"/>
      <c r="W240" s="26"/>
      <c r="X240" s="27">
        <v>0</v>
      </c>
      <c r="Y240" s="26">
        <v>0</v>
      </c>
      <c r="Z240" s="46"/>
      <c r="AA240" s="150" t="s">
        <v>910</v>
      </c>
      <c r="AB240" s="191" t="s">
        <v>1256</v>
      </c>
      <c r="AC240" s="74" t="s">
        <v>1209</v>
      </c>
      <c r="AD240" s="584"/>
      <c r="AE240" s="584"/>
      <c r="AF240" s="584"/>
      <c r="AH240" s="633">
        <f t="shared" si="50"/>
        <v>0</v>
      </c>
      <c r="AI240" s="605">
        <f t="shared" si="47"/>
        <v>0</v>
      </c>
      <c r="AJ240" s="120">
        <f t="shared" si="43"/>
        <v>0</v>
      </c>
      <c r="AK240" s="634">
        <f t="shared" si="48"/>
        <v>0</v>
      </c>
      <c r="AL240" s="120"/>
      <c r="AM240" s="496"/>
      <c r="AN240" s="279" t="s">
        <v>632</v>
      </c>
      <c r="AO240" s="279">
        <v>17</v>
      </c>
      <c r="AP240" s="279"/>
      <c r="AQ240" s="279">
        <v>1</v>
      </c>
      <c r="AR240" s="1175"/>
      <c r="AS240" s="148"/>
      <c r="AY240" s="66"/>
      <c r="AZ240" s="66"/>
      <c r="BB240" s="1134"/>
      <c r="BC240" s="1134"/>
      <c r="BD240" s="1134"/>
      <c r="BE240" s="1134"/>
      <c r="BF240" s="1134"/>
    </row>
    <row r="241" spans="1:62" s="206" customFormat="1" ht="25.5" x14ac:dyDescent="0.2">
      <c r="A241" s="173" t="s">
        <v>805</v>
      </c>
      <c r="B241" s="187" t="s">
        <v>948</v>
      </c>
      <c r="C241" s="83">
        <v>2018</v>
      </c>
      <c r="D241" s="75" t="s">
        <v>284</v>
      </c>
      <c r="E241" s="76" t="s">
        <v>803</v>
      </c>
      <c r="F241" s="76" t="s">
        <v>803</v>
      </c>
      <c r="G241" s="243" t="s">
        <v>806</v>
      </c>
      <c r="H241" s="85">
        <v>262.2</v>
      </c>
      <c r="I241" s="85"/>
      <c r="J241" s="25">
        <v>262.2</v>
      </c>
      <c r="K241" s="172"/>
      <c r="L241" s="27">
        <v>0</v>
      </c>
      <c r="M241" s="40">
        <v>0</v>
      </c>
      <c r="N241" s="27">
        <v>0</v>
      </c>
      <c r="O241" s="26">
        <v>0</v>
      </c>
      <c r="P241" s="27">
        <v>67.8</v>
      </c>
      <c r="Q241" s="1161">
        <v>-67.8</v>
      </c>
      <c r="R241" s="45">
        <f t="shared" si="49"/>
        <v>0</v>
      </c>
      <c r="S241" s="27">
        <v>0</v>
      </c>
      <c r="T241" s="26"/>
      <c r="U241" s="26">
        <v>0</v>
      </c>
      <c r="V241" s="26"/>
      <c r="W241" s="26"/>
      <c r="X241" s="27">
        <v>0</v>
      </c>
      <c r="Y241" s="26">
        <v>0</v>
      </c>
      <c r="Z241" s="46"/>
      <c r="AA241" s="150" t="s">
        <v>910</v>
      </c>
      <c r="AB241" s="191" t="s">
        <v>1256</v>
      </c>
      <c r="AC241" s="74" t="s">
        <v>1209</v>
      </c>
      <c r="AD241" s="584"/>
      <c r="AE241" s="584"/>
      <c r="AF241" s="584"/>
      <c r="AH241" s="633">
        <f t="shared" si="50"/>
        <v>0</v>
      </c>
      <c r="AI241" s="605">
        <f t="shared" si="47"/>
        <v>0</v>
      </c>
      <c r="AJ241" s="120">
        <f t="shared" si="43"/>
        <v>0</v>
      </c>
      <c r="AK241" s="634">
        <f t="shared" si="48"/>
        <v>0</v>
      </c>
      <c r="AL241" s="120"/>
      <c r="AM241" s="496"/>
      <c r="AN241" s="279" t="s">
        <v>632</v>
      </c>
      <c r="AO241" s="279">
        <v>17</v>
      </c>
      <c r="AP241" s="279"/>
      <c r="AQ241" s="279">
        <v>1</v>
      </c>
      <c r="AR241" s="1175"/>
      <c r="AS241" s="148"/>
      <c r="AY241" s="66"/>
      <c r="AZ241" s="66"/>
      <c r="BB241" s="1134"/>
      <c r="BC241" s="1134"/>
      <c r="BD241" s="1134"/>
      <c r="BE241" s="1134"/>
      <c r="BF241" s="1134"/>
    </row>
    <row r="242" spans="1:62" s="206" customFormat="1" ht="26.25" thickBot="1" x14ac:dyDescent="0.25">
      <c r="A242" s="173" t="s">
        <v>807</v>
      </c>
      <c r="B242" s="187" t="s">
        <v>949</v>
      </c>
      <c r="C242" s="83">
        <v>2018</v>
      </c>
      <c r="D242" s="275" t="s">
        <v>284</v>
      </c>
      <c r="E242" s="76" t="s">
        <v>803</v>
      </c>
      <c r="F242" s="76" t="s">
        <v>803</v>
      </c>
      <c r="G242" s="243" t="s">
        <v>808</v>
      </c>
      <c r="H242" s="85">
        <v>255.18899999999999</v>
      </c>
      <c r="I242" s="85"/>
      <c r="J242" s="25">
        <v>255.18899999999999</v>
      </c>
      <c r="K242" s="293"/>
      <c r="L242" s="27">
        <v>0</v>
      </c>
      <c r="M242" s="40">
        <v>0</v>
      </c>
      <c r="N242" s="27">
        <v>0</v>
      </c>
      <c r="O242" s="26">
        <v>0</v>
      </c>
      <c r="P242" s="27">
        <v>144.81100000000001</v>
      </c>
      <c r="Q242" s="1117">
        <v>-144.81100000000001</v>
      </c>
      <c r="R242" s="45">
        <f t="shared" si="49"/>
        <v>0</v>
      </c>
      <c r="S242" s="27">
        <v>0</v>
      </c>
      <c r="T242" s="26"/>
      <c r="U242" s="26">
        <v>0</v>
      </c>
      <c r="V242" s="26"/>
      <c r="W242" s="26"/>
      <c r="X242" s="27">
        <v>0</v>
      </c>
      <c r="Y242" s="26">
        <v>0</v>
      </c>
      <c r="Z242" s="46"/>
      <c r="AA242" s="150" t="s">
        <v>910</v>
      </c>
      <c r="AB242" s="191" t="s">
        <v>1256</v>
      </c>
      <c r="AC242" s="74" t="s">
        <v>1209</v>
      </c>
      <c r="AD242" s="584"/>
      <c r="AE242" s="584"/>
      <c r="AF242" s="584"/>
      <c r="AH242" s="633">
        <f t="shared" si="50"/>
        <v>0</v>
      </c>
      <c r="AI242" s="605">
        <f t="shared" si="47"/>
        <v>0</v>
      </c>
      <c r="AJ242" s="120">
        <f t="shared" si="43"/>
        <v>0</v>
      </c>
      <c r="AK242" s="634">
        <f t="shared" si="48"/>
        <v>0</v>
      </c>
      <c r="AL242" s="120"/>
      <c r="AM242" s="496"/>
      <c r="AN242" s="279" t="s">
        <v>632</v>
      </c>
      <c r="AO242" s="279">
        <v>17</v>
      </c>
      <c r="AP242" s="279"/>
      <c r="AQ242" s="279">
        <v>1</v>
      </c>
      <c r="AR242" s="1175"/>
      <c r="AS242" s="148"/>
      <c r="AY242" s="66"/>
      <c r="AZ242" s="66"/>
      <c r="BB242" s="1134"/>
      <c r="BC242" s="1134"/>
      <c r="BD242" s="1134"/>
      <c r="BE242" s="1134"/>
      <c r="BF242" s="1134"/>
    </row>
    <row r="243" spans="1:62" s="177" customFormat="1" ht="25.5" hidden="1" x14ac:dyDescent="0.2">
      <c r="A243" s="466" t="s">
        <v>988</v>
      </c>
      <c r="B243" s="466" t="s">
        <v>1230</v>
      </c>
      <c r="C243" s="467">
        <v>2019</v>
      </c>
      <c r="D243" s="83" t="s">
        <v>1265</v>
      </c>
      <c r="E243" s="468" t="s">
        <v>698</v>
      </c>
      <c r="F243" s="902" t="s">
        <v>698</v>
      </c>
      <c r="G243" s="469" t="s">
        <v>951</v>
      </c>
      <c r="H243" s="493">
        <v>0</v>
      </c>
      <c r="I243" s="470">
        <v>5</v>
      </c>
      <c r="J243" s="470">
        <v>0</v>
      </c>
      <c r="K243" s="832">
        <v>0</v>
      </c>
      <c r="L243" s="549">
        <v>0</v>
      </c>
      <c r="M243" s="800">
        <v>0</v>
      </c>
      <c r="N243" s="550">
        <v>0</v>
      </c>
      <c r="O243" s="551">
        <v>0</v>
      </c>
      <c r="P243" s="507">
        <v>0</v>
      </c>
      <c r="Q243" s="386">
        <v>0</v>
      </c>
      <c r="R243" s="473">
        <f t="shared" ref="R243:R251" si="51">P243+Q243</f>
        <v>0</v>
      </c>
      <c r="S243" s="842">
        <v>0</v>
      </c>
      <c r="T243" s="472">
        <v>0</v>
      </c>
      <c r="U243" s="474">
        <v>0</v>
      </c>
      <c r="V243" s="474"/>
      <c r="W243" s="474"/>
      <c r="X243" s="472">
        <v>0</v>
      </c>
      <c r="Y243" s="532">
        <v>0</v>
      </c>
      <c r="Z243" s="534">
        <v>0</v>
      </c>
      <c r="AA243" s="467" t="s">
        <v>1209</v>
      </c>
      <c r="AB243" s="467" t="s">
        <v>1300</v>
      </c>
      <c r="AC243" s="475" t="s">
        <v>1178</v>
      </c>
      <c r="AD243" s="503" t="s">
        <v>1282</v>
      </c>
      <c r="AE243" s="476" t="s">
        <v>1282</v>
      </c>
      <c r="AF243" s="731"/>
      <c r="AH243" s="516">
        <f t="shared" ref="AH243:AH251" si="52">H243-J243-R243-S243-U243-X243-Y243-Z243</f>
        <v>0</v>
      </c>
      <c r="AI243" s="351">
        <f t="shared" ref="AI243:AI251" si="53">R243-P243-Q243</f>
        <v>0</v>
      </c>
      <c r="AJ243" s="553">
        <f t="shared" ref="AJ243:AJ251" si="54">K243-R243</f>
        <v>0</v>
      </c>
      <c r="AK243" s="509">
        <f t="shared" ref="AK243:AK251" si="55">R243+S243-L243-M243-N243-O243</f>
        <v>0</v>
      </c>
      <c r="AL243" s="1140"/>
      <c r="AM243" s="750"/>
      <c r="AN243" s="751" t="s">
        <v>632</v>
      </c>
      <c r="AO243" s="448">
        <v>17</v>
      </c>
      <c r="AP243" s="448">
        <v>1</v>
      </c>
      <c r="AQ243" s="817">
        <v>3</v>
      </c>
      <c r="AR243" s="1152"/>
      <c r="AS243" s="747"/>
      <c r="AT243" s="752"/>
      <c r="AU243" s="752"/>
      <c r="AV243" s="752"/>
      <c r="AW243" s="753" t="s">
        <v>1450</v>
      </c>
      <c r="AX243" s="754" t="s">
        <v>1209</v>
      </c>
      <c r="AY243" s="523">
        <v>1</v>
      </c>
      <c r="AZ243" s="523">
        <v>0</v>
      </c>
      <c r="BA243" s="748"/>
      <c r="BB243" s="389"/>
      <c r="BC243" s="389"/>
      <c r="BD243" s="389"/>
      <c r="BE243" s="389"/>
      <c r="BF243" s="389"/>
      <c r="BG243" s="459"/>
      <c r="BH243" s="459"/>
      <c r="BI243" s="459"/>
      <c r="BJ243" s="471">
        <v>0</v>
      </c>
    </row>
    <row r="244" spans="1:62" s="177" customFormat="1" ht="25.5" hidden="1" x14ac:dyDescent="0.2">
      <c r="A244" s="477" t="s">
        <v>989</v>
      </c>
      <c r="B244" s="478" t="s">
        <v>1230</v>
      </c>
      <c r="C244" s="479">
        <v>2019</v>
      </c>
      <c r="D244" s="75" t="s">
        <v>1265</v>
      </c>
      <c r="E244" s="480" t="s">
        <v>767</v>
      </c>
      <c r="F244" s="903" t="s">
        <v>767</v>
      </c>
      <c r="G244" s="240" t="s">
        <v>952</v>
      </c>
      <c r="H244" s="471">
        <v>0</v>
      </c>
      <c r="I244" s="481">
        <v>12</v>
      </c>
      <c r="J244" s="481">
        <v>0</v>
      </c>
      <c r="K244" s="831">
        <v>0</v>
      </c>
      <c r="L244" s="540">
        <v>0</v>
      </c>
      <c r="M244" s="799">
        <v>0</v>
      </c>
      <c r="N244" s="437">
        <v>0</v>
      </c>
      <c r="O244" s="543">
        <v>0</v>
      </c>
      <c r="P244" s="508">
        <v>0</v>
      </c>
      <c r="Q244" s="396">
        <v>0</v>
      </c>
      <c r="R244" s="482">
        <f t="shared" si="51"/>
        <v>0</v>
      </c>
      <c r="S244" s="841">
        <v>0</v>
      </c>
      <c r="T244" s="36">
        <v>0</v>
      </c>
      <c r="U244" s="483">
        <v>0</v>
      </c>
      <c r="V244" s="483"/>
      <c r="W244" s="483"/>
      <c r="X244" s="132">
        <v>0</v>
      </c>
      <c r="Y244" s="533">
        <v>0</v>
      </c>
      <c r="Z244" s="536">
        <v>0</v>
      </c>
      <c r="AA244" s="479" t="s">
        <v>1209</v>
      </c>
      <c r="AB244" s="479" t="s">
        <v>1300</v>
      </c>
      <c r="AC244" s="489" t="s">
        <v>912</v>
      </c>
      <c r="AD244" s="504" t="s">
        <v>1282</v>
      </c>
      <c r="AE244" s="285" t="s">
        <v>1282</v>
      </c>
      <c r="AF244" s="730"/>
      <c r="AH244" s="516">
        <f t="shared" si="52"/>
        <v>0</v>
      </c>
      <c r="AI244" s="351">
        <f t="shared" si="53"/>
        <v>0</v>
      </c>
      <c r="AJ244" s="553">
        <f t="shared" si="54"/>
        <v>0</v>
      </c>
      <c r="AK244" s="509">
        <f t="shared" si="55"/>
        <v>0</v>
      </c>
      <c r="AL244" s="1140"/>
      <c r="AM244" s="449"/>
      <c r="AN244" s="646" t="s">
        <v>632</v>
      </c>
      <c r="AO244" s="391">
        <v>17</v>
      </c>
      <c r="AP244" s="391">
        <v>1</v>
      </c>
      <c r="AQ244" s="818">
        <v>3</v>
      </c>
      <c r="AR244" s="1152">
        <v>2</v>
      </c>
      <c r="AS244" s="148"/>
      <c r="AT244" s="580"/>
      <c r="AU244" s="580"/>
      <c r="AV244" s="580"/>
      <c r="AW244" s="581" t="s">
        <v>1450</v>
      </c>
      <c r="AX244" s="575" t="s">
        <v>1281</v>
      </c>
      <c r="AY244" s="390">
        <v>1</v>
      </c>
      <c r="AZ244" s="390">
        <v>0</v>
      </c>
      <c r="BA244" s="459"/>
      <c r="BB244" s="389"/>
      <c r="BC244" s="389"/>
      <c r="BD244" s="389"/>
      <c r="BE244" s="389"/>
      <c r="BF244" s="389"/>
      <c r="BG244" s="459"/>
      <c r="BH244" s="459"/>
      <c r="BI244" s="459"/>
      <c r="BJ244" s="471">
        <v>0</v>
      </c>
    </row>
    <row r="245" spans="1:62" s="177" customFormat="1" ht="30" hidden="1" x14ac:dyDescent="0.2">
      <c r="A245" s="477" t="s">
        <v>990</v>
      </c>
      <c r="B245" s="478" t="s">
        <v>1230</v>
      </c>
      <c r="C245" s="479">
        <v>2019</v>
      </c>
      <c r="D245" s="75" t="s">
        <v>1265</v>
      </c>
      <c r="E245" s="480" t="s">
        <v>953</v>
      </c>
      <c r="F245" s="903" t="s">
        <v>953</v>
      </c>
      <c r="G245" s="240" t="s">
        <v>954</v>
      </c>
      <c r="H245" s="471">
        <v>0</v>
      </c>
      <c r="I245" s="481">
        <v>12</v>
      </c>
      <c r="J245" s="481">
        <v>0</v>
      </c>
      <c r="K245" s="831">
        <v>0</v>
      </c>
      <c r="L245" s="540">
        <v>0</v>
      </c>
      <c r="M245" s="799">
        <v>0</v>
      </c>
      <c r="N245" s="437">
        <v>0</v>
      </c>
      <c r="O245" s="543">
        <v>0</v>
      </c>
      <c r="P245" s="508">
        <v>0</v>
      </c>
      <c r="Q245" s="396">
        <v>0</v>
      </c>
      <c r="R245" s="482">
        <f t="shared" si="51"/>
        <v>0</v>
      </c>
      <c r="S245" s="841">
        <v>0</v>
      </c>
      <c r="T245" s="36">
        <v>0</v>
      </c>
      <c r="U245" s="483">
        <v>0</v>
      </c>
      <c r="V245" s="483"/>
      <c r="W245" s="483"/>
      <c r="X245" s="132">
        <v>0</v>
      </c>
      <c r="Y245" s="533">
        <v>0</v>
      </c>
      <c r="Z245" s="536">
        <v>0</v>
      </c>
      <c r="AA245" s="479" t="s">
        <v>1209</v>
      </c>
      <c r="AB245" s="479" t="s">
        <v>1300</v>
      </c>
      <c r="AC245" s="489" t="s">
        <v>1347</v>
      </c>
      <c r="AD245" s="504" t="s">
        <v>1282</v>
      </c>
      <c r="AE245" s="285" t="s">
        <v>1282</v>
      </c>
      <c r="AF245" s="730"/>
      <c r="AH245" s="516">
        <f t="shared" si="52"/>
        <v>0</v>
      </c>
      <c r="AI245" s="351">
        <f t="shared" si="53"/>
        <v>0</v>
      </c>
      <c r="AJ245" s="553">
        <f t="shared" si="54"/>
        <v>0</v>
      </c>
      <c r="AK245" s="509">
        <f t="shared" si="55"/>
        <v>0</v>
      </c>
      <c r="AL245" s="1140"/>
      <c r="AM245" s="449"/>
      <c r="AN245" s="646" t="s">
        <v>632</v>
      </c>
      <c r="AO245" s="391">
        <v>17</v>
      </c>
      <c r="AP245" s="391">
        <v>1</v>
      </c>
      <c r="AQ245" s="818">
        <v>3</v>
      </c>
      <c r="AR245" s="1152"/>
      <c r="AS245" s="148"/>
      <c r="AT245" s="580"/>
      <c r="AU245" s="580"/>
      <c r="AV245" s="580"/>
      <c r="AW245" s="581" t="s">
        <v>1450</v>
      </c>
      <c r="AX245" s="575" t="s">
        <v>1281</v>
      </c>
      <c r="AY245" s="390">
        <v>0</v>
      </c>
      <c r="AZ245" s="390">
        <v>1</v>
      </c>
      <c r="BA245" s="459"/>
      <c r="BB245" s="389"/>
      <c r="BC245" s="389"/>
      <c r="BD245" s="389"/>
      <c r="BE245" s="389"/>
      <c r="BF245" s="389"/>
      <c r="BG245" s="459"/>
      <c r="BH245" s="459"/>
      <c r="BI245" s="459"/>
      <c r="BJ245" s="471">
        <v>0</v>
      </c>
    </row>
    <row r="246" spans="1:62" s="177" customFormat="1" ht="25.5" hidden="1" x14ac:dyDescent="0.2">
      <c r="A246" s="477" t="s">
        <v>991</v>
      </c>
      <c r="B246" s="478" t="s">
        <v>1230</v>
      </c>
      <c r="C246" s="479">
        <v>2019</v>
      </c>
      <c r="D246" s="75" t="s">
        <v>1265</v>
      </c>
      <c r="E246" s="480" t="s">
        <v>842</v>
      </c>
      <c r="F246" s="903" t="s">
        <v>842</v>
      </c>
      <c r="G246" s="240" t="s">
        <v>955</v>
      </c>
      <c r="H246" s="471">
        <v>0</v>
      </c>
      <c r="I246" s="481">
        <v>4</v>
      </c>
      <c r="J246" s="481">
        <v>0</v>
      </c>
      <c r="K246" s="831">
        <v>0</v>
      </c>
      <c r="L246" s="540">
        <v>0</v>
      </c>
      <c r="M246" s="799">
        <v>0</v>
      </c>
      <c r="N246" s="437">
        <v>0</v>
      </c>
      <c r="O246" s="543">
        <v>0</v>
      </c>
      <c r="P246" s="508">
        <v>0</v>
      </c>
      <c r="Q246" s="396">
        <v>0</v>
      </c>
      <c r="R246" s="482">
        <f t="shared" si="51"/>
        <v>0</v>
      </c>
      <c r="S246" s="841">
        <v>0</v>
      </c>
      <c r="T246" s="36">
        <v>0</v>
      </c>
      <c r="U246" s="483">
        <v>0</v>
      </c>
      <c r="V246" s="483"/>
      <c r="W246" s="483"/>
      <c r="X246" s="132">
        <v>0</v>
      </c>
      <c r="Y246" s="533">
        <v>0</v>
      </c>
      <c r="Z246" s="536">
        <v>0</v>
      </c>
      <c r="AA246" s="479" t="s">
        <v>1209</v>
      </c>
      <c r="AB246" s="479" t="s">
        <v>1300</v>
      </c>
      <c r="AC246" s="489" t="s">
        <v>369</v>
      </c>
      <c r="AD246" s="504" t="s">
        <v>1282</v>
      </c>
      <c r="AE246" s="285" t="s">
        <v>1282</v>
      </c>
      <c r="AF246" s="730"/>
      <c r="AH246" s="516">
        <f t="shared" si="52"/>
        <v>0</v>
      </c>
      <c r="AI246" s="351">
        <f t="shared" si="53"/>
        <v>0</v>
      </c>
      <c r="AJ246" s="553">
        <f t="shared" si="54"/>
        <v>0</v>
      </c>
      <c r="AK246" s="509">
        <f t="shared" si="55"/>
        <v>0</v>
      </c>
      <c r="AL246" s="1140"/>
      <c r="AM246" s="449"/>
      <c r="AN246" s="646" t="s">
        <v>632</v>
      </c>
      <c r="AO246" s="391">
        <v>17</v>
      </c>
      <c r="AP246" s="391">
        <v>1</v>
      </c>
      <c r="AQ246" s="818">
        <v>3</v>
      </c>
      <c r="AR246" s="1152"/>
      <c r="AS246" s="148"/>
      <c r="AT246" s="580"/>
      <c r="AU246" s="580"/>
      <c r="AV246" s="580"/>
      <c r="AW246" s="581" t="s">
        <v>1450</v>
      </c>
      <c r="AX246" s="575" t="s">
        <v>1281</v>
      </c>
      <c r="AY246" s="390">
        <v>1</v>
      </c>
      <c r="AZ246" s="390">
        <v>0</v>
      </c>
      <c r="BA246" s="459"/>
      <c r="BB246" s="389"/>
      <c r="BC246" s="389"/>
      <c r="BD246" s="389"/>
      <c r="BE246" s="389"/>
      <c r="BF246" s="389"/>
      <c r="BG246" s="459"/>
      <c r="BH246" s="459"/>
      <c r="BI246" s="459"/>
      <c r="BJ246" s="471">
        <v>0</v>
      </c>
    </row>
    <row r="247" spans="1:62" s="177" customFormat="1" ht="25.5" hidden="1" x14ac:dyDescent="0.2">
      <c r="A247" s="477" t="s">
        <v>993</v>
      </c>
      <c r="B247" s="478" t="s">
        <v>1230</v>
      </c>
      <c r="C247" s="479">
        <v>2019</v>
      </c>
      <c r="D247" s="75" t="s">
        <v>1265</v>
      </c>
      <c r="E247" s="480" t="s">
        <v>639</v>
      </c>
      <c r="F247" s="903" t="s">
        <v>639</v>
      </c>
      <c r="G247" s="240" t="s">
        <v>957</v>
      </c>
      <c r="H247" s="471">
        <v>0</v>
      </c>
      <c r="I247" s="481">
        <v>10</v>
      </c>
      <c r="J247" s="481">
        <v>0</v>
      </c>
      <c r="K247" s="831">
        <v>0</v>
      </c>
      <c r="L247" s="540">
        <v>0</v>
      </c>
      <c r="M247" s="799">
        <v>0</v>
      </c>
      <c r="N247" s="437">
        <v>0</v>
      </c>
      <c r="O247" s="543">
        <v>0</v>
      </c>
      <c r="P247" s="508">
        <v>0</v>
      </c>
      <c r="Q247" s="396">
        <v>0</v>
      </c>
      <c r="R247" s="482">
        <f t="shared" si="51"/>
        <v>0</v>
      </c>
      <c r="S247" s="841">
        <v>0</v>
      </c>
      <c r="T247" s="36">
        <v>0</v>
      </c>
      <c r="U247" s="483">
        <v>0</v>
      </c>
      <c r="V247" s="483"/>
      <c r="W247" s="483"/>
      <c r="X247" s="132">
        <v>0</v>
      </c>
      <c r="Y247" s="533">
        <v>0</v>
      </c>
      <c r="Z247" s="536">
        <v>0</v>
      </c>
      <c r="AA247" s="479" t="s">
        <v>1209</v>
      </c>
      <c r="AB247" s="479" t="s">
        <v>1300</v>
      </c>
      <c r="AC247" s="489" t="s">
        <v>1348</v>
      </c>
      <c r="AD247" s="504" t="s">
        <v>1282</v>
      </c>
      <c r="AE247" s="285" t="s">
        <v>1282</v>
      </c>
      <c r="AF247" s="727"/>
      <c r="AH247" s="516">
        <f t="shared" si="52"/>
        <v>0</v>
      </c>
      <c r="AI247" s="351">
        <f t="shared" si="53"/>
        <v>0</v>
      </c>
      <c r="AJ247" s="553">
        <f t="shared" si="54"/>
        <v>0</v>
      </c>
      <c r="AK247" s="509">
        <f t="shared" si="55"/>
        <v>0</v>
      </c>
      <c r="AL247" s="1140"/>
      <c r="AM247" s="449"/>
      <c r="AN247" s="646" t="s">
        <v>632</v>
      </c>
      <c r="AO247" s="391">
        <v>17</v>
      </c>
      <c r="AP247" s="391">
        <v>1</v>
      </c>
      <c r="AQ247" s="818">
        <v>3</v>
      </c>
      <c r="AR247" s="1152"/>
      <c r="AS247" s="148"/>
      <c r="AT247" s="580"/>
      <c r="AU247" s="580"/>
      <c r="AV247" s="580"/>
      <c r="AW247" s="581" t="s">
        <v>1450</v>
      </c>
      <c r="AX247" s="575" t="s">
        <v>1281</v>
      </c>
      <c r="AY247" s="390">
        <v>1</v>
      </c>
      <c r="AZ247" s="390">
        <v>0</v>
      </c>
      <c r="BA247" s="459"/>
      <c r="BB247" s="389"/>
      <c r="BC247" s="389"/>
      <c r="BD247" s="389"/>
      <c r="BE247" s="389"/>
      <c r="BF247" s="389"/>
      <c r="BG247" s="459"/>
      <c r="BH247" s="459"/>
      <c r="BI247" s="459"/>
      <c r="BJ247" s="471">
        <v>0</v>
      </c>
    </row>
    <row r="248" spans="1:62" s="177" customFormat="1" ht="30" hidden="1" x14ac:dyDescent="0.2">
      <c r="A248" s="477" t="s">
        <v>994</v>
      </c>
      <c r="B248" s="478" t="s">
        <v>1230</v>
      </c>
      <c r="C248" s="479">
        <v>2019</v>
      </c>
      <c r="D248" s="75" t="s">
        <v>1265</v>
      </c>
      <c r="E248" s="480" t="s">
        <v>639</v>
      </c>
      <c r="F248" s="903" t="s">
        <v>639</v>
      </c>
      <c r="G248" s="240" t="s">
        <v>958</v>
      </c>
      <c r="H248" s="471">
        <v>0</v>
      </c>
      <c r="I248" s="481">
        <v>10</v>
      </c>
      <c r="J248" s="481">
        <v>0</v>
      </c>
      <c r="K248" s="831">
        <v>0</v>
      </c>
      <c r="L248" s="540">
        <v>0</v>
      </c>
      <c r="M248" s="799">
        <v>0</v>
      </c>
      <c r="N248" s="437">
        <v>0</v>
      </c>
      <c r="O248" s="543">
        <v>0</v>
      </c>
      <c r="P248" s="508">
        <v>0</v>
      </c>
      <c r="Q248" s="396">
        <v>0</v>
      </c>
      <c r="R248" s="482">
        <f t="shared" si="51"/>
        <v>0</v>
      </c>
      <c r="S248" s="841">
        <v>0</v>
      </c>
      <c r="T248" s="36">
        <v>0</v>
      </c>
      <c r="U248" s="483">
        <v>0</v>
      </c>
      <c r="V248" s="483"/>
      <c r="W248" s="483"/>
      <c r="X248" s="132">
        <v>0</v>
      </c>
      <c r="Y248" s="533">
        <v>0</v>
      </c>
      <c r="Z248" s="536">
        <v>0</v>
      </c>
      <c r="AA248" s="479" t="s">
        <v>1209</v>
      </c>
      <c r="AB248" s="479" t="s">
        <v>1300</v>
      </c>
      <c r="AC248" s="489" t="s">
        <v>912</v>
      </c>
      <c r="AD248" s="504" t="s">
        <v>1282</v>
      </c>
      <c r="AE248" s="285" t="s">
        <v>1282</v>
      </c>
      <c r="AF248" s="727"/>
      <c r="AH248" s="516">
        <f t="shared" si="52"/>
        <v>0</v>
      </c>
      <c r="AI248" s="351">
        <f t="shared" si="53"/>
        <v>0</v>
      </c>
      <c r="AJ248" s="553">
        <f t="shared" si="54"/>
        <v>0</v>
      </c>
      <c r="AK248" s="509">
        <f t="shared" si="55"/>
        <v>0</v>
      </c>
      <c r="AL248" s="1140"/>
      <c r="AM248" s="449"/>
      <c r="AN248" s="646" t="s">
        <v>632</v>
      </c>
      <c r="AO248" s="391">
        <v>17</v>
      </c>
      <c r="AP248" s="391">
        <v>1</v>
      </c>
      <c r="AQ248" s="818">
        <v>3</v>
      </c>
      <c r="AR248" s="1152"/>
      <c r="AS248" s="148"/>
      <c r="AT248" s="580"/>
      <c r="AU248" s="580"/>
      <c r="AV248" s="580"/>
      <c r="AW248" s="581" t="s">
        <v>1450</v>
      </c>
      <c r="AX248" s="575" t="s">
        <v>1281</v>
      </c>
      <c r="AY248" s="390">
        <v>0</v>
      </c>
      <c r="AZ248" s="390">
        <v>1</v>
      </c>
      <c r="BA248" s="459"/>
      <c r="BB248" s="389"/>
      <c r="BC248" s="389"/>
      <c r="BD248" s="389"/>
      <c r="BE248" s="389"/>
      <c r="BF248" s="389"/>
      <c r="BG248" s="459"/>
      <c r="BH248" s="459"/>
      <c r="BI248" s="459"/>
      <c r="BJ248" s="471">
        <v>0</v>
      </c>
    </row>
    <row r="249" spans="1:62" s="177" customFormat="1" ht="25.5" hidden="1" x14ac:dyDescent="0.2">
      <c r="A249" s="477" t="s">
        <v>995</v>
      </c>
      <c r="B249" s="478" t="s">
        <v>1230</v>
      </c>
      <c r="C249" s="479">
        <v>2019</v>
      </c>
      <c r="D249" s="75" t="s">
        <v>1265</v>
      </c>
      <c r="E249" s="480" t="s">
        <v>1529</v>
      </c>
      <c r="F249" s="903" t="s">
        <v>1529</v>
      </c>
      <c r="G249" s="240" t="s">
        <v>959</v>
      </c>
      <c r="H249" s="471">
        <v>0</v>
      </c>
      <c r="I249" s="481">
        <v>4</v>
      </c>
      <c r="J249" s="481">
        <v>0</v>
      </c>
      <c r="K249" s="831">
        <v>0</v>
      </c>
      <c r="L249" s="540">
        <v>0</v>
      </c>
      <c r="M249" s="799">
        <v>0</v>
      </c>
      <c r="N249" s="437">
        <v>0</v>
      </c>
      <c r="O249" s="543">
        <v>0</v>
      </c>
      <c r="P249" s="508">
        <v>0</v>
      </c>
      <c r="Q249" s="562">
        <v>0</v>
      </c>
      <c r="R249" s="482">
        <f t="shared" si="51"/>
        <v>0</v>
      </c>
      <c r="S249" s="841">
        <v>0</v>
      </c>
      <c r="T249" s="36">
        <v>0</v>
      </c>
      <c r="U249" s="483">
        <v>0</v>
      </c>
      <c r="V249" s="483"/>
      <c r="W249" s="483"/>
      <c r="X249" s="132">
        <v>0</v>
      </c>
      <c r="Y249" s="533">
        <v>0</v>
      </c>
      <c r="Z249" s="536">
        <v>0</v>
      </c>
      <c r="AA249" s="75" t="s">
        <v>1524</v>
      </c>
      <c r="AB249" s="479" t="s">
        <v>1300</v>
      </c>
      <c r="AC249" s="489" t="s">
        <v>847</v>
      </c>
      <c r="AD249" s="504" t="s">
        <v>1282</v>
      </c>
      <c r="AE249" s="285" t="s">
        <v>1282</v>
      </c>
      <c r="AF249" s="730"/>
      <c r="AH249" s="516">
        <f t="shared" si="52"/>
        <v>0</v>
      </c>
      <c r="AI249" s="351">
        <f t="shared" si="53"/>
        <v>0</v>
      </c>
      <c r="AJ249" s="553">
        <f t="shared" si="54"/>
        <v>0</v>
      </c>
      <c r="AK249" s="509">
        <f t="shared" si="55"/>
        <v>0</v>
      </c>
      <c r="AL249" s="1140"/>
      <c r="AM249" s="449"/>
      <c r="AN249" s="646" t="s">
        <v>632</v>
      </c>
      <c r="AO249" s="391">
        <v>17</v>
      </c>
      <c r="AP249" s="391">
        <v>1</v>
      </c>
      <c r="AQ249" s="818">
        <v>3</v>
      </c>
      <c r="AR249" s="1152"/>
      <c r="AS249" s="148"/>
      <c r="AT249" s="581" t="s">
        <v>1517</v>
      </c>
      <c r="AU249" s="1096"/>
      <c r="AV249" s="1096"/>
      <c r="AW249" s="75" t="s">
        <v>1524</v>
      </c>
      <c r="AX249" s="397" t="s">
        <v>1336</v>
      </c>
      <c r="AY249" s="390">
        <v>0</v>
      </c>
      <c r="AZ249" s="390">
        <v>1</v>
      </c>
      <c r="BA249" s="459"/>
      <c r="BB249" s="389"/>
      <c r="BC249" s="389"/>
      <c r="BD249" s="389"/>
      <c r="BE249" s="389"/>
      <c r="BF249" s="389"/>
      <c r="BG249" s="459"/>
      <c r="BH249" s="459"/>
      <c r="BI249" s="459"/>
      <c r="BJ249" s="471">
        <v>0</v>
      </c>
    </row>
    <row r="250" spans="1:62" s="177" customFormat="1" ht="25.5" hidden="1" x14ac:dyDescent="0.2">
      <c r="A250" s="477" t="s">
        <v>1000</v>
      </c>
      <c r="B250" s="478" t="s">
        <v>1230</v>
      </c>
      <c r="C250" s="479">
        <v>2019</v>
      </c>
      <c r="D250" s="75" t="s">
        <v>1265</v>
      </c>
      <c r="E250" s="480" t="s">
        <v>1530</v>
      </c>
      <c r="F250" s="903" t="s">
        <v>1530</v>
      </c>
      <c r="G250" s="240" t="s">
        <v>963</v>
      </c>
      <c r="H250" s="471">
        <v>0</v>
      </c>
      <c r="I250" s="481">
        <v>7</v>
      </c>
      <c r="J250" s="481">
        <v>0</v>
      </c>
      <c r="K250" s="831">
        <v>0</v>
      </c>
      <c r="L250" s="540">
        <v>0</v>
      </c>
      <c r="M250" s="799">
        <v>0</v>
      </c>
      <c r="N250" s="437">
        <v>0</v>
      </c>
      <c r="O250" s="543">
        <v>0</v>
      </c>
      <c r="P250" s="508">
        <v>0</v>
      </c>
      <c r="Q250" s="396">
        <v>0</v>
      </c>
      <c r="R250" s="482">
        <f t="shared" si="51"/>
        <v>0</v>
      </c>
      <c r="S250" s="841">
        <v>0</v>
      </c>
      <c r="T250" s="36">
        <v>0</v>
      </c>
      <c r="U250" s="483">
        <v>0</v>
      </c>
      <c r="V250" s="483"/>
      <c r="W250" s="483"/>
      <c r="X250" s="132">
        <v>0</v>
      </c>
      <c r="Y250" s="533">
        <v>0</v>
      </c>
      <c r="Z250" s="536">
        <v>0</v>
      </c>
      <c r="AA250" s="479" t="s">
        <v>1209</v>
      </c>
      <c r="AB250" s="479" t="s">
        <v>1300</v>
      </c>
      <c r="AC250" s="489" t="s">
        <v>1347</v>
      </c>
      <c r="AD250" s="504" t="s">
        <v>1282</v>
      </c>
      <c r="AE250" s="285" t="s">
        <v>1282</v>
      </c>
      <c r="AF250" s="727"/>
      <c r="AH250" s="516">
        <f t="shared" si="52"/>
        <v>0</v>
      </c>
      <c r="AI250" s="351">
        <f t="shared" si="53"/>
        <v>0</v>
      </c>
      <c r="AJ250" s="553">
        <f t="shared" si="54"/>
        <v>0</v>
      </c>
      <c r="AK250" s="509">
        <f t="shared" si="55"/>
        <v>0</v>
      </c>
      <c r="AL250" s="1140"/>
      <c r="AM250" s="449"/>
      <c r="AN250" s="646" t="s">
        <v>632</v>
      </c>
      <c r="AO250" s="391">
        <v>17</v>
      </c>
      <c r="AP250" s="391">
        <v>1</v>
      </c>
      <c r="AQ250" s="818">
        <v>3</v>
      </c>
      <c r="AR250" s="1152"/>
      <c r="AS250" s="148"/>
      <c r="AT250" s="580"/>
      <c r="AU250" s="580"/>
      <c r="AV250" s="580"/>
      <c r="AW250" s="581" t="s">
        <v>1450</v>
      </c>
      <c r="AX250" s="575" t="s">
        <v>1281</v>
      </c>
      <c r="AY250" s="390">
        <v>1</v>
      </c>
      <c r="AZ250" s="390">
        <v>0</v>
      </c>
      <c r="BA250" s="459"/>
      <c r="BB250" s="389"/>
      <c r="BC250" s="389"/>
      <c r="BD250" s="389"/>
      <c r="BE250" s="389"/>
      <c r="BF250" s="389"/>
      <c r="BG250" s="459"/>
      <c r="BH250" s="459"/>
      <c r="BI250" s="459"/>
      <c r="BJ250" s="471">
        <v>0</v>
      </c>
    </row>
    <row r="251" spans="1:62" s="177" customFormat="1" ht="25.5" hidden="1" x14ac:dyDescent="0.2">
      <c r="A251" s="477" t="s">
        <v>1005</v>
      </c>
      <c r="B251" s="478" t="s">
        <v>1230</v>
      </c>
      <c r="C251" s="479">
        <v>2019</v>
      </c>
      <c r="D251" s="75" t="s">
        <v>1265</v>
      </c>
      <c r="E251" s="480" t="s">
        <v>967</v>
      </c>
      <c r="F251" s="903" t="s">
        <v>967</v>
      </c>
      <c r="G251" s="240" t="s">
        <v>969</v>
      </c>
      <c r="H251" s="471">
        <v>0</v>
      </c>
      <c r="I251" s="481">
        <v>2</v>
      </c>
      <c r="J251" s="481">
        <v>0</v>
      </c>
      <c r="K251" s="831">
        <v>0</v>
      </c>
      <c r="L251" s="540">
        <v>0</v>
      </c>
      <c r="M251" s="799">
        <v>0</v>
      </c>
      <c r="N251" s="437">
        <v>0</v>
      </c>
      <c r="O251" s="543">
        <v>0</v>
      </c>
      <c r="P251" s="508">
        <v>0</v>
      </c>
      <c r="Q251" s="396">
        <v>0</v>
      </c>
      <c r="R251" s="482">
        <f t="shared" si="51"/>
        <v>0</v>
      </c>
      <c r="S251" s="841">
        <v>0</v>
      </c>
      <c r="T251" s="36">
        <v>0</v>
      </c>
      <c r="U251" s="483">
        <v>0</v>
      </c>
      <c r="V251" s="483"/>
      <c r="W251" s="483"/>
      <c r="X251" s="132">
        <v>0</v>
      </c>
      <c r="Y251" s="533">
        <v>0</v>
      </c>
      <c r="Z251" s="533">
        <v>0</v>
      </c>
      <c r="AA251" s="479" t="s">
        <v>1209</v>
      </c>
      <c r="AB251" s="479" t="s">
        <v>1300</v>
      </c>
      <c r="AC251" s="489" t="s">
        <v>845</v>
      </c>
      <c r="AD251" s="504" t="s">
        <v>1282</v>
      </c>
      <c r="AE251" s="285" t="s">
        <v>1282</v>
      </c>
      <c r="AF251" s="727"/>
      <c r="AH251" s="516">
        <f t="shared" si="52"/>
        <v>0</v>
      </c>
      <c r="AI251" s="351">
        <f t="shared" si="53"/>
        <v>0</v>
      </c>
      <c r="AJ251" s="553">
        <f t="shared" si="54"/>
        <v>0</v>
      </c>
      <c r="AK251" s="509">
        <f t="shared" si="55"/>
        <v>0</v>
      </c>
      <c r="AL251" s="1140"/>
      <c r="AM251" s="449"/>
      <c r="AN251" s="646" t="s">
        <v>632</v>
      </c>
      <c r="AO251" s="391">
        <v>17</v>
      </c>
      <c r="AP251" s="391">
        <v>1</v>
      </c>
      <c r="AQ251" s="818">
        <v>3</v>
      </c>
      <c r="AR251" s="1152"/>
      <c r="AS251" s="148"/>
      <c r="AT251" s="580"/>
      <c r="AU251" s="580"/>
      <c r="AV251" s="580"/>
      <c r="AW251" s="581" t="s">
        <v>1450</v>
      </c>
      <c r="AX251" s="575" t="s">
        <v>1281</v>
      </c>
      <c r="AY251" s="390">
        <v>1</v>
      </c>
      <c r="AZ251" s="390">
        <v>0</v>
      </c>
      <c r="BA251" s="459"/>
      <c r="BB251" s="389"/>
      <c r="BC251" s="389"/>
      <c r="BD251" s="389"/>
      <c r="BE251" s="389"/>
      <c r="BF251" s="389"/>
      <c r="BG251" s="459"/>
      <c r="BH251" s="459"/>
      <c r="BI251" s="459"/>
      <c r="BJ251" s="471">
        <v>0</v>
      </c>
    </row>
    <row r="252" spans="1:62" s="177" customFormat="1" ht="15" hidden="1" x14ac:dyDescent="0.2">
      <c r="A252" s="885"/>
      <c r="B252" s="886"/>
      <c r="C252" s="887"/>
      <c r="D252" s="588"/>
      <c r="E252" s="904"/>
      <c r="F252" s="888"/>
      <c r="G252" s="304"/>
      <c r="H252" s="889"/>
      <c r="I252" s="890"/>
      <c r="J252" s="890"/>
      <c r="K252" s="891"/>
      <c r="L252" s="1205"/>
      <c r="M252" s="1207"/>
      <c r="N252" s="1207"/>
      <c r="O252" s="615"/>
      <c r="P252" s="894"/>
      <c r="Q252" s="895"/>
      <c r="R252" s="896"/>
      <c r="S252" s="892"/>
      <c r="T252" s="615"/>
      <c r="U252" s="893"/>
      <c r="V252" s="893"/>
      <c r="W252" s="893"/>
      <c r="X252" s="897"/>
      <c r="Y252" s="898"/>
      <c r="Z252" s="898"/>
      <c r="AA252" s="899"/>
      <c r="AB252" s="900"/>
      <c r="AC252" s="583"/>
      <c r="AD252" s="583"/>
      <c r="AE252" s="583"/>
      <c r="AF252" s="901"/>
      <c r="AH252" s="516"/>
      <c r="AI252" s="351"/>
      <c r="AJ252" s="553"/>
      <c r="AK252" s="509"/>
      <c r="AL252" s="1140"/>
      <c r="AM252" s="449"/>
      <c r="AN252" s="646"/>
      <c r="AO252" s="391"/>
      <c r="AP252" s="391"/>
      <c r="AQ252" s="818"/>
      <c r="AR252" s="1152"/>
      <c r="AS252" s="148"/>
      <c r="AT252" s="390"/>
      <c r="AU252" s="390"/>
      <c r="AV252" s="390"/>
      <c r="AW252" s="755"/>
      <c r="AX252" s="390"/>
      <c r="AY252" s="390"/>
      <c r="AZ252" s="390"/>
      <c r="BA252" s="764"/>
      <c r="BB252" s="389"/>
      <c r="BC252" s="389"/>
      <c r="BD252" s="389"/>
      <c r="BE252" s="389"/>
      <c r="BF252" s="389"/>
      <c r="BG252" s="764"/>
      <c r="BH252" s="764"/>
      <c r="BI252" s="764"/>
      <c r="BJ252" s="891"/>
    </row>
    <row r="253" spans="1:62" s="206" customFormat="1" hidden="1" thickBot="1" x14ac:dyDescent="0.25">
      <c r="A253" s="89"/>
      <c r="B253" s="628"/>
      <c r="C253" s="588"/>
      <c r="D253" s="588"/>
      <c r="E253" s="905"/>
      <c r="F253" s="589"/>
      <c r="G253" s="629"/>
      <c r="H253" s="590"/>
      <c r="I253" s="590"/>
      <c r="J253" s="590"/>
      <c r="K253" s="591"/>
      <c r="L253" s="1206"/>
      <c r="M253" s="1208"/>
      <c r="N253" s="1208"/>
      <c r="O253" s="530"/>
      <c r="P253" s="280"/>
      <c r="Q253" s="11"/>
      <c r="R253" s="280"/>
      <c r="S253" s="280"/>
      <c r="T253" s="530"/>
      <c r="U253" s="530"/>
      <c r="V253" s="530"/>
      <c r="W253" s="530"/>
      <c r="X253" s="280"/>
      <c r="Y253" s="530"/>
      <c r="Z253" s="530"/>
      <c r="AA253" s="594"/>
      <c r="AB253" s="496"/>
      <c r="AC253" s="595"/>
      <c r="AD253" s="584"/>
      <c r="AE253" s="584"/>
      <c r="AF253" s="584"/>
      <c r="AH253" s="633">
        <f t="shared" ref="AH253:AH261" si="56">H253-J253-R253-S253-T253-U253-X253-Y253-Z253</f>
        <v>0</v>
      </c>
      <c r="AI253" s="605"/>
      <c r="AJ253" s="120"/>
      <c r="AK253" s="634"/>
      <c r="AL253" s="120"/>
      <c r="AM253" s="496"/>
      <c r="AN253" s="279" t="s">
        <v>632</v>
      </c>
      <c r="AO253" s="279">
        <v>17</v>
      </c>
      <c r="AP253" s="279"/>
      <c r="AQ253" s="279">
        <v>1</v>
      </c>
      <c r="AR253" s="1175"/>
      <c r="AS253" s="148"/>
      <c r="AY253" s="66"/>
      <c r="AZ253" s="66"/>
      <c r="BB253" s="1134"/>
      <c r="BC253" s="1134"/>
      <c r="BD253" s="1134"/>
      <c r="BE253" s="1134"/>
      <c r="BF253" s="1134"/>
    </row>
    <row r="254" spans="1:62" ht="16.5" hidden="1" thickBot="1" x14ac:dyDescent="0.3">
      <c r="A254" s="122" t="s">
        <v>1209</v>
      </c>
      <c r="B254" s="122" t="s">
        <v>1209</v>
      </c>
      <c r="C254" s="140" t="s">
        <v>1209</v>
      </c>
      <c r="D254" s="140" t="s">
        <v>1209</v>
      </c>
      <c r="E254" s="210" t="s">
        <v>1209</v>
      </c>
      <c r="F254" s="211" t="s">
        <v>1209</v>
      </c>
      <c r="G254" s="218" t="s">
        <v>1458</v>
      </c>
      <c r="H254" s="113">
        <f>SUM(H202:H253)</f>
        <v>109779.55647999996</v>
      </c>
      <c r="I254" s="113"/>
      <c r="J254" s="113">
        <f t="shared" ref="J254:Z254" si="57">SUM(J202:J253)</f>
        <v>109779.55647999996</v>
      </c>
      <c r="K254" s="113">
        <f t="shared" si="57"/>
        <v>0</v>
      </c>
      <c r="L254" s="113">
        <f t="shared" si="57"/>
        <v>0</v>
      </c>
      <c r="M254" s="113">
        <f t="shared" si="57"/>
        <v>0</v>
      </c>
      <c r="N254" s="113">
        <f t="shared" si="57"/>
        <v>0</v>
      </c>
      <c r="O254" s="113">
        <f t="shared" si="57"/>
        <v>0</v>
      </c>
      <c r="P254" s="113">
        <f t="shared" si="57"/>
        <v>3810.3858700000001</v>
      </c>
      <c r="Q254" s="113">
        <f t="shared" si="57"/>
        <v>-3810.3858700000001</v>
      </c>
      <c r="R254" s="113">
        <f t="shared" si="57"/>
        <v>0</v>
      </c>
      <c r="S254" s="113">
        <f t="shared" si="57"/>
        <v>0</v>
      </c>
      <c r="T254" s="113">
        <f t="shared" si="57"/>
        <v>0</v>
      </c>
      <c r="U254" s="113">
        <f t="shared" si="57"/>
        <v>0</v>
      </c>
      <c r="V254" s="113"/>
      <c r="W254" s="113"/>
      <c r="X254" s="113">
        <f t="shared" si="57"/>
        <v>0</v>
      </c>
      <c r="Y254" s="113">
        <f t="shared" si="57"/>
        <v>0</v>
      </c>
      <c r="Z254" s="113">
        <f t="shared" si="57"/>
        <v>0</v>
      </c>
      <c r="AA254" s="114" t="s">
        <v>1209</v>
      </c>
      <c r="AB254" s="114" t="s">
        <v>1209</v>
      </c>
      <c r="AC254" s="122" t="s">
        <v>1209</v>
      </c>
      <c r="AD254" s="114" t="s">
        <v>1209</v>
      </c>
      <c r="AE254" s="122" t="s">
        <v>1209</v>
      </c>
      <c r="AF254" s="114" t="s">
        <v>1209</v>
      </c>
      <c r="AH254" s="633">
        <f t="shared" si="56"/>
        <v>0</v>
      </c>
      <c r="AI254" s="635">
        <f>R254-P254-Q254</f>
        <v>0</v>
      </c>
      <c r="AJ254" s="636">
        <f t="shared" ref="AJ254:AJ261" si="58">K254-R254</f>
        <v>0</v>
      </c>
      <c r="AK254" s="637">
        <f>R254+S254-L254-M254-N254-O254</f>
        <v>0</v>
      </c>
      <c r="AL254" s="120"/>
      <c r="AM254" s="338">
        <v>1</v>
      </c>
      <c r="AN254" s="108" t="s">
        <v>632</v>
      </c>
      <c r="AO254" s="108">
        <v>17</v>
      </c>
      <c r="AP254" s="108"/>
      <c r="AQ254" s="108"/>
      <c r="AR254" s="1175"/>
      <c r="AS254" s="148"/>
      <c r="AY254" s="66"/>
      <c r="AZ254" s="66"/>
      <c r="BB254" s="1134"/>
      <c r="BC254" s="1134"/>
      <c r="BD254" s="1134"/>
      <c r="BE254" s="1134"/>
      <c r="BF254" s="1134"/>
    </row>
    <row r="255" spans="1:62" ht="15" hidden="1" x14ac:dyDescent="0.25">
      <c r="A255" s="139"/>
      <c r="B255" s="104"/>
      <c r="C255" s="59"/>
      <c r="D255" s="59"/>
      <c r="E255" s="100"/>
      <c r="F255" s="100"/>
      <c r="G255" s="231"/>
      <c r="H255" s="54"/>
      <c r="I255" s="185"/>
      <c r="J255" s="185"/>
      <c r="K255" s="322"/>
      <c r="L255" s="17"/>
      <c r="M255" s="56"/>
      <c r="N255" s="18"/>
      <c r="O255" s="117"/>
      <c r="P255" s="18"/>
      <c r="Q255" s="1164"/>
      <c r="R255" s="18"/>
      <c r="S255" s="281"/>
      <c r="T255" s="117"/>
      <c r="U255" s="56"/>
      <c r="V255" s="56"/>
      <c r="W255" s="56"/>
      <c r="X255" s="18"/>
      <c r="Y255" s="17"/>
      <c r="Z255" s="17"/>
      <c r="AA255" s="168"/>
      <c r="AB255" s="8"/>
      <c r="AC255" s="128"/>
      <c r="AD255" s="347"/>
      <c r="AE255" s="347"/>
      <c r="AF255" s="347"/>
      <c r="AH255" s="633">
        <f t="shared" si="56"/>
        <v>0</v>
      </c>
      <c r="AI255" s="605">
        <f>R255-P255-Q255</f>
        <v>0</v>
      </c>
      <c r="AJ255" s="120">
        <f t="shared" si="58"/>
        <v>0</v>
      </c>
      <c r="AK255" s="634">
        <f t="shared" ref="AK255:AK261" si="59">R255+S255-L255-M255-N255-O255</f>
        <v>0</v>
      </c>
      <c r="AL255" s="120"/>
      <c r="AM255" s="638"/>
      <c r="AN255" s="522" t="s">
        <v>814</v>
      </c>
      <c r="AO255" s="522">
        <v>25</v>
      </c>
      <c r="AP255" s="522"/>
      <c r="AQ255" s="639"/>
      <c r="AR255" s="1175"/>
      <c r="AS255" s="148"/>
      <c r="AY255" s="66"/>
      <c r="AZ255" s="66"/>
      <c r="BB255" s="1134"/>
      <c r="BC255" s="1134"/>
      <c r="BD255" s="1134"/>
      <c r="BE255" s="1134"/>
      <c r="BF255" s="1134"/>
    </row>
    <row r="256" spans="1:62" ht="15" hidden="1" x14ac:dyDescent="0.25">
      <c r="A256" s="188"/>
      <c r="B256" s="324"/>
      <c r="C256" s="244"/>
      <c r="D256" s="244"/>
      <c r="E256" s="869"/>
      <c r="F256" s="869"/>
      <c r="G256" s="879"/>
      <c r="H256" s="185"/>
      <c r="I256" s="185"/>
      <c r="J256" s="185"/>
      <c r="K256" s="322"/>
      <c r="L256" s="874"/>
      <c r="M256" s="875"/>
      <c r="N256" s="531"/>
      <c r="O256" s="876"/>
      <c r="P256" s="531"/>
      <c r="Q256" s="874"/>
      <c r="R256" s="531"/>
      <c r="S256" s="874"/>
      <c r="T256" s="876"/>
      <c r="U256" s="875"/>
      <c r="V256" s="875"/>
      <c r="W256" s="875"/>
      <c r="X256" s="531"/>
      <c r="Y256" s="874"/>
      <c r="Z256" s="874"/>
      <c r="AA256" s="877"/>
      <c r="AB256" s="14"/>
      <c r="AC256" s="880"/>
      <c r="AD256" s="347"/>
      <c r="AE256" s="347"/>
      <c r="AF256" s="347"/>
      <c r="AH256" s="633">
        <f t="shared" si="56"/>
        <v>0</v>
      </c>
      <c r="AI256" s="605"/>
      <c r="AJ256" s="120"/>
      <c r="AK256" s="634"/>
      <c r="AL256" s="120"/>
      <c r="AM256" s="338"/>
      <c r="AN256" s="248"/>
      <c r="AO256" s="248"/>
      <c r="AP256" s="248"/>
      <c r="AQ256" s="339"/>
      <c r="AR256" s="1175"/>
      <c r="AS256" s="148"/>
      <c r="AY256" s="66"/>
      <c r="AZ256" s="66"/>
      <c r="BB256" s="1134"/>
      <c r="BC256" s="1134"/>
      <c r="BD256" s="1134"/>
      <c r="BE256" s="1134"/>
      <c r="BF256" s="1134"/>
    </row>
    <row r="257" spans="1:61" ht="16.5" hidden="1" thickBot="1" x14ac:dyDescent="0.3">
      <c r="A257" s="122" t="s">
        <v>1209</v>
      </c>
      <c r="B257" s="597" t="s">
        <v>1209</v>
      </c>
      <c r="C257" s="602" t="s">
        <v>1209</v>
      </c>
      <c r="D257" s="140" t="s">
        <v>1209</v>
      </c>
      <c r="E257" s="210" t="s">
        <v>1209</v>
      </c>
      <c r="F257" s="210" t="s">
        <v>1209</v>
      </c>
      <c r="G257" s="218" t="s">
        <v>1457</v>
      </c>
      <c r="H257" s="113">
        <f>SUM(H255:H256)</f>
        <v>0</v>
      </c>
      <c r="I257" s="113"/>
      <c r="J257" s="113">
        <f t="shared" ref="J257:Z257" si="60">SUM(J255:J256)</f>
        <v>0</v>
      </c>
      <c r="K257" s="113">
        <f t="shared" si="60"/>
        <v>0</v>
      </c>
      <c r="L257" s="113">
        <f t="shared" si="60"/>
        <v>0</v>
      </c>
      <c r="M257" s="113">
        <f t="shared" si="60"/>
        <v>0</v>
      </c>
      <c r="N257" s="113">
        <f t="shared" si="60"/>
        <v>0</v>
      </c>
      <c r="O257" s="113">
        <f t="shared" si="60"/>
        <v>0</v>
      </c>
      <c r="P257" s="113">
        <f t="shared" si="60"/>
        <v>0</v>
      </c>
      <c r="Q257" s="113">
        <f t="shared" si="60"/>
        <v>0</v>
      </c>
      <c r="R257" s="113">
        <f t="shared" si="60"/>
        <v>0</v>
      </c>
      <c r="S257" s="113">
        <f t="shared" si="60"/>
        <v>0</v>
      </c>
      <c r="T257" s="113">
        <f t="shared" si="60"/>
        <v>0</v>
      </c>
      <c r="U257" s="113">
        <f t="shared" si="60"/>
        <v>0</v>
      </c>
      <c r="V257" s="113"/>
      <c r="W257" s="113"/>
      <c r="X257" s="113">
        <f t="shared" si="60"/>
        <v>0</v>
      </c>
      <c r="Y257" s="113">
        <f t="shared" si="60"/>
        <v>0</v>
      </c>
      <c r="Z257" s="113">
        <f t="shared" si="60"/>
        <v>0</v>
      </c>
      <c r="AA257" s="121" t="s">
        <v>1209</v>
      </c>
      <c r="AB257" s="121" t="s">
        <v>1209</v>
      </c>
      <c r="AC257" s="127" t="s">
        <v>1209</v>
      </c>
      <c r="AD257" s="121" t="s">
        <v>1209</v>
      </c>
      <c r="AE257" s="127" t="s">
        <v>1209</v>
      </c>
      <c r="AF257" s="121" t="s">
        <v>1209</v>
      </c>
      <c r="AH257" s="633">
        <f t="shared" si="56"/>
        <v>0</v>
      </c>
      <c r="AI257" s="605">
        <f>R257-P257-Q257</f>
        <v>0</v>
      </c>
      <c r="AJ257" s="120">
        <f t="shared" si="58"/>
        <v>0</v>
      </c>
      <c r="AK257" s="634">
        <f t="shared" si="59"/>
        <v>0</v>
      </c>
      <c r="AL257" s="120"/>
      <c r="AM257" s="640">
        <v>1</v>
      </c>
      <c r="AN257" s="248" t="s">
        <v>814</v>
      </c>
      <c r="AO257" s="248">
        <v>25</v>
      </c>
      <c r="AP257" s="248"/>
      <c r="AQ257" s="339"/>
      <c r="AR257" s="1175"/>
      <c r="AS257" s="148"/>
      <c r="AY257" s="66"/>
      <c r="AZ257" s="66"/>
      <c r="BB257" s="1134"/>
      <c r="BC257" s="1134"/>
      <c r="BD257" s="1134"/>
      <c r="BE257" s="1134"/>
      <c r="BF257" s="1134"/>
    </row>
    <row r="258" spans="1:61" ht="16.5" hidden="1" thickBot="1" x14ac:dyDescent="0.3">
      <c r="A258" s="315" t="s">
        <v>1209</v>
      </c>
      <c r="B258" s="597" t="s">
        <v>1209</v>
      </c>
      <c r="C258" s="210" t="s">
        <v>1209</v>
      </c>
      <c r="D258" s="121" t="s">
        <v>1209</v>
      </c>
      <c r="E258" s="121" t="s">
        <v>1209</v>
      </c>
      <c r="F258" s="316" t="s">
        <v>1209</v>
      </c>
      <c r="G258" s="317" t="s">
        <v>815</v>
      </c>
      <c r="H258" s="113">
        <f t="shared" ref="H258:U258" si="61">SUM(H7+H10+H14+H32+H59+H76+H192+H195+H198+H201+H254+H257)</f>
        <v>2337836.4878099998</v>
      </c>
      <c r="I258" s="113"/>
      <c r="J258" s="113">
        <f t="shared" si="61"/>
        <v>434366.88046999997</v>
      </c>
      <c r="K258" s="113">
        <f t="shared" si="61"/>
        <v>0</v>
      </c>
      <c r="L258" s="113">
        <f t="shared" si="61"/>
        <v>0</v>
      </c>
      <c r="M258" s="113">
        <f t="shared" si="61"/>
        <v>-7.849999999962165E-3</v>
      </c>
      <c r="N258" s="113">
        <f t="shared" si="61"/>
        <v>0</v>
      </c>
      <c r="O258" s="113">
        <f t="shared" si="61"/>
        <v>0</v>
      </c>
      <c r="P258" s="113">
        <f t="shared" si="61"/>
        <v>9832.2743300000002</v>
      </c>
      <c r="Q258" s="113">
        <f t="shared" si="61"/>
        <v>-9832.2851899999987</v>
      </c>
      <c r="R258" s="113">
        <f t="shared" si="61"/>
        <v>-1.0860000000274539E-2</v>
      </c>
      <c r="S258" s="113">
        <f t="shared" si="61"/>
        <v>0</v>
      </c>
      <c r="T258" s="113">
        <f t="shared" si="61"/>
        <v>4933</v>
      </c>
      <c r="U258" s="113">
        <f t="shared" si="61"/>
        <v>261108.27420000004</v>
      </c>
      <c r="V258" s="113"/>
      <c r="W258" s="113"/>
      <c r="X258" s="113">
        <f>SUM(X7+X10+X14+X32+X59+X76+X192+X195+X198+X201+X254+X257)</f>
        <v>4000</v>
      </c>
      <c r="Y258" s="113">
        <f>SUM(Y7+Y10+Y14+Y32+Y59+Y76+Y192+Y195+Y198+Y201+Y254+Y257)</f>
        <v>0</v>
      </c>
      <c r="Z258" s="113">
        <f>SUM(Z7+Z10+Z14+Z32+Z59+Z76+Z192+Z195+Z198+Z201+Z254+Z257)</f>
        <v>1633428.3439999998</v>
      </c>
      <c r="AA258" s="121" t="s">
        <v>1209</v>
      </c>
      <c r="AB258" s="121" t="s">
        <v>1209</v>
      </c>
      <c r="AC258" s="127" t="s">
        <v>1209</v>
      </c>
      <c r="AD258" s="121" t="s">
        <v>1209</v>
      </c>
      <c r="AE258" s="127" t="s">
        <v>1209</v>
      </c>
      <c r="AF258" s="121" t="s">
        <v>1209</v>
      </c>
      <c r="AH258" s="633">
        <f t="shared" si="56"/>
        <v>0</v>
      </c>
      <c r="AI258" s="641">
        <f>R258-P258-Q258</f>
        <v>0</v>
      </c>
      <c r="AJ258" s="642">
        <f t="shared" si="58"/>
        <v>1.0860000000274539E-2</v>
      </c>
      <c r="AK258" s="643">
        <f t="shared" si="59"/>
        <v>-3.0100000003123739E-3</v>
      </c>
      <c r="AL258" s="642"/>
      <c r="AM258" s="445">
        <v>1</v>
      </c>
      <c r="AN258" s="447"/>
      <c r="AO258" s="447"/>
      <c r="AP258" s="447"/>
      <c r="AQ258" s="645"/>
      <c r="AR258" s="1175"/>
      <c r="AS258" s="148"/>
      <c r="AY258" s="66"/>
      <c r="AZ258" s="66"/>
      <c r="BB258" s="1134"/>
      <c r="BC258" s="1134"/>
      <c r="BD258" s="1134"/>
      <c r="BE258" s="1134"/>
      <c r="BF258" s="1134"/>
    </row>
    <row r="259" spans="1:61" ht="16.5" hidden="1" thickBot="1" x14ac:dyDescent="0.3">
      <c r="A259" s="4531" t="s">
        <v>816</v>
      </c>
      <c r="B259" s="4532"/>
      <c r="C259" s="4532"/>
      <c r="D259" s="4532"/>
      <c r="E259" s="4533"/>
      <c r="F259" s="801"/>
      <c r="G259" s="802"/>
      <c r="H259" s="803">
        <v>0</v>
      </c>
      <c r="I259" s="803"/>
      <c r="J259" s="803">
        <v>0</v>
      </c>
      <c r="K259" s="803">
        <v>0</v>
      </c>
      <c r="L259" s="804">
        <v>0</v>
      </c>
      <c r="M259" s="805">
        <v>0</v>
      </c>
      <c r="N259" s="806">
        <v>0</v>
      </c>
      <c r="O259" s="807">
        <v>0</v>
      </c>
      <c r="P259" s="808">
        <v>10000</v>
      </c>
      <c r="Q259" s="676">
        <v>-10000</v>
      </c>
      <c r="R259" s="809">
        <f>P259+Q259</f>
        <v>0</v>
      </c>
      <c r="S259" s="843">
        <v>0</v>
      </c>
      <c r="T259" s="810"/>
      <c r="U259" s="811">
        <v>0</v>
      </c>
      <c r="V259" s="811"/>
      <c r="W259" s="811"/>
      <c r="X259" s="810">
        <v>0</v>
      </c>
      <c r="Y259" s="811">
        <v>0</v>
      </c>
      <c r="Z259" s="811">
        <v>0</v>
      </c>
      <c r="AA259" s="812" t="s">
        <v>1687</v>
      </c>
      <c r="AB259" s="812" t="s">
        <v>1300</v>
      </c>
      <c r="AC259" s="813" t="s">
        <v>1209</v>
      </c>
      <c r="AD259" s="906"/>
      <c r="AE259" s="813"/>
      <c r="AF259" s="907"/>
      <c r="AH259" s="633">
        <f t="shared" si="56"/>
        <v>0</v>
      </c>
      <c r="AI259" s="442">
        <f>R259-P259-Q259</f>
        <v>0</v>
      </c>
      <c r="AJ259" s="554">
        <f t="shared" si="58"/>
        <v>0</v>
      </c>
      <c r="AK259" s="510">
        <f>R259+S259-L259-M259-N259-O259</f>
        <v>0</v>
      </c>
      <c r="AL259" s="1140"/>
      <c r="AM259" s="338"/>
      <c r="AN259" s="248"/>
      <c r="AO259" s="248"/>
      <c r="AP259" s="443"/>
      <c r="AQ259" s="819"/>
      <c r="AR259" s="1135"/>
      <c r="AS259" s="521"/>
      <c r="AT259" s="518"/>
      <c r="AU259" s="518"/>
      <c r="AV259" s="518"/>
      <c r="AW259" s="62" t="s">
        <v>1484</v>
      </c>
      <c r="AX259" s="62" t="s">
        <v>1209</v>
      </c>
      <c r="AY259" s="518">
        <v>0</v>
      </c>
      <c r="AZ259" s="518">
        <v>0</v>
      </c>
      <c r="BA259" s="460"/>
      <c r="BB259" s="1134"/>
      <c r="BC259" s="1134"/>
      <c r="BD259" s="1134"/>
      <c r="BE259" s="1134"/>
      <c r="BF259" s="1134"/>
      <c r="BG259" s="763"/>
      <c r="BH259" s="763"/>
      <c r="BI259" s="763"/>
    </row>
    <row r="260" spans="1:61" ht="16.5" hidden="1" thickBot="1" x14ac:dyDescent="0.3">
      <c r="A260" s="860"/>
      <c r="B260" s="861"/>
      <c r="C260" s="861"/>
      <c r="D260" s="861"/>
      <c r="E260" s="862"/>
      <c r="F260" s="881"/>
      <c r="G260" s="802"/>
      <c r="H260" s="803"/>
      <c r="I260" s="803"/>
      <c r="J260" s="803"/>
      <c r="K260" s="803"/>
      <c r="L260" s="843"/>
      <c r="M260" s="882"/>
      <c r="N260" s="882"/>
      <c r="O260" s="811"/>
      <c r="P260" s="808"/>
      <c r="Q260" s="883"/>
      <c r="R260" s="809"/>
      <c r="S260" s="843"/>
      <c r="T260" s="810"/>
      <c r="U260" s="811"/>
      <c r="V260" s="811"/>
      <c r="W260" s="811"/>
      <c r="X260" s="810"/>
      <c r="Y260" s="811"/>
      <c r="Z260" s="811"/>
      <c r="AA260" s="756"/>
      <c r="AB260" s="812"/>
      <c r="AC260" s="813"/>
      <c r="AD260" s="584"/>
      <c r="AE260" s="595"/>
      <c r="AF260" s="732"/>
      <c r="AH260" s="633">
        <f t="shared" si="56"/>
        <v>0</v>
      </c>
      <c r="AI260" s="442"/>
      <c r="AJ260" s="554"/>
      <c r="AK260" s="510"/>
      <c r="AL260" s="1140"/>
      <c r="AM260" s="338"/>
      <c r="AN260" s="248"/>
      <c r="AO260" s="248"/>
      <c r="AP260" s="443"/>
      <c r="AQ260" s="819"/>
      <c r="AR260" s="1135"/>
      <c r="AS260" s="148"/>
      <c r="AT260" s="390"/>
      <c r="AU260" s="390"/>
      <c r="AV260" s="390"/>
      <c r="AW260" s="95"/>
      <c r="AX260" s="95"/>
      <c r="AY260" s="390"/>
      <c r="AZ260" s="390"/>
      <c r="BA260" s="763"/>
      <c r="BB260" s="1134"/>
      <c r="BC260" s="1134"/>
      <c r="BD260" s="1134"/>
      <c r="BE260" s="1134"/>
      <c r="BF260" s="1134"/>
      <c r="BG260" s="763"/>
      <c r="BH260" s="763"/>
      <c r="BI260" s="763"/>
    </row>
    <row r="261" spans="1:61" s="177" customFormat="1" ht="16.5" hidden="1" thickBot="1" x14ac:dyDescent="0.25">
      <c r="A261" s="603" t="s">
        <v>817</v>
      </c>
      <c r="B261" s="604"/>
      <c r="C261" s="305"/>
      <c r="D261" s="121"/>
      <c r="E261" s="121"/>
      <c r="F261" s="316"/>
      <c r="G261" s="317"/>
      <c r="H261" s="113">
        <f t="shared" ref="H261:U261" si="62">SUM(H258:H260)</f>
        <v>2337836.4878099998</v>
      </c>
      <c r="I261" s="113"/>
      <c r="J261" s="113">
        <f t="shared" si="62"/>
        <v>434366.88046999997</v>
      </c>
      <c r="K261" s="113">
        <f t="shared" si="62"/>
        <v>0</v>
      </c>
      <c r="L261" s="113">
        <f t="shared" si="62"/>
        <v>0</v>
      </c>
      <c r="M261" s="113">
        <f t="shared" si="62"/>
        <v>-7.849999999962165E-3</v>
      </c>
      <c r="N261" s="113">
        <f t="shared" si="62"/>
        <v>0</v>
      </c>
      <c r="O261" s="113">
        <f t="shared" si="62"/>
        <v>0</v>
      </c>
      <c r="P261" s="113">
        <f t="shared" si="62"/>
        <v>19832.27433</v>
      </c>
      <c r="Q261" s="113">
        <f t="shared" si="62"/>
        <v>-19832.285189999999</v>
      </c>
      <c r="R261" s="113">
        <f t="shared" si="62"/>
        <v>-1.0860000000274539E-2</v>
      </c>
      <c r="S261" s="113">
        <f t="shared" si="62"/>
        <v>0</v>
      </c>
      <c r="T261" s="113">
        <f t="shared" si="62"/>
        <v>4933</v>
      </c>
      <c r="U261" s="113">
        <f t="shared" si="62"/>
        <v>261108.27420000004</v>
      </c>
      <c r="V261" s="113"/>
      <c r="W261" s="113"/>
      <c r="X261" s="113">
        <f>SUM(X258:X260)</f>
        <v>4000</v>
      </c>
      <c r="Y261" s="113">
        <f>SUM(Y258:Y260)</f>
        <v>0</v>
      </c>
      <c r="Z261" s="113">
        <f>SUM(Z258:Z260)</f>
        <v>1633428.3439999998</v>
      </c>
      <c r="AA261" s="165" t="s">
        <v>1209</v>
      </c>
      <c r="AB261" s="114" t="s">
        <v>1209</v>
      </c>
      <c r="AC261" s="122" t="s">
        <v>1209</v>
      </c>
      <c r="AD261" s="114" t="s">
        <v>1209</v>
      </c>
      <c r="AE261" s="122" t="s">
        <v>1209</v>
      </c>
      <c r="AF261" s="114" t="s">
        <v>1209</v>
      </c>
      <c r="AH261" s="633">
        <f t="shared" si="56"/>
        <v>0</v>
      </c>
      <c r="AI261" s="641">
        <f>R261-P261-Q261</f>
        <v>0</v>
      </c>
      <c r="AJ261" s="642">
        <f t="shared" si="58"/>
        <v>1.0860000000274539E-2</v>
      </c>
      <c r="AK261" s="643">
        <f t="shared" si="59"/>
        <v>-3.0100000003123739E-3</v>
      </c>
      <c r="AL261" s="642"/>
      <c r="AM261" s="441">
        <v>1</v>
      </c>
      <c r="AN261" s="444"/>
      <c r="AO261" s="444"/>
      <c r="AP261" s="444"/>
      <c r="AQ261" s="644"/>
      <c r="AR261" s="1181"/>
      <c r="AS261" s="148"/>
      <c r="AY261" s="66"/>
      <c r="AZ261" s="66"/>
      <c r="BB261" s="1134"/>
      <c r="BC261" s="1134"/>
      <c r="BD261" s="1134"/>
      <c r="BE261" s="1134"/>
      <c r="BF261" s="1134"/>
    </row>
    <row r="262" spans="1:61" ht="16.5" hidden="1" thickBot="1" x14ac:dyDescent="0.3">
      <c r="A262" s="214"/>
      <c r="B262" s="103"/>
      <c r="C262" s="67"/>
      <c r="D262" s="67"/>
      <c r="E262" s="67"/>
      <c r="F262" s="67"/>
      <c r="G262" s="68"/>
      <c r="H262" s="109"/>
      <c r="I262" s="109"/>
      <c r="J262" s="110"/>
      <c r="K262" s="110"/>
      <c r="L262" s="110"/>
      <c r="M262" s="110"/>
      <c r="N262" s="110"/>
      <c r="O262" s="110"/>
      <c r="Q262" s="64"/>
      <c r="R262" s="4511">
        <f>R261+S261</f>
        <v>-1.0860000000274539E-2</v>
      </c>
      <c r="S262" s="4512"/>
      <c r="T262" s="109"/>
      <c r="U262" s="109"/>
      <c r="V262" s="109"/>
      <c r="W262" s="109"/>
      <c r="X262" s="109"/>
      <c r="Y262" s="109"/>
      <c r="Z262" s="109"/>
      <c r="AA262" s="65"/>
      <c r="AB262" s="65"/>
      <c r="AC262" s="129"/>
      <c r="AD262" s="129"/>
      <c r="AE262" s="129"/>
      <c r="AF262" s="129"/>
      <c r="AH262" s="129"/>
      <c r="AI262" s="129"/>
      <c r="AJ262" s="129"/>
      <c r="AK262" s="129"/>
      <c r="AL262" s="129"/>
      <c r="AM262" s="129"/>
      <c r="AN262" s="129"/>
      <c r="AO262" s="129"/>
      <c r="AP262" s="129"/>
      <c r="AQ262" s="129"/>
      <c r="AR262" s="129"/>
      <c r="AS262" s="129"/>
      <c r="BB262" s="129"/>
      <c r="BC262" s="129"/>
      <c r="BD262" s="129"/>
      <c r="BE262" s="129"/>
      <c r="BF262" s="129"/>
    </row>
    <row r="263" spans="1:61" ht="15" x14ac:dyDescent="0.25">
      <c r="A263" s="214"/>
      <c r="B263" s="103"/>
      <c r="C263" s="67"/>
      <c r="D263" s="67"/>
      <c r="E263" s="67"/>
      <c r="F263" s="67"/>
      <c r="G263" s="68"/>
      <c r="H263" s="109"/>
      <c r="I263" s="109"/>
      <c r="J263" s="110"/>
      <c r="K263" s="110"/>
      <c r="L263" s="110"/>
      <c r="M263" s="110"/>
      <c r="N263" s="110"/>
      <c r="O263" s="110"/>
      <c r="Q263" s="110"/>
      <c r="R263" s="109"/>
      <c r="S263" s="109"/>
      <c r="T263" s="109"/>
      <c r="U263" s="109"/>
      <c r="V263" s="109"/>
      <c r="W263" s="109"/>
      <c r="X263" s="109"/>
      <c r="Y263" s="207"/>
      <c r="Z263" s="207"/>
      <c r="AA263" s="65"/>
      <c r="AB263" s="65"/>
      <c r="AC263" s="129"/>
      <c r="AD263" s="129"/>
      <c r="AE263" s="129"/>
      <c r="AF263" s="129"/>
      <c r="AH263" s="111"/>
      <c r="AI263" s="111"/>
      <c r="AJ263" s="111"/>
      <c r="AK263" s="111"/>
      <c r="AL263" s="111"/>
      <c r="AM263" s="66"/>
      <c r="AN263" s="112"/>
      <c r="AO263" s="112"/>
      <c r="AP263" s="112"/>
      <c r="AQ263" s="112"/>
      <c r="AS263" s="112"/>
      <c r="BB263" s="111"/>
      <c r="BC263" s="111"/>
      <c r="BD263" s="111"/>
      <c r="BE263" s="111"/>
      <c r="BF263" s="111"/>
    </row>
    <row r="264" spans="1:61" ht="15" x14ac:dyDescent="0.25">
      <c r="A264" s="214"/>
      <c r="B264" s="103"/>
      <c r="C264" s="67"/>
      <c r="D264" s="67"/>
      <c r="E264" s="67"/>
      <c r="F264" s="67"/>
      <c r="G264" s="232"/>
      <c r="H264" s="4510"/>
      <c r="I264" s="4510"/>
      <c r="J264" s="4510"/>
      <c r="K264" s="247"/>
      <c r="L264" s="110"/>
      <c r="M264" s="110"/>
      <c r="N264" s="63"/>
      <c r="O264" s="110"/>
      <c r="Q264" s="110"/>
      <c r="R264" s="109"/>
      <c r="S264" s="109"/>
      <c r="T264" s="109"/>
      <c r="U264" s="109"/>
      <c r="V264" s="109"/>
      <c r="W264" s="109"/>
      <c r="X264" s="109"/>
      <c r="Y264" s="207"/>
      <c r="Z264" s="207"/>
      <c r="AA264" s="65"/>
      <c r="AB264" s="65"/>
      <c r="AC264" s="129"/>
      <c r="AD264" s="129"/>
      <c r="AE264" s="129"/>
      <c r="AF264" s="129"/>
      <c r="AH264" s="111"/>
      <c r="AI264" s="111"/>
      <c r="AJ264" s="111"/>
      <c r="AK264" s="111"/>
      <c r="AL264" s="111"/>
      <c r="AM264" s="66"/>
      <c r="AN264" s="112"/>
      <c r="AO264" s="112"/>
      <c r="AP264" s="112"/>
      <c r="AQ264" s="112"/>
      <c r="AS264" s="112"/>
      <c r="BB264" s="111"/>
      <c r="BC264" s="111"/>
      <c r="BD264" s="111"/>
      <c r="BE264" s="111"/>
      <c r="BF264" s="111"/>
    </row>
    <row r="265" spans="1:61" thickBot="1" x14ac:dyDescent="0.3">
      <c r="A265" s="214"/>
      <c r="B265" s="103"/>
      <c r="C265" s="67"/>
      <c r="D265" s="67"/>
      <c r="E265" s="67"/>
      <c r="F265" s="67"/>
      <c r="G265" s="68"/>
      <c r="P265" s="176"/>
      <c r="AA265" s="176"/>
      <c r="AB265" s="65"/>
      <c r="AC265" s="129"/>
      <c r="AD265" s="129"/>
      <c r="AE265" s="129"/>
      <c r="AF265" s="129"/>
      <c r="AH265" s="111"/>
      <c r="AI265" s="111"/>
      <c r="AJ265" s="111"/>
      <c r="AK265" s="111"/>
      <c r="AL265" s="111"/>
      <c r="AM265" s="66"/>
      <c r="AN265" s="112"/>
      <c r="AO265" s="112"/>
      <c r="AP265" s="112"/>
      <c r="AQ265" s="112"/>
      <c r="AS265" s="112"/>
      <c r="BB265" s="111"/>
      <c r="BC265" s="111"/>
      <c r="BD265" s="111"/>
      <c r="BE265" s="111"/>
      <c r="BF265" s="111"/>
    </row>
    <row r="266" spans="1:61" ht="18" x14ac:dyDescent="0.25">
      <c r="A266" s="4501" t="s">
        <v>818</v>
      </c>
      <c r="B266" s="4502"/>
      <c r="C266" s="4503"/>
      <c r="D266" s="4504"/>
      <c r="E266" s="67"/>
      <c r="F266" s="67"/>
      <c r="G266" s="68"/>
      <c r="H266" s="109"/>
      <c r="I266" s="109"/>
      <c r="J266" s="110"/>
      <c r="K266" s="110"/>
      <c r="L266" s="110" t="s">
        <v>819</v>
      </c>
      <c r="M266" s="110"/>
      <c r="N266" s="152"/>
      <c r="O266" s="110"/>
      <c r="Q266" s="110"/>
      <c r="R266" s="109"/>
      <c r="S266" s="109"/>
      <c r="T266" s="109"/>
      <c r="U266" s="109"/>
      <c r="V266" s="109"/>
      <c r="W266" s="109"/>
      <c r="X266" s="109"/>
      <c r="Y266" s="207"/>
      <c r="Z266" s="207"/>
      <c r="AA266" s="176"/>
      <c r="AB266" s="65" t="s">
        <v>819</v>
      </c>
      <c r="AC266" s="129"/>
      <c r="AD266" s="129"/>
      <c r="AE266" s="129"/>
      <c r="AF266" s="129"/>
      <c r="AH266" s="111"/>
      <c r="AI266" s="111"/>
      <c r="AJ266" s="111"/>
      <c r="AK266" s="111"/>
      <c r="AL266" s="111"/>
      <c r="AM266" s="66"/>
      <c r="AN266" s="112"/>
      <c r="AO266" s="112"/>
      <c r="AP266" s="112"/>
      <c r="AQ266" s="112"/>
      <c r="AS266" s="112"/>
      <c r="BB266" s="111"/>
      <c r="BC266" s="111"/>
      <c r="BD266" s="111"/>
      <c r="BE266" s="111"/>
      <c r="BF266" s="111"/>
    </row>
    <row r="267" spans="1:61" ht="15" customHeight="1" x14ac:dyDescent="0.25">
      <c r="A267" s="4505" t="s">
        <v>1206</v>
      </c>
      <c r="B267" s="4506"/>
      <c r="C267" s="4545" t="s">
        <v>820</v>
      </c>
      <c r="D267" s="4546"/>
      <c r="E267" s="67"/>
      <c r="F267" s="67"/>
      <c r="G267" s="68"/>
      <c r="H267" s="109"/>
      <c r="I267" s="109"/>
      <c r="J267" s="110"/>
      <c r="K267" s="110"/>
      <c r="L267" s="110"/>
      <c r="M267" s="110"/>
      <c r="N267" s="110"/>
      <c r="O267" s="110"/>
      <c r="Q267" s="110"/>
      <c r="R267" s="109"/>
      <c r="S267" s="109"/>
      <c r="T267" s="109"/>
      <c r="U267" s="109"/>
      <c r="V267" s="109"/>
      <c r="W267" s="109"/>
      <c r="X267" s="109"/>
      <c r="Y267" s="207"/>
      <c r="Z267" s="207"/>
      <c r="AA267" s="65"/>
      <c r="AB267" s="65"/>
      <c r="AC267" s="129"/>
      <c r="AD267" s="129"/>
      <c r="AE267" s="129"/>
      <c r="AF267" s="129"/>
      <c r="AH267" s="111"/>
      <c r="AI267" s="111"/>
      <c r="AJ267" s="111"/>
      <c r="AK267" s="111"/>
      <c r="AL267" s="111"/>
      <c r="AM267" s="66"/>
      <c r="AN267" s="112"/>
      <c r="AO267" s="112"/>
      <c r="AP267" s="112"/>
      <c r="AQ267" s="112"/>
      <c r="AS267" s="112"/>
      <c r="BB267" s="111"/>
      <c r="BC267" s="111"/>
      <c r="BD267" s="111"/>
      <c r="BE267" s="111"/>
      <c r="BF267" s="111"/>
    </row>
    <row r="268" spans="1:61" ht="15" customHeight="1" x14ac:dyDescent="0.25">
      <c r="A268" s="4534" t="s">
        <v>821</v>
      </c>
      <c r="B268" s="4535"/>
      <c r="C268" s="4506" t="s">
        <v>921</v>
      </c>
      <c r="D268" s="4536"/>
      <c r="E268" s="67"/>
      <c r="F268" s="67"/>
      <c r="G268" s="68"/>
      <c r="H268" s="109"/>
      <c r="I268" s="109"/>
      <c r="J268" s="110"/>
      <c r="K268" s="110"/>
      <c r="L268" s="110"/>
      <c r="M268" s="110"/>
      <c r="N268" s="110"/>
      <c r="O268" s="110"/>
      <c r="Q268" s="110"/>
      <c r="R268" s="109"/>
      <c r="S268" s="109"/>
      <c r="T268" s="109"/>
      <c r="U268" s="109"/>
      <c r="V268" s="109"/>
      <c r="W268" s="109"/>
      <c r="X268" s="109"/>
      <c r="Y268" s="207"/>
      <c r="Z268" s="207"/>
      <c r="AA268" s="65"/>
      <c r="AB268" s="65"/>
      <c r="AC268" s="129"/>
      <c r="AD268" s="129"/>
      <c r="AE268" s="129"/>
      <c r="AF268" s="129"/>
      <c r="AH268" s="111"/>
      <c r="AI268" s="111"/>
      <c r="AJ268" s="111"/>
      <c r="AK268" s="111"/>
      <c r="AL268" s="111"/>
      <c r="AM268" s="66"/>
      <c r="AN268" s="112"/>
      <c r="AO268" s="112"/>
      <c r="AP268" s="112"/>
      <c r="AQ268" s="112"/>
      <c r="AS268" s="112"/>
      <c r="BB268" s="111"/>
      <c r="BC268" s="111"/>
      <c r="BD268" s="111"/>
      <c r="BE268" s="111"/>
      <c r="BF268" s="111"/>
    </row>
    <row r="269" spans="1:61" ht="15" customHeight="1" x14ac:dyDescent="0.25">
      <c r="A269" s="4537" t="s">
        <v>822</v>
      </c>
      <c r="B269" s="4538"/>
      <c r="C269" s="4506" t="s">
        <v>823</v>
      </c>
      <c r="D269" s="4536"/>
      <c r="E269" s="67"/>
      <c r="F269" s="67"/>
      <c r="G269" s="68"/>
      <c r="H269" s="109"/>
      <c r="I269" s="109"/>
      <c r="J269" s="110"/>
      <c r="K269" s="110"/>
      <c r="L269" s="110"/>
      <c r="M269" s="110"/>
      <c r="N269" s="110"/>
      <c r="O269" s="110"/>
      <c r="Q269" s="110"/>
      <c r="R269" s="109"/>
      <c r="S269" s="109"/>
      <c r="T269" s="109"/>
      <c r="U269" s="109"/>
      <c r="V269" s="109"/>
      <c r="W269" s="109"/>
      <c r="X269" s="109"/>
      <c r="Y269" s="207"/>
      <c r="Z269" s="207"/>
      <c r="AA269" s="65"/>
      <c r="AB269" s="65"/>
      <c r="AC269" s="129"/>
      <c r="AD269" s="129"/>
      <c r="AE269" s="129"/>
      <c r="AF269" s="129"/>
      <c r="AH269" s="111"/>
      <c r="AI269" s="111"/>
      <c r="AJ269" s="111"/>
      <c r="AK269" s="111"/>
      <c r="AL269" s="111"/>
      <c r="AM269" s="66"/>
      <c r="AN269" s="112"/>
      <c r="AO269" s="112"/>
      <c r="AP269" s="112"/>
      <c r="AQ269" s="112"/>
      <c r="AS269" s="112"/>
      <c r="BB269" s="111"/>
      <c r="BC269" s="111"/>
      <c r="BD269" s="111"/>
      <c r="BE269" s="111"/>
      <c r="BF269" s="111"/>
    </row>
    <row r="270" spans="1:61" ht="28.5" customHeight="1" x14ac:dyDescent="0.25">
      <c r="A270" s="4543" t="s">
        <v>1202</v>
      </c>
      <c r="B270" s="4544"/>
      <c r="C270" s="4506" t="s">
        <v>824</v>
      </c>
      <c r="D270" s="4536"/>
      <c r="E270" s="67"/>
      <c r="F270" s="67"/>
      <c r="G270" s="68"/>
      <c r="H270" s="109"/>
      <c r="I270" s="109"/>
      <c r="J270" s="110"/>
      <c r="K270" s="110"/>
      <c r="L270" s="110"/>
      <c r="M270" s="110"/>
      <c r="N270" s="110"/>
      <c r="O270" s="110"/>
      <c r="Q270" s="110"/>
      <c r="R270" s="109"/>
      <c r="S270" s="109"/>
      <c r="T270" s="109"/>
      <c r="U270" s="109"/>
      <c r="V270" s="109"/>
      <c r="W270" s="109"/>
      <c r="X270" s="109"/>
      <c r="Y270" s="207"/>
      <c r="Z270" s="207"/>
      <c r="AA270" s="65"/>
      <c r="AB270" s="65"/>
      <c r="AC270" s="129"/>
      <c r="AD270" s="129"/>
      <c r="AE270" s="129"/>
      <c r="AF270" s="129"/>
      <c r="AH270" s="111"/>
      <c r="AI270" s="111"/>
      <c r="AJ270" s="111"/>
      <c r="AK270" s="111"/>
      <c r="AL270" s="111"/>
      <c r="AM270" s="66"/>
      <c r="AN270" s="112"/>
      <c r="AO270" s="112"/>
      <c r="AP270" s="112"/>
      <c r="AQ270" s="112"/>
      <c r="AS270" s="112"/>
      <c r="BB270" s="111"/>
      <c r="BC270" s="111"/>
      <c r="BD270" s="111"/>
      <c r="BE270" s="111"/>
      <c r="BF270" s="111"/>
    </row>
    <row r="271" spans="1:61" ht="30.75" customHeight="1" thickBot="1" x14ac:dyDescent="0.3">
      <c r="A271" s="4539" t="s">
        <v>1205</v>
      </c>
      <c r="B271" s="4540"/>
      <c r="C271" s="4541" t="s">
        <v>825</v>
      </c>
      <c r="D271" s="4542"/>
      <c r="E271" s="67"/>
      <c r="F271" s="67"/>
      <c r="G271" s="68"/>
      <c r="H271" s="109"/>
      <c r="I271" s="109"/>
      <c r="J271" s="110"/>
      <c r="K271" s="110"/>
      <c r="L271" s="110"/>
      <c r="M271" s="110"/>
      <c r="N271" s="110"/>
      <c r="O271" s="110"/>
      <c r="Q271" s="110"/>
      <c r="R271" s="109"/>
      <c r="S271" s="109"/>
      <c r="T271" s="109"/>
      <c r="U271" s="109"/>
      <c r="V271" s="109"/>
      <c r="W271" s="109"/>
      <c r="X271" s="109"/>
      <c r="Y271" s="207"/>
      <c r="Z271" s="207"/>
      <c r="AA271" s="65"/>
      <c r="AB271" s="65"/>
      <c r="AC271" s="129"/>
      <c r="AD271" s="129"/>
      <c r="AE271" s="129"/>
      <c r="AF271" s="129"/>
      <c r="AH271" s="111"/>
      <c r="AI271" s="111"/>
      <c r="AJ271" s="111"/>
      <c r="AK271" s="111"/>
      <c r="AL271" s="111"/>
      <c r="AM271" s="66"/>
      <c r="AN271" s="112"/>
      <c r="AO271" s="112"/>
      <c r="AP271" s="112"/>
      <c r="AQ271" s="112"/>
      <c r="AS271" s="112"/>
      <c r="BB271" s="111"/>
      <c r="BC271" s="111"/>
      <c r="BD271" s="111"/>
      <c r="BE271" s="111"/>
      <c r="BF271" s="111"/>
    </row>
    <row r="272" spans="1:61" ht="43.5" customHeight="1" thickBot="1" x14ac:dyDescent="0.3">
      <c r="A272" s="4521" t="s">
        <v>1728</v>
      </c>
      <c r="B272" s="4522"/>
      <c r="C272" s="4522"/>
      <c r="D272" s="4523"/>
      <c r="E272" s="67"/>
      <c r="F272" s="67"/>
      <c r="G272" s="68"/>
      <c r="H272" s="153"/>
      <c r="I272" s="153"/>
      <c r="J272" s="154"/>
      <c r="K272" s="154"/>
      <c r="L272" s="154"/>
      <c r="M272" s="154"/>
      <c r="N272" s="154"/>
      <c r="O272" s="154"/>
      <c r="Q272" s="155"/>
      <c r="R272" s="153"/>
      <c r="S272" s="153"/>
      <c r="T272" s="153"/>
      <c r="U272" s="153"/>
      <c r="V272" s="153"/>
      <c r="W272" s="153"/>
      <c r="X272" s="153"/>
      <c r="Y272" s="209"/>
      <c r="Z272" s="209"/>
      <c r="AA272" s="65"/>
      <c r="AB272" s="65"/>
      <c r="AC272" s="129"/>
      <c r="AD272" s="129"/>
      <c r="AE272" s="129"/>
      <c r="AF272" s="129"/>
      <c r="AH272" s="111"/>
      <c r="AI272" s="111"/>
      <c r="AJ272" s="111"/>
      <c r="AK272" s="111"/>
      <c r="AL272" s="111"/>
      <c r="AM272" s="66"/>
      <c r="AN272" s="112"/>
      <c r="AO272" s="112"/>
      <c r="AP272" s="112"/>
      <c r="AQ272" s="112"/>
      <c r="AS272" s="112"/>
      <c r="BB272" s="111"/>
      <c r="BC272" s="111"/>
      <c r="BD272" s="111"/>
      <c r="BE272" s="111"/>
      <c r="BF272" s="111"/>
    </row>
    <row r="273" spans="1:58" ht="16.5" thickBot="1" x14ac:dyDescent="0.3">
      <c r="A273" s="214"/>
      <c r="B273" s="103"/>
      <c r="C273" s="67"/>
      <c r="D273" s="67"/>
      <c r="E273" s="200" t="s">
        <v>826</v>
      </c>
      <c r="F273" s="194"/>
      <c r="G273" s="233"/>
      <c r="H273" s="156" t="s">
        <v>0</v>
      </c>
      <c r="I273" s="2638"/>
      <c r="J273" s="110"/>
      <c r="K273" s="110"/>
      <c r="L273" s="110"/>
      <c r="M273" s="110"/>
      <c r="N273" s="110"/>
      <c r="O273" s="110"/>
      <c r="Q273" s="110"/>
      <c r="R273" s="109"/>
      <c r="S273" s="109"/>
      <c r="T273" s="109"/>
      <c r="U273" s="109"/>
      <c r="V273" s="109"/>
      <c r="W273" s="109"/>
      <c r="X273" s="109"/>
      <c r="Y273" s="207"/>
      <c r="Z273" s="207"/>
      <c r="AA273" s="65"/>
      <c r="AB273" s="65"/>
      <c r="AC273" s="129"/>
      <c r="AD273" s="129"/>
      <c r="AE273" s="129"/>
      <c r="AF273" s="129"/>
      <c r="AH273" s="111"/>
      <c r="AI273" s="111"/>
      <c r="AJ273" s="111"/>
      <c r="AK273" s="111"/>
      <c r="AL273" s="111"/>
      <c r="AM273" s="66"/>
      <c r="AN273" s="112"/>
      <c r="AO273" s="112"/>
      <c r="AP273" s="112"/>
      <c r="AQ273" s="112"/>
      <c r="AS273" s="112"/>
      <c r="BB273" s="111"/>
      <c r="BC273" s="111"/>
      <c r="BD273" s="111"/>
      <c r="BE273" s="111"/>
      <c r="BF273" s="111"/>
    </row>
    <row r="274" spans="1:58" x14ac:dyDescent="0.25">
      <c r="A274" s="214"/>
      <c r="B274" s="103"/>
      <c r="C274" s="67"/>
      <c r="D274" s="67"/>
      <c r="E274" s="201" t="s">
        <v>827</v>
      </c>
      <c r="F274" s="215"/>
      <c r="G274" s="234"/>
      <c r="H274" s="157">
        <v>486450</v>
      </c>
      <c r="I274" s="2639"/>
      <c r="J274" s="110"/>
      <c r="K274" s="110"/>
      <c r="L274" s="110"/>
      <c r="M274" s="110"/>
      <c r="N274" s="110"/>
      <c r="O274" s="110"/>
      <c r="Q274" s="110"/>
      <c r="R274" s="109"/>
      <c r="S274" s="109"/>
      <c r="T274" s="109"/>
      <c r="U274" s="109"/>
      <c r="V274" s="109"/>
      <c r="W274" s="109"/>
      <c r="X274" s="109"/>
      <c r="Y274" s="207"/>
      <c r="Z274" s="207"/>
      <c r="AA274" s="65"/>
      <c r="AB274" s="65"/>
      <c r="AC274" s="129"/>
      <c r="AD274" s="129"/>
      <c r="AE274" s="129"/>
      <c r="AF274" s="129"/>
      <c r="AH274" s="111"/>
      <c r="AI274" s="111"/>
      <c r="AJ274" s="111"/>
      <c r="AK274" s="111"/>
      <c r="AL274" s="111"/>
      <c r="AM274" s="66"/>
      <c r="AN274" s="112"/>
      <c r="AO274" s="112"/>
      <c r="AP274" s="112"/>
      <c r="AQ274" s="112"/>
      <c r="AS274" s="112"/>
      <c r="BB274" s="111"/>
      <c r="BC274" s="111"/>
      <c r="BD274" s="111"/>
      <c r="BE274" s="111"/>
      <c r="BF274" s="111"/>
    </row>
    <row r="275" spans="1:58" x14ac:dyDescent="0.25">
      <c r="A275" s="214"/>
      <c r="B275" s="103"/>
      <c r="C275" s="67"/>
      <c r="D275" s="67"/>
      <c r="E275" s="202" t="s">
        <v>1208</v>
      </c>
      <c r="F275" s="195"/>
      <c r="G275" s="235"/>
      <c r="H275" s="158">
        <v>0</v>
      </c>
      <c r="I275" s="2639"/>
      <c r="J275" s="110"/>
      <c r="K275" s="110"/>
      <c r="L275" s="110"/>
      <c r="M275" s="110"/>
      <c r="N275" s="110"/>
      <c r="O275" s="110"/>
      <c r="Q275" s="110"/>
      <c r="R275" s="109"/>
      <c r="S275" s="109"/>
      <c r="T275" s="109"/>
      <c r="U275" s="109"/>
      <c r="V275" s="109"/>
      <c r="W275" s="109"/>
      <c r="X275" s="109"/>
      <c r="Y275" s="207"/>
      <c r="Z275" s="207"/>
      <c r="AA275" s="65"/>
      <c r="AB275" s="65"/>
      <c r="AC275" s="129"/>
      <c r="AD275" s="129"/>
      <c r="AE275" s="129"/>
      <c r="AF275" s="129"/>
      <c r="AH275" s="111"/>
      <c r="AI275" s="111"/>
      <c r="AJ275" s="111"/>
      <c r="AK275" s="111"/>
      <c r="AL275" s="111"/>
      <c r="AM275" s="66"/>
      <c r="AN275" s="112"/>
      <c r="AO275" s="112"/>
      <c r="AP275" s="112"/>
      <c r="AQ275" s="112"/>
      <c r="AS275" s="112"/>
      <c r="BB275" s="111"/>
      <c r="BC275" s="111"/>
      <c r="BD275" s="111"/>
      <c r="BE275" s="111"/>
      <c r="BF275" s="111"/>
    </row>
    <row r="276" spans="1:58" x14ac:dyDescent="0.25">
      <c r="A276" s="214"/>
      <c r="B276" s="103"/>
      <c r="C276" s="67"/>
      <c r="D276" s="67"/>
      <c r="E276" s="203" t="s">
        <v>828</v>
      </c>
      <c r="F276" s="196"/>
      <c r="G276" s="236"/>
      <c r="H276" s="159">
        <v>0</v>
      </c>
      <c r="I276" s="2639"/>
      <c r="J276" s="110"/>
      <c r="K276" s="110"/>
      <c r="L276" s="110"/>
      <c r="M276" s="110"/>
      <c r="N276" s="110"/>
      <c r="O276" s="110"/>
      <c r="Q276" s="110"/>
      <c r="R276" s="109"/>
      <c r="S276" s="109"/>
      <c r="T276" s="109"/>
      <c r="U276" s="109"/>
      <c r="V276" s="109"/>
      <c r="W276" s="109"/>
      <c r="X276" s="109"/>
      <c r="Y276" s="207"/>
      <c r="Z276" s="207"/>
      <c r="AA276" s="65"/>
      <c r="AB276" s="65"/>
      <c r="AC276" s="129"/>
      <c r="AD276" s="129"/>
      <c r="AE276" s="129"/>
      <c r="AF276" s="129"/>
      <c r="AH276" s="111"/>
      <c r="AI276" s="111"/>
      <c r="AJ276" s="111"/>
      <c r="AK276" s="111"/>
      <c r="AL276" s="111"/>
      <c r="AM276" s="66"/>
      <c r="AN276" s="112"/>
      <c r="AO276" s="112"/>
      <c r="AP276" s="112"/>
      <c r="AQ276" s="112"/>
      <c r="AS276" s="112"/>
      <c r="BB276" s="111"/>
      <c r="BC276" s="111"/>
      <c r="BD276" s="111"/>
      <c r="BE276" s="111"/>
      <c r="BF276" s="111"/>
    </row>
    <row r="277" spans="1:58" x14ac:dyDescent="0.25">
      <c r="A277" s="214"/>
      <c r="B277" s="103"/>
      <c r="C277" s="67"/>
      <c r="D277" s="67"/>
      <c r="E277" s="203" t="s">
        <v>829</v>
      </c>
      <c r="F277" s="196"/>
      <c r="G277" s="236"/>
      <c r="H277" s="159">
        <v>0</v>
      </c>
      <c r="I277" s="2639"/>
      <c r="J277" s="110"/>
      <c r="K277" s="110"/>
      <c r="L277" s="110"/>
      <c r="M277" s="110"/>
      <c r="N277" s="110"/>
      <c r="O277" s="110"/>
      <c r="Q277" s="110"/>
      <c r="R277" s="109"/>
      <c r="S277" s="109"/>
      <c r="T277" s="109"/>
      <c r="U277" s="109"/>
      <c r="V277" s="109"/>
      <c r="W277" s="109"/>
      <c r="X277" s="109"/>
      <c r="Y277" s="207"/>
      <c r="Z277" s="207"/>
      <c r="AA277" s="65"/>
      <c r="AB277" s="65"/>
      <c r="AC277" s="129"/>
      <c r="AD277" s="129"/>
      <c r="AE277" s="129"/>
      <c r="AF277" s="129"/>
      <c r="AH277" s="111"/>
      <c r="AI277" s="111"/>
      <c r="AJ277" s="111"/>
      <c r="AK277" s="111"/>
      <c r="AL277" s="111"/>
      <c r="AM277" s="66"/>
      <c r="AN277" s="112"/>
      <c r="AO277" s="112"/>
      <c r="AP277" s="112"/>
      <c r="AQ277" s="112"/>
      <c r="AS277" s="112"/>
      <c r="BB277" s="111"/>
      <c r="BC277" s="111"/>
      <c r="BD277" s="111"/>
      <c r="BE277" s="111"/>
      <c r="BF277" s="111"/>
    </row>
    <row r="278" spans="1:58" x14ac:dyDescent="0.25">
      <c r="A278" s="214"/>
      <c r="B278" s="103"/>
      <c r="C278" s="67"/>
      <c r="D278" s="67"/>
      <c r="E278" s="202" t="s">
        <v>830</v>
      </c>
      <c r="F278" s="195"/>
      <c r="G278" s="235"/>
      <c r="H278" s="158">
        <v>0</v>
      </c>
      <c r="I278" s="2639"/>
      <c r="J278" s="110"/>
      <c r="K278" s="110"/>
      <c r="L278" s="110"/>
      <c r="M278" s="110"/>
      <c r="N278" s="110"/>
      <c r="O278" s="110"/>
      <c r="Q278" s="110"/>
      <c r="R278" s="109"/>
      <c r="S278" s="109"/>
      <c r="T278" s="109"/>
      <c r="U278" s="109"/>
      <c r="V278" s="109"/>
      <c r="W278" s="109"/>
      <c r="X278" s="109"/>
      <c r="Y278" s="207"/>
      <c r="Z278" s="207"/>
      <c r="AA278" s="65"/>
      <c r="AB278" s="65"/>
      <c r="AC278" s="129"/>
      <c r="AD278" s="129"/>
      <c r="AE278" s="129"/>
      <c r="AF278" s="129"/>
      <c r="AH278" s="111"/>
      <c r="AI278" s="111"/>
      <c r="AJ278" s="111"/>
      <c r="AK278" s="111"/>
      <c r="AL278" s="111"/>
      <c r="AM278" s="66"/>
      <c r="AN278" s="112"/>
      <c r="AO278" s="112"/>
      <c r="AP278" s="112"/>
      <c r="AQ278" s="112"/>
      <c r="AS278" s="112"/>
      <c r="BB278" s="111"/>
      <c r="BC278" s="111"/>
      <c r="BD278" s="111"/>
      <c r="BE278" s="111"/>
      <c r="BF278" s="111"/>
    </row>
    <row r="279" spans="1:58" ht="16.5" thickBot="1" x14ac:dyDescent="0.3">
      <c r="A279" s="214"/>
      <c r="B279" s="103"/>
      <c r="C279" s="67"/>
      <c r="D279" s="67"/>
      <c r="E279" s="204" t="s">
        <v>831</v>
      </c>
      <c r="F279" s="197"/>
      <c r="G279" s="237"/>
      <c r="H279" s="160">
        <v>0</v>
      </c>
      <c r="I279" s="2639"/>
      <c r="J279" s="110"/>
      <c r="K279" s="110"/>
      <c r="L279" s="110"/>
      <c r="M279" s="110"/>
      <c r="N279" s="110"/>
      <c r="O279" s="110"/>
      <c r="Q279" s="110"/>
      <c r="R279" s="109"/>
      <c r="S279" s="109"/>
      <c r="T279" s="109"/>
      <c r="U279" s="109"/>
      <c r="V279" s="109"/>
      <c r="W279" s="109"/>
      <c r="X279" s="109"/>
      <c r="Y279" s="207"/>
      <c r="Z279" s="207"/>
      <c r="AA279" s="65"/>
      <c r="AB279" s="65"/>
      <c r="AC279" s="129"/>
      <c r="AD279" s="129"/>
      <c r="AE279" s="129"/>
      <c r="AF279" s="129"/>
      <c r="AH279" s="111"/>
      <c r="AI279" s="111"/>
      <c r="AJ279" s="111"/>
      <c r="AK279" s="111"/>
      <c r="AL279" s="111"/>
      <c r="AM279" s="66"/>
      <c r="AN279" s="112"/>
      <c r="AO279" s="112"/>
      <c r="AP279" s="112"/>
      <c r="AQ279" s="112"/>
      <c r="AS279" s="112"/>
      <c r="BB279" s="111"/>
      <c r="BC279" s="111"/>
      <c r="BD279" s="111"/>
      <c r="BE279" s="111"/>
      <c r="BF279" s="111"/>
    </row>
    <row r="280" spans="1:58" ht="16.5" thickBot="1" x14ac:dyDescent="0.3">
      <c r="A280" s="214"/>
      <c r="B280" s="103"/>
      <c r="C280" s="67"/>
      <c r="D280" s="67"/>
      <c r="E280" s="200" t="s">
        <v>832</v>
      </c>
      <c r="F280" s="194"/>
      <c r="G280" s="233"/>
      <c r="H280" s="161">
        <f>SUM(H274:H279)</f>
        <v>486450</v>
      </c>
      <c r="I280" s="2639"/>
      <c r="J280" s="110"/>
      <c r="K280" s="110"/>
      <c r="L280" s="110"/>
      <c r="M280" s="110"/>
      <c r="N280" s="110"/>
      <c r="O280" s="110"/>
      <c r="Q280" s="110"/>
      <c r="R280" s="109"/>
      <c r="S280" s="109"/>
      <c r="T280" s="109"/>
      <c r="U280" s="109"/>
      <c r="V280" s="109"/>
      <c r="W280" s="109"/>
      <c r="X280" s="109"/>
      <c r="Y280" s="207"/>
      <c r="Z280" s="207"/>
      <c r="AA280" s="65"/>
      <c r="AB280" s="65"/>
      <c r="AC280" s="129"/>
      <c r="AD280" s="129"/>
      <c r="AE280" s="129"/>
      <c r="AF280" s="129"/>
      <c r="AH280" s="111"/>
      <c r="AI280" s="111"/>
      <c r="AJ280" s="111"/>
      <c r="AK280" s="111"/>
      <c r="AL280" s="111"/>
      <c r="AM280" s="66"/>
      <c r="AN280" s="112"/>
      <c r="AO280" s="112"/>
      <c r="AP280" s="112"/>
      <c r="AQ280" s="112"/>
      <c r="AS280" s="112"/>
      <c r="BB280" s="111"/>
      <c r="BC280" s="111"/>
      <c r="BD280" s="111"/>
      <c r="BE280" s="111"/>
      <c r="BF280" s="111"/>
    </row>
    <row r="281" spans="1:58" ht="16.5" thickBot="1" x14ac:dyDescent="0.3">
      <c r="A281" s="214"/>
      <c r="B281" s="103"/>
      <c r="C281" s="67"/>
      <c r="D281" s="67"/>
      <c r="E281" s="205"/>
      <c r="F281" s="198"/>
      <c r="G281" s="238"/>
      <c r="H281" s="162"/>
      <c r="I281" s="2639"/>
      <c r="J281" s="110"/>
      <c r="K281" s="110"/>
      <c r="L281" s="110"/>
      <c r="M281" s="110"/>
      <c r="N281" s="110"/>
      <c r="O281" s="110"/>
      <c r="Q281" s="110"/>
      <c r="R281" s="109"/>
      <c r="S281" s="109"/>
      <c r="T281" s="109"/>
      <c r="U281" s="109"/>
      <c r="V281" s="109"/>
      <c r="W281" s="109"/>
      <c r="X281" s="109"/>
      <c r="Y281" s="207"/>
      <c r="Z281" s="207"/>
      <c r="AA281" s="65"/>
      <c r="AB281" s="65"/>
      <c r="AC281" s="129"/>
      <c r="AD281" s="129"/>
      <c r="AE281" s="129"/>
      <c r="AF281" s="129"/>
      <c r="AH281" s="111"/>
      <c r="AI281" s="111"/>
      <c r="AJ281" s="111"/>
      <c r="AK281" s="111"/>
      <c r="AL281" s="111"/>
      <c r="AM281" s="66"/>
      <c r="AN281" s="112"/>
      <c r="AO281" s="112"/>
      <c r="AP281" s="112"/>
      <c r="AQ281" s="112"/>
      <c r="AS281" s="112"/>
      <c r="BB281" s="111"/>
      <c r="BC281" s="111"/>
      <c r="BD281" s="111"/>
      <c r="BE281" s="111"/>
      <c r="BF281" s="111"/>
    </row>
    <row r="282" spans="1:58" ht="16.5" thickBot="1" x14ac:dyDescent="0.3">
      <c r="A282" s="214"/>
      <c r="B282" s="103"/>
      <c r="C282" s="67"/>
      <c r="D282" s="67"/>
      <c r="E282" s="200" t="s">
        <v>833</v>
      </c>
      <c r="F282" s="194"/>
      <c r="G282" s="233"/>
      <c r="H282" s="163"/>
      <c r="I282" s="2639"/>
      <c r="J282" s="110"/>
      <c r="K282" s="110"/>
      <c r="L282" s="110"/>
      <c r="M282" s="110"/>
      <c r="N282" s="110"/>
      <c r="O282" s="110"/>
      <c r="Q282" s="110"/>
      <c r="R282" s="109"/>
      <c r="S282" s="109"/>
      <c r="T282" s="109"/>
      <c r="U282" s="109"/>
      <c r="V282" s="109"/>
      <c r="W282" s="109"/>
      <c r="X282" s="109"/>
      <c r="Y282" s="207"/>
      <c r="Z282" s="207"/>
      <c r="AA282" s="65"/>
      <c r="AB282" s="65"/>
      <c r="AC282" s="129"/>
      <c r="AD282" s="129"/>
      <c r="AE282" s="129"/>
      <c r="AF282" s="129"/>
      <c r="AH282" s="111"/>
      <c r="AI282" s="111"/>
      <c r="AJ282" s="111"/>
      <c r="AK282" s="111"/>
      <c r="AL282" s="111"/>
      <c r="AM282" s="66"/>
      <c r="AN282" s="112"/>
      <c r="AO282" s="112"/>
      <c r="AP282" s="112"/>
      <c r="AQ282" s="112"/>
      <c r="AS282" s="112"/>
      <c r="BB282" s="111"/>
      <c r="BC282" s="111"/>
      <c r="BD282" s="111"/>
      <c r="BE282" s="111"/>
      <c r="BF282" s="111"/>
    </row>
    <row r="283" spans="1:58" x14ac:dyDescent="0.25">
      <c r="A283" s="214"/>
      <c r="B283" s="103"/>
      <c r="C283" s="67"/>
      <c r="D283" s="67"/>
      <c r="E283" s="202" t="s">
        <v>834</v>
      </c>
      <c r="F283" s="195"/>
      <c r="G283" s="235"/>
      <c r="H283" s="158">
        <f>R258</f>
        <v>-1.0860000000274539E-2</v>
      </c>
      <c r="I283" s="2639"/>
      <c r="J283" s="110"/>
      <c r="K283" s="110"/>
      <c r="L283" s="110"/>
      <c r="M283" s="110"/>
      <c r="N283" s="110"/>
      <c r="O283" s="110"/>
      <c r="Q283" s="110"/>
      <c r="R283" s="109"/>
      <c r="S283" s="109"/>
      <c r="T283" s="109"/>
      <c r="U283" s="109"/>
      <c r="V283" s="109"/>
      <c r="W283" s="109"/>
      <c r="X283" s="109"/>
      <c r="Y283" s="207"/>
      <c r="Z283" s="207"/>
      <c r="AA283" s="65"/>
      <c r="AB283" s="65"/>
      <c r="AC283" s="129"/>
      <c r="AD283" s="129"/>
      <c r="AE283" s="129"/>
      <c r="AF283" s="129"/>
      <c r="AH283" s="111"/>
      <c r="AI283" s="111"/>
      <c r="AJ283" s="111"/>
      <c r="AK283" s="111"/>
      <c r="AL283" s="111"/>
      <c r="AM283" s="66"/>
      <c r="AN283" s="112"/>
      <c r="AO283" s="112"/>
      <c r="AP283" s="112"/>
      <c r="AQ283" s="112"/>
      <c r="AS283" s="112"/>
      <c r="BB283" s="111"/>
      <c r="BC283" s="111"/>
      <c r="BD283" s="111"/>
      <c r="BE283" s="111"/>
      <c r="BF283" s="111"/>
    </row>
    <row r="284" spans="1:58" x14ac:dyDescent="0.25">
      <c r="A284" s="214"/>
      <c r="B284" s="103"/>
      <c r="C284" s="67"/>
      <c r="D284" s="67"/>
      <c r="E284" s="202" t="s">
        <v>18</v>
      </c>
      <c r="F284" s="195"/>
      <c r="G284" s="235"/>
      <c r="H284" s="158">
        <f>S258</f>
        <v>0</v>
      </c>
      <c r="I284" s="2639"/>
      <c r="J284" s="110"/>
      <c r="K284" s="110"/>
      <c r="L284" s="110"/>
      <c r="M284" s="110"/>
      <c r="N284" s="110"/>
      <c r="O284" s="110"/>
      <c r="Q284" s="110"/>
      <c r="R284" s="109"/>
      <c r="S284" s="109"/>
      <c r="T284" s="109"/>
      <c r="U284" s="109"/>
      <c r="V284" s="109"/>
      <c r="W284" s="109"/>
      <c r="X284" s="109"/>
      <c r="Y284" s="207"/>
      <c r="Z284" s="207"/>
      <c r="AA284" s="65"/>
      <c r="AB284" s="65"/>
      <c r="AC284" s="129"/>
      <c r="AD284" s="129"/>
      <c r="AE284" s="129"/>
      <c r="AF284" s="129"/>
      <c r="AH284" s="111"/>
      <c r="AI284" s="111"/>
      <c r="AJ284" s="111"/>
      <c r="AK284" s="111"/>
      <c r="AL284" s="111"/>
      <c r="AM284" s="66"/>
      <c r="AN284" s="112"/>
      <c r="AO284" s="112"/>
      <c r="AP284" s="112"/>
      <c r="AQ284" s="112"/>
      <c r="AS284" s="112"/>
      <c r="BB284" s="111"/>
      <c r="BC284" s="111"/>
      <c r="BD284" s="111"/>
      <c r="BE284" s="111"/>
      <c r="BF284" s="111"/>
    </row>
    <row r="285" spans="1:58" ht="16.5" thickBot="1" x14ac:dyDescent="0.3">
      <c r="A285" s="214"/>
      <c r="B285" s="103"/>
      <c r="C285" s="67"/>
      <c r="D285" s="67"/>
      <c r="E285" s="203" t="s">
        <v>816</v>
      </c>
      <c r="F285" s="196"/>
      <c r="G285" s="236"/>
      <c r="H285" s="159" t="e">
        <f>#REF!</f>
        <v>#REF!</v>
      </c>
      <c r="I285" s="2639"/>
      <c r="J285" s="110"/>
      <c r="K285" s="110"/>
      <c r="L285" s="110"/>
      <c r="M285" s="110"/>
      <c r="N285" s="110"/>
      <c r="O285" s="110"/>
      <c r="Q285" s="110"/>
      <c r="R285" s="109"/>
      <c r="S285" s="109"/>
      <c r="T285" s="109"/>
      <c r="U285" s="109"/>
      <c r="V285" s="109"/>
      <c r="W285" s="109"/>
      <c r="X285" s="109"/>
      <c r="Y285" s="207"/>
      <c r="Z285" s="207"/>
      <c r="AA285" s="65"/>
      <c r="AB285" s="65"/>
      <c r="AC285" s="129"/>
      <c r="AD285" s="129"/>
      <c r="AE285" s="129"/>
      <c r="AF285" s="129"/>
      <c r="AH285" s="111"/>
      <c r="AI285" s="111"/>
      <c r="AJ285" s="111"/>
      <c r="AK285" s="111"/>
      <c r="AL285" s="111"/>
      <c r="AM285" s="66"/>
      <c r="AN285" s="112"/>
      <c r="AO285" s="112"/>
      <c r="AP285" s="112"/>
      <c r="AQ285" s="112"/>
      <c r="AS285" s="112"/>
      <c r="BB285" s="111"/>
      <c r="BC285" s="111"/>
      <c r="BD285" s="111"/>
      <c r="BE285" s="111"/>
      <c r="BF285" s="111"/>
    </row>
    <row r="286" spans="1:58" ht="16.5" thickBot="1" x14ac:dyDescent="0.3">
      <c r="A286" s="214"/>
      <c r="B286" s="103"/>
      <c r="C286" s="67"/>
      <c r="D286" s="67"/>
      <c r="E286" s="200" t="s">
        <v>835</v>
      </c>
      <c r="F286" s="194"/>
      <c r="G286" s="233"/>
      <c r="H286" s="161" t="e">
        <f>SUM(H283:H285)</f>
        <v>#REF!</v>
      </c>
      <c r="I286" s="2639"/>
      <c r="J286" s="110"/>
      <c r="K286" s="110"/>
      <c r="L286" s="110"/>
      <c r="M286" s="110"/>
      <c r="N286" s="110"/>
      <c r="O286" s="110"/>
      <c r="Q286" s="110"/>
      <c r="R286" s="109"/>
      <c r="S286" s="109"/>
      <c r="T286" s="109"/>
      <c r="U286" s="109"/>
      <c r="V286" s="109"/>
      <c r="W286" s="109"/>
      <c r="X286" s="109"/>
      <c r="Y286" s="207"/>
      <c r="Z286" s="207"/>
      <c r="AA286" s="65"/>
      <c r="AB286" s="65"/>
      <c r="AC286" s="129"/>
      <c r="AD286" s="129"/>
      <c r="AE286" s="129"/>
      <c r="AF286" s="129"/>
      <c r="AH286" s="111"/>
      <c r="AI286" s="111"/>
      <c r="AJ286" s="111"/>
      <c r="AK286" s="111"/>
      <c r="AL286" s="111"/>
      <c r="AM286" s="66"/>
      <c r="AN286" s="112"/>
      <c r="AO286" s="112"/>
      <c r="AP286" s="112"/>
      <c r="AQ286" s="112"/>
      <c r="AS286" s="112"/>
      <c r="BB286" s="111"/>
      <c r="BC286" s="111"/>
      <c r="BD286" s="111"/>
      <c r="BE286" s="111"/>
      <c r="BF286" s="111"/>
    </row>
    <row r="287" spans="1:58" ht="15" x14ac:dyDescent="0.25">
      <c r="A287" s="214"/>
      <c r="B287" s="103"/>
      <c r="C287" s="67"/>
      <c r="D287" s="67"/>
      <c r="E287" s="67"/>
      <c r="F287" s="67"/>
      <c r="G287" s="68"/>
      <c r="H287" s="109"/>
      <c r="I287" s="109"/>
      <c r="J287" s="110"/>
      <c r="K287" s="110"/>
      <c r="L287" s="110"/>
      <c r="M287" s="110"/>
      <c r="N287" s="110"/>
      <c r="O287" s="110"/>
      <c r="Q287" s="110"/>
      <c r="R287" s="109"/>
      <c r="S287" s="109"/>
      <c r="T287" s="109"/>
      <c r="U287" s="109"/>
      <c r="V287" s="109"/>
      <c r="W287" s="109"/>
      <c r="X287" s="109"/>
      <c r="Y287" s="207"/>
      <c r="Z287" s="207"/>
      <c r="AA287" s="65"/>
      <c r="AB287" s="65"/>
      <c r="AC287" s="129"/>
      <c r="AD287" s="129"/>
      <c r="AE287" s="129"/>
      <c r="AF287" s="129"/>
      <c r="AH287" s="111"/>
      <c r="AI287" s="111"/>
      <c r="AJ287" s="111"/>
      <c r="AK287" s="111"/>
      <c r="AL287" s="111"/>
      <c r="AM287" s="66"/>
      <c r="AN287" s="112"/>
      <c r="AO287" s="112"/>
      <c r="AP287" s="112"/>
      <c r="AQ287" s="112"/>
      <c r="AS287" s="112"/>
      <c r="BB287" s="111"/>
      <c r="BC287" s="111"/>
      <c r="BD287" s="111"/>
      <c r="BE287" s="111"/>
      <c r="BF287" s="111"/>
    </row>
    <row r="288" spans="1:58" ht="15" x14ac:dyDescent="0.25">
      <c r="A288" s="214"/>
      <c r="B288" s="103"/>
      <c r="C288" s="67"/>
      <c r="D288" s="67"/>
      <c r="E288" s="67"/>
      <c r="F288" s="67"/>
      <c r="G288" s="68"/>
      <c r="H288" s="153"/>
      <c r="I288" s="153"/>
      <c r="J288" s="154"/>
      <c r="K288" s="154"/>
      <c r="L288" s="154"/>
      <c r="M288" s="154"/>
      <c r="N288" s="154"/>
      <c r="O288" s="154"/>
      <c r="Q288" s="154"/>
      <c r="R288" s="153"/>
      <c r="S288" s="153"/>
      <c r="T288" s="153"/>
      <c r="U288" s="153"/>
      <c r="V288" s="153"/>
      <c r="W288" s="153"/>
      <c r="X288" s="153"/>
      <c r="Y288" s="209"/>
      <c r="Z288" s="209"/>
      <c r="AA288" s="65"/>
      <c r="AB288" s="65"/>
      <c r="AC288" s="129"/>
      <c r="AD288" s="129"/>
      <c r="AE288" s="129"/>
      <c r="AF288" s="129"/>
      <c r="AH288" s="111"/>
      <c r="AI288" s="111"/>
      <c r="AJ288" s="111"/>
      <c r="AK288" s="111"/>
      <c r="AL288" s="111"/>
      <c r="AM288" s="66"/>
      <c r="AN288" s="112"/>
      <c r="AO288" s="112"/>
      <c r="AP288" s="112"/>
      <c r="AQ288" s="112"/>
      <c r="AS288" s="112"/>
      <c r="BB288" s="111"/>
      <c r="BC288" s="111"/>
      <c r="BD288" s="111"/>
      <c r="BE288" s="111"/>
      <c r="BF288" s="111"/>
    </row>
    <row r="289" spans="1:58" ht="15" x14ac:dyDescent="0.25">
      <c r="A289" s="214"/>
      <c r="B289" s="103"/>
      <c r="C289" s="67"/>
      <c r="D289" s="67"/>
      <c r="E289" s="67"/>
      <c r="F289" s="67"/>
      <c r="G289" s="68"/>
      <c r="H289" s="153"/>
      <c r="I289" s="153"/>
      <c r="J289" s="154"/>
      <c r="K289" s="154"/>
      <c r="L289" s="154"/>
      <c r="M289" s="154"/>
      <c r="N289" s="154"/>
      <c r="O289" s="154"/>
      <c r="Q289" s="154"/>
      <c r="R289" s="153"/>
      <c r="S289" s="153"/>
      <c r="T289" s="153"/>
      <c r="U289" s="153"/>
      <c r="V289" s="153"/>
      <c r="W289" s="153"/>
      <c r="X289" s="153"/>
      <c r="Y289" s="209"/>
      <c r="Z289" s="209"/>
      <c r="AA289" s="65"/>
      <c r="AB289" s="65"/>
      <c r="AC289" s="129"/>
      <c r="AD289" s="129"/>
      <c r="AE289" s="129"/>
      <c r="AF289" s="129"/>
      <c r="AH289" s="111"/>
      <c r="AI289" s="111"/>
      <c r="AJ289" s="111"/>
      <c r="AK289" s="111"/>
      <c r="AL289" s="111"/>
      <c r="AM289" s="66"/>
      <c r="AN289" s="112"/>
      <c r="AO289" s="112"/>
      <c r="AP289" s="112"/>
      <c r="AQ289" s="112"/>
      <c r="AS289" s="112"/>
      <c r="BB289" s="111"/>
      <c r="BC289" s="111"/>
      <c r="BD289" s="111"/>
      <c r="BE289" s="111"/>
      <c r="BF289" s="111"/>
    </row>
  </sheetData>
  <autoFilter ref="A4:BA262" xr:uid="{00000000-0009-0000-0000-000000000000}">
    <filterColumn colId="27">
      <filters>
        <filter val="UKONČENO"/>
        <filter val="UKONČENO - zm. č.1"/>
      </filters>
    </filterColumn>
  </autoFilter>
  <mergeCells count="55">
    <mergeCell ref="A272:D272"/>
    <mergeCell ref="AX2:AX3"/>
    <mergeCell ref="AF2:AF3"/>
    <mergeCell ref="AH2:AK2"/>
    <mergeCell ref="AT2:AT3"/>
    <mergeCell ref="AW2:AW3"/>
    <mergeCell ref="A259:E259"/>
    <mergeCell ref="A268:B268"/>
    <mergeCell ref="C268:D268"/>
    <mergeCell ref="A269:B269"/>
    <mergeCell ref="C269:D269"/>
    <mergeCell ref="A271:B271"/>
    <mergeCell ref="C271:D271"/>
    <mergeCell ref="A270:B270"/>
    <mergeCell ref="C270:D270"/>
    <mergeCell ref="C267:D267"/>
    <mergeCell ref="AD2:AD3"/>
    <mergeCell ref="AE2:AE3"/>
    <mergeCell ref="Z2:Z3"/>
    <mergeCell ref="A266:D266"/>
    <mergeCell ref="A267:B267"/>
    <mergeCell ref="V2:X2"/>
    <mergeCell ref="H264:J264"/>
    <mergeCell ref="R262:S262"/>
    <mergeCell ref="L2:O2"/>
    <mergeCell ref="P2:S2"/>
    <mergeCell ref="AA2:AA3"/>
    <mergeCell ref="AM2:AR2"/>
    <mergeCell ref="A1:AC1"/>
    <mergeCell ref="A2:A3"/>
    <mergeCell ref="B2:B3"/>
    <mergeCell ref="C2:C3"/>
    <mergeCell ref="D2:D3"/>
    <mergeCell ref="E2:E3"/>
    <mergeCell ref="F2:F3"/>
    <mergeCell ref="G2:G3"/>
    <mergeCell ref="H2:H3"/>
    <mergeCell ref="J2:J3"/>
    <mergeCell ref="AB2:AB3"/>
    <mergeCell ref="AC2:AC3"/>
    <mergeCell ref="Y2:Y3"/>
    <mergeCell ref="T2:U2"/>
    <mergeCell ref="K2:K3"/>
    <mergeCell ref="BK2:BK3"/>
    <mergeCell ref="AU2:AU3"/>
    <mergeCell ref="BB2:BB3"/>
    <mergeCell ref="BC2:BC3"/>
    <mergeCell ref="BD2:BD3"/>
    <mergeCell ref="BE2:BE3"/>
    <mergeCell ref="AV2:AV3"/>
    <mergeCell ref="BG2:BG3"/>
    <mergeCell ref="BH2:BH3"/>
    <mergeCell ref="BI2:BI3"/>
    <mergeCell ref="BJ2:BJ3"/>
    <mergeCell ref="BF2:BF3"/>
  </mergeCells>
  <pageMargins left="0.7" right="0.7" top="0.78740157499999996" bottom="0.78740157499999996"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CT253"/>
  <sheetViews>
    <sheetView zoomScale="90" zoomScaleNormal="90" workbookViewId="0">
      <pane ySplit="9" topLeftCell="A10" activePane="bottomLeft" state="frozen"/>
      <selection activeCell="B1" sqref="B1"/>
      <selection pane="bottomLeft" activeCell="H214" sqref="F52:H214"/>
    </sheetView>
  </sheetViews>
  <sheetFormatPr defaultRowHeight="15" x14ac:dyDescent="0.25"/>
  <cols>
    <col min="1" max="1" width="15.140625" customWidth="1"/>
    <col min="2" max="2" width="9.5703125" customWidth="1"/>
    <col min="3" max="3" width="6.28515625" customWidth="1"/>
    <col min="4" max="4" width="32.7109375" customWidth="1"/>
    <col min="5" max="5" width="39.7109375" customWidth="1"/>
    <col min="6" max="6" width="39.28515625" customWidth="1"/>
    <col min="7" max="7" width="52.7109375" customWidth="1"/>
    <col min="8" max="8" width="10.7109375" customWidth="1"/>
    <col min="9" max="12" width="10" hidden="1" customWidth="1"/>
    <col min="13" max="13" width="8.5703125" hidden="1" customWidth="1"/>
    <col min="14" max="17" width="0" hidden="1" customWidth="1"/>
    <col min="18" max="18" width="10.28515625" hidden="1" customWidth="1"/>
    <col min="19" max="19" width="0" hidden="1" customWidth="1"/>
    <col min="20" max="20" width="10.42578125" hidden="1" customWidth="1"/>
    <col min="21" max="24" width="7.42578125" hidden="1" customWidth="1"/>
    <col min="25" max="25" width="9.85546875" hidden="1" customWidth="1"/>
    <col min="26" max="26" width="0" hidden="1" customWidth="1"/>
    <col min="27" max="27" width="11.5703125" hidden="1" customWidth="1"/>
    <col min="28" max="28" width="10.85546875" hidden="1" customWidth="1"/>
    <col min="29" max="29" width="55.42578125" hidden="1" customWidth="1"/>
    <col min="30" max="30" width="14" hidden="1" customWidth="1"/>
    <col min="31" max="31" width="10.42578125" hidden="1" customWidth="1"/>
    <col min="32" max="32" width="0" hidden="1" customWidth="1"/>
    <col min="33" max="33" width="10.42578125" hidden="1" customWidth="1"/>
    <col min="34" max="34" width="7" customWidth="1"/>
    <col min="35" max="35" width="5.28515625" customWidth="1"/>
    <col min="36" max="36" width="10.42578125" customWidth="1"/>
    <col min="41" max="41" width="4.85546875" customWidth="1"/>
    <col min="42" max="42" width="4.42578125" customWidth="1"/>
    <col min="43" max="43" width="5.85546875" customWidth="1"/>
    <col min="44" max="44" width="4.85546875" customWidth="1"/>
    <col min="45" max="45" width="5.5703125" customWidth="1"/>
    <col min="46" max="46" width="5.140625" customWidth="1"/>
    <col min="47" max="47" width="5.28515625" customWidth="1"/>
    <col min="48" max="48" width="3.140625" customWidth="1"/>
    <col min="49" max="51" width="36" customWidth="1"/>
    <col min="52" max="53" width="48.7109375" customWidth="1"/>
    <col min="54" max="54" width="51.28515625" customWidth="1"/>
    <col min="55" max="55" width="53.85546875" customWidth="1"/>
    <col min="56" max="56" width="54.42578125" customWidth="1"/>
    <col min="57" max="57" width="51" customWidth="1"/>
    <col min="58" max="58" width="62.85546875" customWidth="1"/>
    <col min="59" max="59" width="56.85546875" customWidth="1"/>
    <col min="60" max="60" width="7" customWidth="1"/>
    <col min="61" max="61" width="7.7109375" customWidth="1"/>
    <col min="62" max="62" width="7.140625" customWidth="1"/>
    <col min="63" max="63" width="5.85546875" customWidth="1"/>
    <col min="64" max="65" width="10" customWidth="1"/>
    <col min="66" max="66" width="11.28515625" customWidth="1"/>
    <col min="67" max="67" width="12" customWidth="1"/>
    <col min="88" max="88" width="10.140625" customWidth="1"/>
  </cols>
  <sheetData>
    <row r="1" spans="1:98" ht="30" customHeight="1" thickBot="1" x14ac:dyDescent="0.3">
      <c r="A1" s="2599" t="s">
        <v>2267</v>
      </c>
      <c r="B1" s="1314"/>
      <c r="C1" s="1314"/>
      <c r="D1" s="1314"/>
      <c r="E1" s="1314"/>
      <c r="F1" s="1314"/>
      <c r="G1" s="1314"/>
      <c r="H1" s="1314"/>
      <c r="I1" s="1314"/>
      <c r="J1" s="1314"/>
      <c r="K1" s="1314"/>
      <c r="L1" s="1314"/>
      <c r="M1" s="2600"/>
      <c r="N1" s="1314"/>
      <c r="O1" s="1314"/>
      <c r="P1" s="1314"/>
      <c r="Q1" s="1314"/>
      <c r="R1" s="1314"/>
      <c r="S1" s="1314"/>
      <c r="T1" s="1314"/>
      <c r="U1" s="1314"/>
      <c r="V1" s="1314"/>
      <c r="W1" s="1314"/>
      <c r="X1" s="1314"/>
      <c r="Y1" s="1314"/>
      <c r="Z1" s="1314"/>
      <c r="AA1" s="1314"/>
      <c r="AB1" s="1314"/>
      <c r="AC1" s="1401"/>
      <c r="AD1" s="4471" t="s">
        <v>1432</v>
      </c>
      <c r="AE1" s="4472"/>
      <c r="AF1" s="4472"/>
      <c r="AG1" s="4473"/>
      <c r="AH1" s="1396"/>
      <c r="AI1" s="2324"/>
      <c r="AJ1" s="1396"/>
      <c r="AK1" s="66"/>
      <c r="AL1" s="515"/>
      <c r="AM1" s="135"/>
      <c r="AN1" s="135"/>
      <c r="AO1" s="1145"/>
      <c r="AP1" s="136"/>
      <c r="AQ1" s="136"/>
      <c r="AR1" s="136"/>
      <c r="AS1" s="136"/>
      <c r="AT1" s="136"/>
      <c r="AU1" s="515"/>
      <c r="AV1" s="137"/>
      <c r="AW1" s="2449"/>
      <c r="AX1" s="3149"/>
      <c r="AY1" s="2778"/>
      <c r="AZ1" s="1401"/>
      <c r="BA1" s="1401"/>
      <c r="BB1" s="1401"/>
      <c r="BC1" s="1401"/>
      <c r="BD1" s="2449"/>
      <c r="BE1" s="966"/>
      <c r="BF1" s="176"/>
      <c r="BG1" s="176"/>
      <c r="BH1" s="966"/>
      <c r="BI1" s="2449"/>
      <c r="BJ1" s="176"/>
      <c r="BK1" s="176"/>
      <c r="BL1" s="1314"/>
      <c r="BM1" s="2600"/>
      <c r="BN1" s="1314"/>
      <c r="BO1" s="1314"/>
      <c r="BP1" s="177"/>
      <c r="BQ1" s="1314"/>
      <c r="BR1" s="1314"/>
      <c r="BS1" s="1314"/>
      <c r="BT1" s="1314"/>
      <c r="BU1" s="177"/>
      <c r="BV1" s="177"/>
      <c r="BW1" s="177"/>
      <c r="BX1" s="177"/>
      <c r="BY1" s="177"/>
      <c r="BZ1" s="177"/>
      <c r="CA1" s="177"/>
      <c r="CB1" s="177"/>
      <c r="CC1" s="177"/>
      <c r="CD1" s="177"/>
      <c r="CE1" s="177"/>
      <c r="CF1" s="177"/>
      <c r="CG1" s="177"/>
      <c r="CH1" s="177"/>
      <c r="CI1" s="177"/>
      <c r="CJ1" s="177"/>
      <c r="CL1" s="177"/>
    </row>
    <row r="2" spans="1:98" ht="33.75" customHeight="1" thickBot="1" x14ac:dyDescent="0.3">
      <c r="A2" s="4553" t="s">
        <v>1</v>
      </c>
      <c r="B2" s="4553" t="s">
        <v>2</v>
      </c>
      <c r="C2" s="4476" t="s">
        <v>2268</v>
      </c>
      <c r="D2" s="4478" t="s">
        <v>2269</v>
      </c>
      <c r="E2" s="4480" t="s">
        <v>4</v>
      </c>
      <c r="F2" s="4480" t="s">
        <v>5</v>
      </c>
      <c r="G2" s="4482" t="s">
        <v>6</v>
      </c>
      <c r="H2" s="4480" t="s">
        <v>7</v>
      </c>
      <c r="I2" s="4571" t="s">
        <v>2588</v>
      </c>
      <c r="J2" s="4571" t="s">
        <v>2600</v>
      </c>
      <c r="K2" s="2644"/>
      <c r="L2" s="2644"/>
      <c r="M2" s="4549" t="s">
        <v>2591</v>
      </c>
      <c r="N2" s="4573" t="s">
        <v>2250</v>
      </c>
      <c r="O2" s="4574"/>
      <c r="P2" s="4574"/>
      <c r="Q2" s="4575"/>
      <c r="R2" s="4576" t="s">
        <v>2247</v>
      </c>
      <c r="S2" s="4576"/>
      <c r="T2" s="4577"/>
      <c r="U2" s="4594" t="s">
        <v>2761</v>
      </c>
      <c r="V2" s="4576"/>
      <c r="W2" s="4576"/>
      <c r="X2" s="4577"/>
      <c r="Y2" s="4551" t="s">
        <v>2492</v>
      </c>
      <c r="Z2" s="4551" t="s">
        <v>1483</v>
      </c>
      <c r="AA2" s="4492" t="s">
        <v>8</v>
      </c>
      <c r="AB2" s="4493"/>
      <c r="AC2" s="4454" t="s">
        <v>10</v>
      </c>
      <c r="AD2" s="4478" t="s">
        <v>1204</v>
      </c>
      <c r="AE2" s="4496" t="s">
        <v>2246</v>
      </c>
      <c r="AF2" s="4497" t="s">
        <v>1259</v>
      </c>
      <c r="AG2" s="4496" t="s">
        <v>1260</v>
      </c>
      <c r="AH2" s="4599" t="s">
        <v>1968</v>
      </c>
      <c r="AI2" s="4597" t="s">
        <v>1261</v>
      </c>
      <c r="AJ2" s="2414"/>
      <c r="AK2" s="4601" t="s">
        <v>11</v>
      </c>
      <c r="AL2" s="4602"/>
      <c r="AM2" s="4603"/>
      <c r="AN2" s="3191"/>
      <c r="AO2" s="1146"/>
      <c r="AP2" s="4468" t="s">
        <v>12</v>
      </c>
      <c r="AQ2" s="4469"/>
      <c r="AR2" s="4469"/>
      <c r="AS2" s="4469"/>
      <c r="AT2" s="4469"/>
      <c r="AU2" s="4470"/>
      <c r="AV2" s="3"/>
      <c r="AW2" s="4595" t="s">
        <v>1488</v>
      </c>
      <c r="AX2" s="3152"/>
      <c r="AY2" s="4454" t="s">
        <v>2665</v>
      </c>
      <c r="AZ2" s="4454" t="s">
        <v>2587</v>
      </c>
      <c r="BA2" s="3115"/>
      <c r="BB2" s="4454" t="s">
        <v>2520</v>
      </c>
      <c r="BC2" s="4454" t="s">
        <v>2251</v>
      </c>
      <c r="BD2" s="4454" t="s">
        <v>2187</v>
      </c>
      <c r="BE2" s="4454" t="s">
        <v>1915</v>
      </c>
      <c r="BF2" s="4582" t="s">
        <v>1739</v>
      </c>
      <c r="BG2" s="4582" t="s">
        <v>1430</v>
      </c>
      <c r="BH2" s="4584" t="s">
        <v>1428</v>
      </c>
      <c r="BI2" s="4584"/>
      <c r="BJ2" s="457"/>
      <c r="BK2" s="4456" t="s">
        <v>1382</v>
      </c>
      <c r="BL2" s="4494" t="s">
        <v>843</v>
      </c>
      <c r="BM2" s="4580" t="s">
        <v>2461</v>
      </c>
      <c r="BN2" s="4565" t="s">
        <v>2276</v>
      </c>
      <c r="BO2" s="4585" t="s">
        <v>2276</v>
      </c>
      <c r="BP2" s="4563" t="s">
        <v>2517</v>
      </c>
      <c r="BQ2" s="4567" t="s">
        <v>2273</v>
      </c>
      <c r="BR2" s="4561" t="s">
        <v>2282</v>
      </c>
      <c r="BS2" s="4458" t="s">
        <v>2572</v>
      </c>
      <c r="BT2" s="4569" t="s">
        <v>2518</v>
      </c>
      <c r="BU2" s="2446"/>
      <c r="BV2" s="4462" t="s">
        <v>2273</v>
      </c>
      <c r="BW2" s="4462" t="s">
        <v>2275</v>
      </c>
      <c r="BX2" s="4458" t="s">
        <v>2214</v>
      </c>
      <c r="BY2" s="4460" t="s">
        <v>2211</v>
      </c>
      <c r="BZ2" s="4462" t="s">
        <v>2213</v>
      </c>
      <c r="CA2" s="4466" t="s">
        <v>1949</v>
      </c>
      <c r="CB2" s="4464" t="s">
        <v>1865</v>
      </c>
      <c r="CC2" s="4464" t="s">
        <v>1930</v>
      </c>
      <c r="CD2" s="4464" t="s">
        <v>1725</v>
      </c>
      <c r="CE2" s="4464" t="s">
        <v>1481</v>
      </c>
      <c r="CF2" s="4560" t="s">
        <v>2245</v>
      </c>
      <c r="CG2" s="4561" t="s">
        <v>2215</v>
      </c>
      <c r="CH2" s="4561" t="s">
        <v>2216</v>
      </c>
      <c r="CI2" s="4561" t="s">
        <v>2217</v>
      </c>
      <c r="CJ2" s="4561" t="s">
        <v>2218</v>
      </c>
      <c r="CK2" s="4578" t="s">
        <v>2591</v>
      </c>
      <c r="CL2" s="4578" t="s">
        <v>2605</v>
      </c>
      <c r="CM2" s="4578" t="s">
        <v>2662</v>
      </c>
    </row>
    <row r="3" spans="1:98" ht="49.5" customHeight="1" thickBot="1" x14ac:dyDescent="0.3">
      <c r="A3" s="4554"/>
      <c r="B3" s="4554"/>
      <c r="C3" s="4555"/>
      <c r="D3" s="4556"/>
      <c r="E3" s="4484"/>
      <c r="F3" s="4484"/>
      <c r="G3" s="4558"/>
      <c r="H3" s="4484"/>
      <c r="I3" s="4572"/>
      <c r="J3" s="4572"/>
      <c r="K3" s="2645"/>
      <c r="L3" s="2645"/>
      <c r="M3" s="4550"/>
      <c r="N3" s="2378" t="s">
        <v>1932</v>
      </c>
      <c r="O3" s="2377" t="s">
        <v>1933</v>
      </c>
      <c r="P3" s="2379" t="s">
        <v>2248</v>
      </c>
      <c r="Q3" s="1461" t="s">
        <v>2249</v>
      </c>
      <c r="R3" s="2333" t="s">
        <v>2519</v>
      </c>
      <c r="S3" s="118" t="s">
        <v>17</v>
      </c>
      <c r="T3" s="1451" t="s">
        <v>2521</v>
      </c>
      <c r="U3" s="3171" t="s">
        <v>2757</v>
      </c>
      <c r="V3" s="3171" t="s">
        <v>2758</v>
      </c>
      <c r="W3" s="3171" t="s">
        <v>2759</v>
      </c>
      <c r="X3" s="3171" t="s">
        <v>2760</v>
      </c>
      <c r="Y3" s="4552"/>
      <c r="Z3" s="4552"/>
      <c r="AA3" s="313" t="s">
        <v>1732</v>
      </c>
      <c r="AB3" s="313" t="s">
        <v>1731</v>
      </c>
      <c r="AC3" s="4455"/>
      <c r="AD3" s="4487"/>
      <c r="AE3" s="4489"/>
      <c r="AF3" s="4498"/>
      <c r="AG3" s="4489"/>
      <c r="AH3" s="4600"/>
      <c r="AI3" s="4598"/>
      <c r="AJ3" s="2415" t="s">
        <v>2577</v>
      </c>
      <c r="AK3" s="2441" t="s">
        <v>2580</v>
      </c>
      <c r="AL3" s="344" t="s">
        <v>20</v>
      </c>
      <c r="AM3" s="440" t="s">
        <v>2277</v>
      </c>
      <c r="AN3" s="3192"/>
      <c r="AO3" s="1147"/>
      <c r="AP3" s="341" t="s">
        <v>21</v>
      </c>
      <c r="AQ3" s="342" t="s">
        <v>22</v>
      </c>
      <c r="AR3" s="342" t="s">
        <v>23</v>
      </c>
      <c r="AS3" s="342" t="s">
        <v>1262</v>
      </c>
      <c r="AT3" s="342" t="s">
        <v>1263</v>
      </c>
      <c r="AU3" s="1138" t="s">
        <v>2265</v>
      </c>
      <c r="AV3" s="148"/>
      <c r="AW3" s="4596"/>
      <c r="AX3" s="3153"/>
      <c r="AY3" s="4455"/>
      <c r="AZ3" s="4455"/>
      <c r="BA3" s="3116"/>
      <c r="BB3" s="4455"/>
      <c r="BC3" s="4455"/>
      <c r="BD3" s="4455"/>
      <c r="BE3" s="4455"/>
      <c r="BF3" s="4583"/>
      <c r="BG3" s="4583"/>
      <c r="BH3" s="2449" t="s">
        <v>1254</v>
      </c>
      <c r="BI3" s="2449" t="s">
        <v>1255</v>
      </c>
      <c r="BJ3" s="458" t="s">
        <v>1429</v>
      </c>
      <c r="BK3" s="4457"/>
      <c r="BL3" s="4579"/>
      <c r="BM3" s="4581"/>
      <c r="BN3" s="4566"/>
      <c r="BO3" s="4586"/>
      <c r="BP3" s="4564"/>
      <c r="BQ3" s="4568"/>
      <c r="BR3" s="4562"/>
      <c r="BS3" s="4459"/>
      <c r="BT3" s="4570"/>
      <c r="BU3" s="2447" t="s">
        <v>2349</v>
      </c>
      <c r="BV3" s="4463"/>
      <c r="BW3" s="4463"/>
      <c r="BX3" s="4459"/>
      <c r="BY3" s="4461"/>
      <c r="BZ3" s="4463"/>
      <c r="CA3" s="4467"/>
      <c r="CB3" s="4465"/>
      <c r="CC3" s="4465"/>
      <c r="CD3" s="4465"/>
      <c r="CE3" s="4465"/>
      <c r="CF3" s="4560"/>
      <c r="CG3" s="4562"/>
      <c r="CH3" s="4562"/>
      <c r="CI3" s="4562"/>
      <c r="CJ3" s="4562"/>
      <c r="CK3" s="4550"/>
      <c r="CL3" s="4550"/>
      <c r="CM3" s="4550"/>
    </row>
    <row r="4" spans="1:98" ht="32.25" customHeight="1" thickBot="1" x14ac:dyDescent="0.3">
      <c r="A4" s="3195"/>
      <c r="B4" s="3195"/>
      <c r="C4" s="3114"/>
      <c r="D4" s="3118"/>
      <c r="E4" s="3117"/>
      <c r="F4" s="3196"/>
      <c r="G4" s="3197"/>
      <c r="H4" s="3117"/>
      <c r="I4" s="3119"/>
      <c r="J4" s="3198"/>
      <c r="K4" s="3198"/>
      <c r="L4" s="3198"/>
      <c r="M4" s="3110"/>
      <c r="N4" s="2378"/>
      <c r="O4" s="3126"/>
      <c r="P4" s="2379"/>
      <c r="Q4" s="3127"/>
      <c r="R4" s="2333"/>
      <c r="S4" s="118"/>
      <c r="T4" s="3120"/>
      <c r="U4" s="3199"/>
      <c r="V4" s="3199"/>
      <c r="W4" s="3199"/>
      <c r="X4" s="3199"/>
      <c r="Y4" s="3200"/>
      <c r="Z4" s="3200"/>
      <c r="AA4" s="313"/>
      <c r="AB4" s="311"/>
      <c r="AC4" s="3201"/>
      <c r="AD4" s="3114"/>
      <c r="AE4" s="3202"/>
      <c r="AF4" s="3112"/>
      <c r="AG4" s="3111"/>
      <c r="AH4" s="3203"/>
      <c r="AI4" s="3121"/>
      <c r="AJ4" s="3204"/>
      <c r="AK4" s="2441"/>
      <c r="AL4" s="344"/>
      <c r="AM4" s="440"/>
      <c r="AN4" s="3192"/>
      <c r="AO4" s="1147"/>
      <c r="AP4" s="341"/>
      <c r="AQ4" s="342"/>
      <c r="AR4" s="3205"/>
      <c r="AS4" s="3206"/>
      <c r="AT4" s="3206"/>
      <c r="AU4" s="1138"/>
      <c r="AV4" s="148"/>
      <c r="AW4" s="3125"/>
      <c r="AX4" s="3224"/>
      <c r="AY4" s="2464"/>
      <c r="AZ4" s="3201"/>
      <c r="BA4" s="3201"/>
      <c r="BB4" s="3201"/>
      <c r="BC4" s="2788"/>
      <c r="BD4" s="3207"/>
      <c r="BE4" s="2788"/>
      <c r="BF4" s="3208"/>
      <c r="BG4" s="3208"/>
      <c r="BH4" s="3123"/>
      <c r="BI4" s="3123"/>
      <c r="BJ4" s="458"/>
      <c r="BK4" s="528"/>
      <c r="BL4" s="3117"/>
      <c r="BM4" s="3209"/>
      <c r="BN4" s="3122"/>
      <c r="BO4" s="3124"/>
      <c r="BP4" s="3210"/>
      <c r="BQ4" s="3211"/>
      <c r="BR4" s="3212"/>
      <c r="BS4" s="3213"/>
      <c r="BT4" s="3214"/>
      <c r="BU4" s="3210"/>
      <c r="BV4" s="3215"/>
      <c r="BW4" s="3215"/>
      <c r="BX4" s="3216"/>
      <c r="BY4" s="3217"/>
      <c r="BZ4" s="3218"/>
      <c r="CA4" s="3219"/>
      <c r="CB4" s="3220"/>
      <c r="CC4" s="3220"/>
      <c r="CD4" s="3221"/>
      <c r="CE4" s="3221"/>
      <c r="CF4" s="3222"/>
      <c r="CG4" s="3223"/>
      <c r="CH4" s="3223"/>
      <c r="CI4" s="3223"/>
      <c r="CJ4" s="3212"/>
      <c r="CK4" s="3103"/>
      <c r="CL4" s="3103"/>
      <c r="CM4" s="3103"/>
    </row>
    <row r="5" spans="1:98" ht="31.5" customHeight="1" thickBot="1" x14ac:dyDescent="0.3">
      <c r="A5" s="2599" t="s">
        <v>2751</v>
      </c>
      <c r="B5" s="1314"/>
      <c r="C5" s="1314"/>
      <c r="D5" s="1314"/>
      <c r="E5" s="1314"/>
      <c r="F5" s="1314"/>
      <c r="G5" s="1314"/>
      <c r="H5" s="1314"/>
      <c r="I5" s="1314"/>
      <c r="J5" s="1314"/>
      <c r="K5" s="3113"/>
      <c r="L5" s="3113"/>
      <c r="M5" s="3113"/>
      <c r="N5" s="1314"/>
      <c r="O5" s="1314"/>
      <c r="P5" s="1314"/>
      <c r="Q5" s="1314"/>
      <c r="R5" s="1314"/>
      <c r="S5" s="1314"/>
      <c r="T5" s="1314"/>
      <c r="U5" s="1314"/>
      <c r="V5" s="1314"/>
      <c r="W5" s="1314"/>
      <c r="X5" s="1314"/>
      <c r="Y5" s="1314"/>
      <c r="Z5" s="1314"/>
      <c r="AA5" s="1314"/>
      <c r="AB5" s="1314"/>
      <c r="AC5" s="3113"/>
      <c r="AD5" s="4471" t="s">
        <v>1432</v>
      </c>
      <c r="AE5" s="4472"/>
      <c r="AF5" s="4472"/>
      <c r="AG5" s="4472"/>
      <c r="AH5" s="4473"/>
      <c r="AI5" s="2324"/>
      <c r="AJ5" s="1437"/>
      <c r="AK5" s="66"/>
      <c r="AL5" s="2763"/>
      <c r="AM5" s="135"/>
      <c r="AN5" s="135"/>
      <c r="AO5" s="2805"/>
      <c r="AP5" s="136"/>
      <c r="AQ5" s="136"/>
      <c r="AR5" s="136"/>
      <c r="AS5" s="136"/>
      <c r="AT5" s="3030"/>
      <c r="AU5" s="515"/>
      <c r="AV5" s="137"/>
      <c r="AW5" s="3123"/>
      <c r="AX5" s="3149"/>
      <c r="AY5" s="1314"/>
      <c r="AZ5" s="1314"/>
      <c r="BA5" s="1314"/>
      <c r="BB5" s="1401"/>
      <c r="BC5" s="1401"/>
      <c r="BD5" s="1401"/>
      <c r="BE5" s="3123"/>
      <c r="BF5" s="966"/>
      <c r="BG5" s="176"/>
      <c r="BH5" s="176"/>
      <c r="BI5" s="966"/>
      <c r="BJ5" s="3123"/>
      <c r="BK5" s="176"/>
      <c r="BL5" s="176"/>
      <c r="BM5" s="1314"/>
      <c r="BN5" s="2600"/>
      <c r="BO5" s="2600"/>
      <c r="BP5" s="1314"/>
      <c r="BQ5" s="177"/>
      <c r="BR5" s="1314"/>
      <c r="BS5" s="1314"/>
      <c r="BT5" s="1314"/>
      <c r="BU5" s="1314"/>
      <c r="BV5" s="177"/>
      <c r="BW5" s="177"/>
      <c r="BX5" s="177"/>
      <c r="BY5" s="177"/>
      <c r="BZ5" s="177"/>
      <c r="CA5" s="177"/>
      <c r="CB5" s="177"/>
      <c r="CC5" s="177"/>
      <c r="CD5" s="177"/>
      <c r="CE5" s="177"/>
      <c r="CF5" s="177"/>
      <c r="CG5" s="177"/>
      <c r="CH5" s="177"/>
      <c r="CI5" s="177"/>
      <c r="CJ5" s="177"/>
      <c r="CK5" s="177"/>
      <c r="CM5" s="1314"/>
      <c r="CN5" s="1314"/>
      <c r="CO5" s="1314"/>
      <c r="CP5" s="2770"/>
      <c r="CQ5" s="2770"/>
      <c r="CR5" s="2770"/>
      <c r="CS5" s="1314"/>
      <c r="CT5" s="3113" t="s">
        <v>1209</v>
      </c>
    </row>
    <row r="6" spans="1:98" ht="57.75" customHeight="1" thickBot="1" x14ac:dyDescent="0.3">
      <c r="A6" s="4553" t="s">
        <v>1</v>
      </c>
      <c r="B6" s="4553" t="s">
        <v>2</v>
      </c>
      <c r="C6" s="4476" t="s">
        <v>2268</v>
      </c>
      <c r="D6" s="4478" t="s">
        <v>2269</v>
      </c>
      <c r="E6" s="4480" t="s">
        <v>4</v>
      </c>
      <c r="F6" s="4480" t="s">
        <v>5</v>
      </c>
      <c r="G6" s="4557" t="s">
        <v>6</v>
      </c>
      <c r="H6" s="4559" t="s">
        <v>7</v>
      </c>
      <c r="I6" s="4604" t="s">
        <v>2592</v>
      </c>
      <c r="J6" s="4578" t="s">
        <v>2743</v>
      </c>
      <c r="K6" s="4549" t="s">
        <v>2752</v>
      </c>
      <c r="L6" s="4549" t="s">
        <v>2754</v>
      </c>
      <c r="M6" s="4549" t="s">
        <v>2756</v>
      </c>
      <c r="N6" s="4606" t="s">
        <v>2593</v>
      </c>
      <c r="O6" s="4607"/>
      <c r="P6" s="4607"/>
      <c r="Q6" s="4608"/>
      <c r="R6" s="4587" t="s">
        <v>2669</v>
      </c>
      <c r="S6" s="4587"/>
      <c r="T6" s="4588"/>
      <c r="U6" s="4507" t="s">
        <v>2670</v>
      </c>
      <c r="V6" s="4508"/>
      <c r="W6" s="4508"/>
      <c r="X6" s="4509"/>
      <c r="Y6" s="4589" t="s">
        <v>2492</v>
      </c>
      <c r="Z6" s="4590" t="s">
        <v>1483</v>
      </c>
      <c r="AA6" s="4592" t="s">
        <v>8</v>
      </c>
      <c r="AB6" s="4593"/>
      <c r="AC6" s="4609" t="s">
        <v>2698</v>
      </c>
      <c r="AD6" s="4610" t="s">
        <v>2678</v>
      </c>
      <c r="AE6" s="4488" t="s">
        <v>2246</v>
      </c>
      <c r="AF6" s="4611" t="s">
        <v>1259</v>
      </c>
      <c r="AG6" s="4488" t="s">
        <v>1260</v>
      </c>
      <c r="AH6" s="4495" t="s">
        <v>1968</v>
      </c>
      <c r="AI6" s="4597" t="s">
        <v>1261</v>
      </c>
      <c r="AJ6" s="4599" t="s">
        <v>2577</v>
      </c>
      <c r="AK6" s="4601" t="s">
        <v>11</v>
      </c>
      <c r="AL6" s="4602"/>
      <c r="AM6" s="4602"/>
      <c r="AN6" s="4603"/>
      <c r="AO6" s="2806"/>
      <c r="AP6" s="4468" t="s">
        <v>12</v>
      </c>
      <c r="AQ6" s="4469"/>
      <c r="AR6" s="4469"/>
      <c r="AS6" s="4469"/>
      <c r="AT6" s="4469"/>
      <c r="AU6" s="4470"/>
      <c r="AV6" s="3"/>
      <c r="AW6" s="4595" t="s">
        <v>1488</v>
      </c>
      <c r="AX6" s="3225" t="s">
        <v>2749</v>
      </c>
      <c r="AY6" s="3225" t="s">
        <v>2658</v>
      </c>
      <c r="AZ6" s="3167"/>
      <c r="BA6" s="3225" t="s">
        <v>2630</v>
      </c>
      <c r="BB6" s="3225" t="s">
        <v>2520</v>
      </c>
      <c r="BC6" s="3225" t="s">
        <v>2251</v>
      </c>
      <c r="BD6" s="3225" t="s">
        <v>2187</v>
      </c>
      <c r="BE6" s="3225" t="s">
        <v>1915</v>
      </c>
      <c r="BF6" s="3142" t="s">
        <v>1739</v>
      </c>
      <c r="BG6" s="3142" t="s">
        <v>1430</v>
      </c>
      <c r="BH6" s="3226" t="s">
        <v>1428</v>
      </c>
      <c r="BI6" s="3227"/>
      <c r="BJ6" s="457"/>
      <c r="BK6" s="3130" t="s">
        <v>1382</v>
      </c>
      <c r="BL6" s="3144" t="s">
        <v>843</v>
      </c>
      <c r="BM6" s="3168" t="s">
        <v>2461</v>
      </c>
      <c r="BN6" s="3168"/>
      <c r="BO6" s="3150" t="s">
        <v>2276</v>
      </c>
      <c r="BP6" s="3157" t="s">
        <v>2517</v>
      </c>
      <c r="BQ6" s="3160" t="s">
        <v>2273</v>
      </c>
      <c r="BR6" s="3155" t="s">
        <v>2282</v>
      </c>
      <c r="BS6" s="3132" t="s">
        <v>2572</v>
      </c>
      <c r="BT6" s="3147" t="s">
        <v>2518</v>
      </c>
      <c r="BU6" s="3157"/>
      <c r="BV6" s="3136" t="s">
        <v>2273</v>
      </c>
      <c r="BW6" s="3136" t="s">
        <v>2275</v>
      </c>
      <c r="BX6" s="3132" t="s">
        <v>2214</v>
      </c>
      <c r="BY6" s="3134" t="s">
        <v>2211</v>
      </c>
      <c r="BZ6" s="3136" t="s">
        <v>2213</v>
      </c>
      <c r="CA6" s="3140" t="s">
        <v>1949</v>
      </c>
      <c r="CB6" s="3138" t="s">
        <v>1865</v>
      </c>
      <c r="CC6" s="3138" t="s">
        <v>1930</v>
      </c>
      <c r="CD6" s="3138" t="s">
        <v>1725</v>
      </c>
      <c r="CE6" s="3138" t="s">
        <v>1481</v>
      </c>
      <c r="CF6" s="3154" t="s">
        <v>2245</v>
      </c>
      <c r="CG6" s="3155" t="s">
        <v>2215</v>
      </c>
      <c r="CH6" s="3155" t="s">
        <v>2216</v>
      </c>
      <c r="CI6" s="3155" t="s">
        <v>2217</v>
      </c>
      <c r="CJ6" s="3155" t="s">
        <v>2218</v>
      </c>
      <c r="CK6" s="3163" t="s">
        <v>2591</v>
      </c>
      <c r="CL6" s="3145" t="s">
        <v>2605</v>
      </c>
      <c r="CM6" s="3145" t="s">
        <v>2662</v>
      </c>
      <c r="CN6" s="3145" t="s">
        <v>2663</v>
      </c>
      <c r="CO6" s="3228" t="s">
        <v>2672</v>
      </c>
      <c r="CP6" s="3229" t="s">
        <v>2674</v>
      </c>
      <c r="CQ6" s="3229" t="s">
        <v>2699</v>
      </c>
      <c r="CR6" s="3145" t="s">
        <v>2737</v>
      </c>
      <c r="CS6" s="4549" t="s">
        <v>2752</v>
      </c>
    </row>
    <row r="7" spans="1:98" ht="54.75" customHeight="1" thickBot="1" x14ac:dyDescent="0.3">
      <c r="A7" s="4554"/>
      <c r="B7" s="4554"/>
      <c r="C7" s="4555"/>
      <c r="D7" s="4556"/>
      <c r="E7" s="4484"/>
      <c r="F7" s="4484"/>
      <c r="G7" s="4558"/>
      <c r="H7" s="4484"/>
      <c r="I7" s="4605"/>
      <c r="J7" s="4550"/>
      <c r="K7" s="4550"/>
      <c r="L7" s="4550"/>
      <c r="M7" s="4550"/>
      <c r="N7" s="2378" t="s">
        <v>1932</v>
      </c>
      <c r="O7" s="3126" t="s">
        <v>1933</v>
      </c>
      <c r="P7" s="2379" t="s">
        <v>2248</v>
      </c>
      <c r="Q7" s="3127" t="s">
        <v>2249</v>
      </c>
      <c r="R7" s="3128" t="s">
        <v>2666</v>
      </c>
      <c r="S7" s="118" t="s">
        <v>2668</v>
      </c>
      <c r="T7" s="2802" t="s">
        <v>2667</v>
      </c>
      <c r="U7" s="2809" t="s">
        <v>1932</v>
      </c>
      <c r="V7" s="2810" t="s">
        <v>1933</v>
      </c>
      <c r="W7" s="2810" t="s">
        <v>2248</v>
      </c>
      <c r="X7" s="2811" t="s">
        <v>2249</v>
      </c>
      <c r="Y7" s="4552"/>
      <c r="Z7" s="4591"/>
      <c r="AA7" s="313" t="s">
        <v>1732</v>
      </c>
      <c r="AB7" s="313" t="s">
        <v>1731</v>
      </c>
      <c r="AC7" s="4455"/>
      <c r="AD7" s="4487"/>
      <c r="AE7" s="4489"/>
      <c r="AF7" s="4498"/>
      <c r="AG7" s="4489"/>
      <c r="AH7" s="4579"/>
      <c r="AI7" s="4598"/>
      <c r="AJ7" s="4600"/>
      <c r="AK7" s="2818" t="s">
        <v>2580</v>
      </c>
      <c r="AL7" s="2819" t="s">
        <v>20</v>
      </c>
      <c r="AM7" s="2820" t="s">
        <v>2589</v>
      </c>
      <c r="AN7" s="2820" t="s">
        <v>2671</v>
      </c>
      <c r="AO7" s="2821"/>
      <c r="AP7" s="341" t="s">
        <v>21</v>
      </c>
      <c r="AQ7" s="342" t="s">
        <v>22</v>
      </c>
      <c r="AR7" s="342" t="s">
        <v>23</v>
      </c>
      <c r="AS7" s="342" t="s">
        <v>1262</v>
      </c>
      <c r="AT7" s="342" t="s">
        <v>1263</v>
      </c>
      <c r="AU7" s="3230" t="s">
        <v>2265</v>
      </c>
      <c r="AV7" s="148"/>
      <c r="AW7" s="4596"/>
      <c r="AX7" s="3162"/>
      <c r="AY7" s="3162"/>
      <c r="AZ7" s="3129"/>
      <c r="BA7" s="3162"/>
      <c r="BB7" s="3162"/>
      <c r="BC7" s="3162"/>
      <c r="BD7" s="3162"/>
      <c r="BE7" s="3162"/>
      <c r="BF7" s="3143"/>
      <c r="BG7" s="3143"/>
      <c r="BH7" s="3149" t="s">
        <v>1254</v>
      </c>
      <c r="BI7" s="3149" t="s">
        <v>1255</v>
      </c>
      <c r="BJ7" s="458" t="s">
        <v>1429</v>
      </c>
      <c r="BK7" s="3131"/>
      <c r="BL7" s="3164"/>
      <c r="BM7" s="3169"/>
      <c r="BN7" s="3169"/>
      <c r="BO7" s="3151"/>
      <c r="BP7" s="3158"/>
      <c r="BQ7" s="3161"/>
      <c r="BR7" s="3156"/>
      <c r="BS7" s="3133"/>
      <c r="BT7" s="3148"/>
      <c r="BU7" s="3158" t="s">
        <v>2349</v>
      </c>
      <c r="BV7" s="3137"/>
      <c r="BW7" s="3137"/>
      <c r="BX7" s="3133"/>
      <c r="BY7" s="3135"/>
      <c r="BZ7" s="3137"/>
      <c r="CA7" s="3141"/>
      <c r="CB7" s="3139"/>
      <c r="CC7" s="3139"/>
      <c r="CD7" s="3139"/>
      <c r="CE7" s="3139"/>
      <c r="CF7" s="3154"/>
      <c r="CG7" s="3156"/>
      <c r="CH7" s="3156"/>
      <c r="CI7" s="3156"/>
      <c r="CJ7" s="3156"/>
      <c r="CK7" s="3146"/>
      <c r="CL7" s="3146"/>
      <c r="CM7" s="3146"/>
      <c r="CN7" s="3146"/>
      <c r="CO7" s="3166"/>
      <c r="CP7" s="3165"/>
      <c r="CQ7" s="3165"/>
      <c r="CR7" s="3146"/>
      <c r="CS7" s="4550"/>
    </row>
    <row r="8" spans="1:98" ht="31.5" customHeight="1" thickBot="1" x14ac:dyDescent="0.3">
      <c r="A8" s="3195"/>
      <c r="B8" s="3195"/>
      <c r="C8" s="3114"/>
      <c r="D8" s="3118"/>
      <c r="E8" s="3117"/>
      <c r="F8" s="3196"/>
      <c r="G8" s="3197"/>
      <c r="H8" s="3117"/>
      <c r="I8" s="3119"/>
      <c r="J8" s="3198"/>
      <c r="K8" s="3198"/>
      <c r="L8" s="3198"/>
      <c r="M8" s="3110"/>
      <c r="N8" s="2378"/>
      <c r="O8" s="3126"/>
      <c r="P8" s="2379"/>
      <c r="Q8" s="3127"/>
      <c r="R8" s="2333"/>
      <c r="S8" s="118"/>
      <c r="T8" s="3120"/>
      <c r="U8" s="3199"/>
      <c r="V8" s="3199"/>
      <c r="W8" s="3199"/>
      <c r="X8" s="3199"/>
      <c r="Y8" s="3200"/>
      <c r="Z8" s="3200"/>
      <c r="AA8" s="313"/>
      <c r="AB8" s="311"/>
      <c r="AC8" s="3201"/>
      <c r="AD8" s="3114"/>
      <c r="AE8" s="3202"/>
      <c r="AF8" s="3112"/>
      <c r="AG8" s="3111"/>
      <c r="AH8" s="3203"/>
      <c r="AI8" s="3121"/>
      <c r="AJ8" s="3204"/>
      <c r="AK8" s="2441"/>
      <c r="AL8" s="344"/>
      <c r="AM8" s="440"/>
      <c r="AN8" s="3192"/>
      <c r="AO8" s="1147"/>
      <c r="AP8" s="341"/>
      <c r="AQ8" s="342"/>
      <c r="AR8" s="3205"/>
      <c r="AS8" s="3206"/>
      <c r="AT8" s="3206"/>
      <c r="AU8" s="1138"/>
      <c r="AV8" s="148"/>
      <c r="AW8" s="3125"/>
      <c r="AX8" s="2464"/>
      <c r="AY8" s="3201"/>
      <c r="AZ8" s="3201"/>
      <c r="BA8" s="3201"/>
      <c r="BB8" s="2788"/>
      <c r="BC8" s="3207"/>
      <c r="BD8" s="2788"/>
      <c r="BE8" s="3208"/>
      <c r="BF8" s="3208"/>
      <c r="BG8" s="3149"/>
      <c r="BH8" s="3149"/>
      <c r="BI8" s="458"/>
      <c r="BJ8" s="528"/>
      <c r="BK8" s="3164"/>
      <c r="BL8" s="3209"/>
      <c r="BM8" s="3159"/>
      <c r="BN8" s="3151"/>
      <c r="BO8" s="3210"/>
      <c r="BP8" s="3211"/>
      <c r="BQ8" s="3212"/>
      <c r="BR8" s="3213"/>
      <c r="BS8" s="3214"/>
      <c r="BT8" s="3210"/>
      <c r="BU8" s="3215"/>
      <c r="BV8" s="3215"/>
      <c r="BW8" s="3216"/>
      <c r="BX8" s="3217"/>
      <c r="BY8" s="3218"/>
      <c r="BZ8" s="3219"/>
      <c r="CA8" s="3220"/>
      <c r="CB8" s="3220"/>
      <c r="CC8" s="3221"/>
      <c r="CD8" s="3221"/>
      <c r="CE8" s="3222"/>
      <c r="CF8" s="3223"/>
      <c r="CG8" s="3223"/>
      <c r="CH8" s="3223"/>
      <c r="CI8" s="3212"/>
      <c r="CJ8" s="3103"/>
      <c r="CK8" s="3103"/>
      <c r="CL8" s="3103"/>
    </row>
    <row r="9" spans="1:98" ht="16.5" thickBot="1" x14ac:dyDescent="0.3">
      <c r="A9" s="2468"/>
      <c r="B9" s="2468"/>
      <c r="C9" s="2469"/>
      <c r="D9" s="2470"/>
      <c r="E9" s="2471"/>
      <c r="F9" s="2472"/>
      <c r="G9" s="2473"/>
      <c r="H9" s="2471"/>
      <c r="I9" s="2471"/>
      <c r="J9" s="2487"/>
      <c r="K9" s="2487"/>
      <c r="L9" s="2487"/>
      <c r="M9" s="2475"/>
      <c r="N9" s="2476"/>
      <c r="O9" s="2477"/>
      <c r="P9" s="2478"/>
      <c r="Q9" s="2479"/>
      <c r="R9" s="2479"/>
      <c r="S9" s="2479"/>
      <c r="T9" s="2480"/>
      <c r="U9" s="2480"/>
      <c r="V9" s="2480"/>
      <c r="W9" s="2480"/>
      <c r="X9" s="2480"/>
      <c r="Y9" s="2482"/>
      <c r="Z9" s="2482"/>
      <c r="AA9" s="2481"/>
      <c r="AB9" s="2479"/>
      <c r="AC9" s="2483"/>
      <c r="AD9" s="2469"/>
      <c r="AE9" s="2484"/>
      <c r="AF9" s="2485"/>
      <c r="AG9" s="2486"/>
      <c r="AH9" s="2472"/>
      <c r="AI9" s="2486"/>
      <c r="AJ9" s="2487"/>
      <c r="AK9" s="2488"/>
      <c r="AL9" s="2489"/>
      <c r="AM9" s="2490"/>
      <c r="AN9" s="3193"/>
      <c r="AO9" s="2491"/>
      <c r="AP9" s="2492"/>
      <c r="AQ9" s="2493"/>
      <c r="AR9" s="2494"/>
      <c r="AS9" s="2495"/>
      <c r="AT9" s="2496"/>
      <c r="AU9" s="2497"/>
      <c r="AV9" s="2496"/>
      <c r="AW9" s="2498"/>
      <c r="AX9" s="2786"/>
      <c r="AY9" s="2483"/>
      <c r="AZ9" s="2483"/>
      <c r="BA9" s="2483"/>
      <c r="BB9" s="2499"/>
      <c r="BC9" s="2500"/>
      <c r="BD9" s="2499"/>
      <c r="BE9" s="2501"/>
      <c r="BF9" s="2502"/>
      <c r="BG9" s="2503"/>
      <c r="BH9" s="2503"/>
      <c r="BI9" s="2504"/>
      <c r="BJ9" s="2497"/>
      <c r="BK9" s="2471"/>
      <c r="BL9" s="2475"/>
      <c r="BM9" s="2474"/>
      <c r="BN9" s="2474"/>
      <c r="BO9" s="2483"/>
      <c r="BP9" s="2505"/>
      <c r="BQ9" s="2483"/>
      <c r="BR9" s="2483"/>
      <c r="BS9" s="2505"/>
      <c r="BT9" s="2483"/>
      <c r="BU9" s="2506"/>
      <c r="BV9" s="2506"/>
      <c r="BW9" s="2505"/>
      <c r="BX9" s="2505"/>
      <c r="BY9" s="2505"/>
      <c r="BZ9" s="2505"/>
      <c r="CA9" s="2507"/>
      <c r="CB9" s="2507"/>
      <c r="CC9" s="2508"/>
      <c r="CD9" s="2508"/>
      <c r="CE9" s="2509"/>
      <c r="CF9" s="2499"/>
      <c r="CG9" s="2499"/>
      <c r="CH9" s="2499"/>
      <c r="CI9" s="2483"/>
    </row>
    <row r="10" spans="1:98" ht="16.5" hidden="1" thickBot="1" x14ac:dyDescent="0.3">
      <c r="A10" s="2424"/>
      <c r="B10" s="2424"/>
      <c r="C10" s="2387"/>
      <c r="D10" s="62"/>
      <c r="E10" s="2459"/>
      <c r="F10" s="2389"/>
      <c r="G10" s="2460"/>
      <c r="H10" s="2388"/>
      <c r="I10" s="2388"/>
      <c r="J10" s="2643">
        <f>BL10+BM10</f>
        <v>0</v>
      </c>
      <c r="K10" s="2643"/>
      <c r="L10" s="2643"/>
      <c r="M10" s="829"/>
      <c r="N10" s="2461"/>
      <c r="O10" s="2393"/>
      <c r="P10" s="2393"/>
      <c r="Q10" s="2392"/>
      <c r="R10" s="2392"/>
      <c r="S10" s="2392"/>
      <c r="T10" s="2393"/>
      <c r="U10" s="2393"/>
      <c r="V10" s="2393"/>
      <c r="W10" s="2393"/>
      <c r="X10" s="2393"/>
      <c r="Y10" s="2395"/>
      <c r="Z10" s="2395"/>
      <c r="AA10" s="2394"/>
      <c r="AB10" s="2392"/>
      <c r="AC10" s="1524"/>
      <c r="AD10" s="2387"/>
      <c r="AE10" s="2445"/>
      <c r="AF10" s="2444"/>
      <c r="AG10" s="2386"/>
      <c r="AH10" s="306"/>
      <c r="AI10" s="720"/>
      <c r="AJ10" s="2462"/>
      <c r="AK10" s="2463"/>
      <c r="AL10" s="518"/>
      <c r="AM10" s="510"/>
      <c r="AN10" s="1140"/>
      <c r="AO10" s="1140"/>
      <c r="AP10" s="441"/>
      <c r="AQ10" s="444"/>
      <c r="AR10" s="444"/>
      <c r="AS10" s="444"/>
      <c r="AT10" s="444"/>
      <c r="AU10" s="107"/>
      <c r="AV10" s="521"/>
      <c r="AW10" s="918"/>
      <c r="AX10" s="2787"/>
      <c r="AY10" s="2787"/>
      <c r="AZ10" s="1524"/>
      <c r="BA10" s="1524"/>
      <c r="BB10" s="309"/>
      <c r="BC10" s="308"/>
      <c r="BD10" s="1210"/>
      <c r="BE10" s="308"/>
      <c r="BF10" s="909"/>
      <c r="BG10" s="2448"/>
      <c r="BH10" s="246"/>
      <c r="BI10" s="246"/>
      <c r="BJ10" s="459"/>
      <c r="BK10" s="505"/>
      <c r="BL10" s="2459"/>
      <c r="BM10" s="184"/>
      <c r="BN10" s="113"/>
      <c r="BO10" s="113"/>
      <c r="BP10" s="2464"/>
      <c r="BQ10" s="2465"/>
      <c r="BR10" s="309"/>
      <c r="BS10" s="309"/>
      <c r="BT10" s="2465"/>
      <c r="BU10" s="309"/>
      <c r="BV10" s="2466"/>
      <c r="BW10" s="2466"/>
      <c r="BX10" s="922"/>
      <c r="BY10" s="2465"/>
      <c r="BZ10" s="922"/>
      <c r="CA10" s="922"/>
      <c r="CB10" s="1099"/>
      <c r="CC10" s="1099"/>
      <c r="CD10" s="648"/>
      <c r="CE10" s="648"/>
      <c r="CG10" s="2467"/>
      <c r="CH10" s="2467"/>
      <c r="CI10" s="309"/>
      <c r="CJ10" s="309"/>
    </row>
    <row r="11" spans="1:98" ht="16.5" hidden="1" thickBot="1" x14ac:dyDescent="0.3">
      <c r="A11" s="2424"/>
      <c r="B11" s="2424"/>
      <c r="C11" s="2387"/>
      <c r="D11" s="62"/>
      <c r="E11" s="2459"/>
      <c r="F11" s="2389"/>
      <c r="G11" s="2460"/>
      <c r="H11" s="2388"/>
      <c r="I11" s="2388"/>
      <c r="J11" s="2643">
        <f t="shared" ref="J11:J82" si="0">BL11+BM11</f>
        <v>0</v>
      </c>
      <c r="K11" s="2643"/>
      <c r="L11" s="2643"/>
      <c r="M11" s="829"/>
      <c r="N11" s="2461"/>
      <c r="O11" s="2393"/>
      <c r="P11" s="2393"/>
      <c r="Q11" s="2392"/>
      <c r="R11" s="2392"/>
      <c r="S11" s="2392"/>
      <c r="T11" s="2393"/>
      <c r="U11" s="2393"/>
      <c r="V11" s="2393"/>
      <c r="W11" s="2393"/>
      <c r="X11" s="2393"/>
      <c r="Y11" s="2395"/>
      <c r="Z11" s="2395"/>
      <c r="AA11" s="2394"/>
      <c r="AB11" s="2392"/>
      <c r="AC11" s="1524"/>
      <c r="AD11" s="2387"/>
      <c r="AE11" s="2445"/>
      <c r="AF11" s="2444"/>
      <c r="AG11" s="2386"/>
      <c r="AH11" s="306"/>
      <c r="AI11" s="720"/>
      <c r="AJ11" s="2462"/>
      <c r="AK11" s="2463"/>
      <c r="AL11" s="518"/>
      <c r="AM11" s="510"/>
      <c r="AN11" s="1140"/>
      <c r="AO11" s="1140"/>
      <c r="AP11" s="441"/>
      <c r="AQ11" s="444"/>
      <c r="AR11" s="444"/>
      <c r="AS11" s="444"/>
      <c r="AT11" s="444"/>
      <c r="AU11" s="107"/>
      <c r="AV11" s="521"/>
      <c r="AW11" s="918"/>
      <c r="AX11" s="2787"/>
      <c r="AY11" s="2787"/>
      <c r="AZ11" s="1524"/>
      <c r="BA11" s="1524"/>
      <c r="BB11" s="309"/>
      <c r="BC11" s="308"/>
      <c r="BD11" s="1210"/>
      <c r="BE11" s="308"/>
      <c r="BF11" s="909"/>
      <c r="BG11" s="2448"/>
      <c r="BH11" s="246"/>
      <c r="BI11" s="246"/>
      <c r="BJ11" s="459"/>
      <c r="BK11" s="505"/>
      <c r="BL11" s="2459"/>
      <c r="BM11" s="184"/>
      <c r="BN11" s="113"/>
      <c r="BO11" s="113"/>
      <c r="BP11" s="2464"/>
      <c r="BQ11" s="2465"/>
      <c r="BR11" s="309"/>
      <c r="BS11" s="309"/>
      <c r="BT11" s="2465"/>
      <c r="BU11" s="309"/>
      <c r="BV11" s="2466"/>
      <c r="BW11" s="2466"/>
      <c r="BX11" s="922"/>
      <c r="BY11" s="2465"/>
      <c r="BZ11" s="922"/>
      <c r="CA11" s="922"/>
      <c r="CB11" s="1099"/>
      <c r="CC11" s="1099"/>
      <c r="CD11" s="648"/>
      <c r="CE11" s="648"/>
      <c r="CG11" s="2467"/>
      <c r="CH11" s="2467"/>
      <c r="CI11" s="309"/>
      <c r="CJ11" s="309"/>
    </row>
    <row r="12" spans="1:98" ht="33" hidden="1" customHeight="1" thickBot="1" x14ac:dyDescent="0.3">
      <c r="A12" s="2310" t="s">
        <v>1209</v>
      </c>
      <c r="B12" s="2311" t="s">
        <v>1209</v>
      </c>
      <c r="C12" s="210" t="s">
        <v>1209</v>
      </c>
      <c r="D12" s="140" t="s">
        <v>1209</v>
      </c>
      <c r="E12" s="1188" t="s">
        <v>1209</v>
      </c>
      <c r="F12" s="210" t="s">
        <v>1209</v>
      </c>
      <c r="G12" s="1189" t="s">
        <v>1468</v>
      </c>
      <c r="H12" s="113">
        <f>SUM(H10:H11)</f>
        <v>0</v>
      </c>
      <c r="I12" s="113"/>
      <c r="J12" s="2643">
        <f t="shared" si="0"/>
        <v>0</v>
      </c>
      <c r="K12" s="2643">
        <f t="shared" ref="K12:K83" si="1">J12+I12</f>
        <v>0</v>
      </c>
      <c r="L12" s="2643">
        <f t="shared" ref="L12:L83" si="2">K12-H12</f>
        <v>0</v>
      </c>
      <c r="M12" s="113"/>
      <c r="N12" s="113">
        <f t="shared" ref="N12:AB12" si="3">SUM(N10:N11)</f>
        <v>0</v>
      </c>
      <c r="O12" s="113">
        <f t="shared" si="3"/>
        <v>0</v>
      </c>
      <c r="P12" s="113">
        <f t="shared" si="3"/>
        <v>0</v>
      </c>
      <c r="Q12" s="113">
        <f t="shared" si="3"/>
        <v>0</v>
      </c>
      <c r="R12" s="113">
        <f t="shared" si="3"/>
        <v>0</v>
      </c>
      <c r="S12" s="113">
        <f t="shared" si="3"/>
        <v>0</v>
      </c>
      <c r="T12" s="113">
        <f t="shared" si="3"/>
        <v>0</v>
      </c>
      <c r="U12" s="113"/>
      <c r="V12" s="113"/>
      <c r="W12" s="113"/>
      <c r="X12" s="113"/>
      <c r="Y12" s="113">
        <f>SUM(Y10:Y11)</f>
        <v>0</v>
      </c>
      <c r="Z12" s="113">
        <f>SUM(Z10:Z11)</f>
        <v>0</v>
      </c>
      <c r="AA12" s="113">
        <f t="shared" si="3"/>
        <v>0</v>
      </c>
      <c r="AB12" s="113">
        <f t="shared" si="3"/>
        <v>0</v>
      </c>
      <c r="AC12" s="165" t="s">
        <v>2522</v>
      </c>
      <c r="AD12" s="114" t="s">
        <v>1209</v>
      </c>
      <c r="AE12" s="1505" t="s">
        <v>1209</v>
      </c>
      <c r="AF12" s="114" t="s">
        <v>1209</v>
      </c>
      <c r="AG12" s="122" t="s">
        <v>1209</v>
      </c>
      <c r="AH12" s="305" t="s">
        <v>1209</v>
      </c>
      <c r="AI12" s="723" t="s">
        <v>1209</v>
      </c>
      <c r="AJ12" s="2416">
        <v>0</v>
      </c>
      <c r="AK12" s="516">
        <v>0</v>
      </c>
      <c r="AL12" s="442">
        <v>0</v>
      </c>
      <c r="AM12" s="510">
        <v>0</v>
      </c>
      <c r="AN12" s="1141"/>
      <c r="AO12" s="1141"/>
      <c r="AP12" s="441">
        <v>1</v>
      </c>
      <c r="AQ12" s="1521" t="s">
        <v>29</v>
      </c>
      <c r="AR12" s="443">
        <v>1</v>
      </c>
      <c r="AS12" s="443"/>
      <c r="AT12" s="443"/>
      <c r="AU12" s="107"/>
      <c r="AV12" s="521"/>
      <c r="AW12" s="62"/>
      <c r="AX12" s="658"/>
      <c r="AY12" s="658"/>
      <c r="AZ12" s="165" t="s">
        <v>2522</v>
      </c>
      <c r="BA12" s="165"/>
      <c r="BB12" s="165" t="s">
        <v>2254</v>
      </c>
      <c r="BC12" s="165" t="s">
        <v>2231</v>
      </c>
      <c r="BD12" s="165" t="s">
        <v>2143</v>
      </c>
      <c r="BE12" s="165" t="s">
        <v>1698</v>
      </c>
      <c r="BF12" s="165" t="s">
        <v>1698</v>
      </c>
      <c r="BG12" s="165" t="s">
        <v>1371</v>
      </c>
      <c r="BH12" s="518"/>
      <c r="BI12" s="518"/>
      <c r="BJ12" s="519"/>
      <c r="BK12" s="505"/>
      <c r="BL12" s="113">
        <f>SUM(BL10:BL11)</f>
        <v>0</v>
      </c>
      <c r="BM12" s="113">
        <f>SUM(BM10:BM11)</f>
        <v>0</v>
      </c>
      <c r="BN12" s="113">
        <f>SUM(BN10:BN11)</f>
        <v>0</v>
      </c>
      <c r="BO12" s="113">
        <f t="shared" ref="BO12:CJ12" si="4">SUM(BO10:BO11)</f>
        <v>0</v>
      </c>
      <c r="BP12" s="113">
        <f t="shared" si="4"/>
        <v>0</v>
      </c>
      <c r="BQ12" s="113">
        <f t="shared" si="4"/>
        <v>0</v>
      </c>
      <c r="BR12" s="113">
        <f t="shared" si="4"/>
        <v>0</v>
      </c>
      <c r="BS12" s="113">
        <f t="shared" si="4"/>
        <v>0</v>
      </c>
      <c r="BT12" s="113">
        <f t="shared" si="4"/>
        <v>0</v>
      </c>
      <c r="BU12" s="113">
        <f t="shared" si="4"/>
        <v>0</v>
      </c>
      <c r="BV12" s="113">
        <f t="shared" si="4"/>
        <v>0</v>
      </c>
      <c r="BW12" s="113">
        <f t="shared" si="4"/>
        <v>0</v>
      </c>
      <c r="BX12" s="113">
        <f t="shared" si="4"/>
        <v>0</v>
      </c>
      <c r="BY12" s="113">
        <f t="shared" si="4"/>
        <v>0</v>
      </c>
      <c r="BZ12" s="113">
        <f t="shared" si="4"/>
        <v>0</v>
      </c>
      <c r="CA12" s="113">
        <f t="shared" si="4"/>
        <v>0</v>
      </c>
      <c r="CB12" s="113">
        <f t="shared" si="4"/>
        <v>0</v>
      </c>
      <c r="CC12" s="113">
        <f t="shared" si="4"/>
        <v>0</v>
      </c>
      <c r="CD12" s="113">
        <f t="shared" si="4"/>
        <v>0</v>
      </c>
      <c r="CE12" s="113">
        <f t="shared" si="4"/>
        <v>0</v>
      </c>
      <c r="CF12" s="113">
        <f t="shared" si="4"/>
        <v>0</v>
      </c>
      <c r="CG12" s="113">
        <f t="shared" si="4"/>
        <v>0</v>
      </c>
      <c r="CH12" s="113">
        <f t="shared" si="4"/>
        <v>0</v>
      </c>
      <c r="CI12" s="113">
        <f t="shared" si="4"/>
        <v>0</v>
      </c>
      <c r="CJ12" s="113">
        <f t="shared" si="4"/>
        <v>0</v>
      </c>
    </row>
    <row r="13" spans="1:98" s="985" customFormat="1" ht="32.25" hidden="1" customHeight="1" thickBot="1" x14ac:dyDescent="0.3">
      <c r="A13" s="2081" t="s">
        <v>1519</v>
      </c>
      <c r="B13" s="2082" t="s">
        <v>2294</v>
      </c>
      <c r="C13" s="2083">
        <v>2019</v>
      </c>
      <c r="D13" s="2084" t="s">
        <v>1842</v>
      </c>
      <c r="E13" s="2085" t="s">
        <v>26</v>
      </c>
      <c r="F13" s="2086" t="s">
        <v>26</v>
      </c>
      <c r="G13" s="2087" t="s">
        <v>1520</v>
      </c>
      <c r="H13" s="2088">
        <v>603.32100000000003</v>
      </c>
      <c r="I13" s="2533">
        <f>H13-J13</f>
        <v>0</v>
      </c>
      <c r="J13" s="2643">
        <f t="shared" si="0"/>
        <v>603.32100000000003</v>
      </c>
      <c r="K13" s="2643">
        <f t="shared" si="1"/>
        <v>603.32100000000003</v>
      </c>
      <c r="L13" s="2643">
        <f t="shared" si="2"/>
        <v>0</v>
      </c>
      <c r="M13" s="2320"/>
      <c r="N13" s="2090">
        <v>0</v>
      </c>
      <c r="O13" s="2308">
        <v>0</v>
      </c>
      <c r="P13" s="2308">
        <v>0</v>
      </c>
      <c r="Q13" s="2309">
        <v>0</v>
      </c>
      <c r="R13" s="2334">
        <v>16.678999999999998</v>
      </c>
      <c r="S13" s="2151">
        <v>-16.678999999999998</v>
      </c>
      <c r="T13" s="2152">
        <v>0</v>
      </c>
      <c r="U13" s="2334"/>
      <c r="V13" s="2334"/>
      <c r="W13" s="2334"/>
      <c r="X13" s="2334"/>
      <c r="Y13" s="2092">
        <v>0</v>
      </c>
      <c r="Z13" s="2092">
        <v>0</v>
      </c>
      <c r="AA13" s="2093">
        <v>0</v>
      </c>
      <c r="AB13" s="2092">
        <v>0</v>
      </c>
      <c r="AC13" s="2084" t="s">
        <v>2494</v>
      </c>
      <c r="AD13" s="2084" t="s">
        <v>1329</v>
      </c>
      <c r="AE13" s="2325" t="s">
        <v>355</v>
      </c>
      <c r="AF13" s="2094" t="s">
        <v>1282</v>
      </c>
      <c r="AG13" s="2094" t="s">
        <v>1282</v>
      </c>
      <c r="AH13" s="2096" t="s">
        <v>1230</v>
      </c>
      <c r="AI13" s="2095"/>
      <c r="AJ13" s="2416">
        <v>16.678999999999974</v>
      </c>
      <c r="AK13" s="516">
        <v>0</v>
      </c>
      <c r="AL13" s="1503">
        <v>0</v>
      </c>
      <c r="AM13" s="1504">
        <v>0</v>
      </c>
      <c r="AN13" s="2200"/>
      <c r="AO13" s="2078"/>
      <c r="AP13" s="1177"/>
      <c r="AQ13" s="674" t="s">
        <v>35</v>
      </c>
      <c r="AR13" s="367">
        <v>2</v>
      </c>
      <c r="AS13" s="367">
        <v>3</v>
      </c>
      <c r="AT13" s="2104">
        <v>6</v>
      </c>
      <c r="AU13" s="2097"/>
      <c r="AV13" s="986"/>
      <c r="AW13" s="2057" t="s">
        <v>2495</v>
      </c>
      <c r="AX13" s="2057"/>
      <c r="AY13" s="2057"/>
      <c r="AZ13" s="2084" t="s">
        <v>2494</v>
      </c>
      <c r="BA13" s="2084"/>
      <c r="BB13" s="2084" t="s">
        <v>2494</v>
      </c>
      <c r="BC13" s="762" t="s">
        <v>2190</v>
      </c>
      <c r="BD13" s="762" t="s">
        <v>1287</v>
      </c>
      <c r="BE13" s="570" t="s">
        <v>1209</v>
      </c>
      <c r="BF13" s="570" t="s">
        <v>1209</v>
      </c>
      <c r="BG13" s="762"/>
      <c r="BH13" s="987"/>
      <c r="BI13" s="987"/>
      <c r="BJ13" s="2098"/>
      <c r="BK13" s="454"/>
      <c r="BL13" s="2321">
        <v>0</v>
      </c>
      <c r="BM13" s="2320">
        <v>603.32100000000003</v>
      </c>
      <c r="BN13" s="2091">
        <v>620</v>
      </c>
      <c r="BO13" s="2091">
        <v>620</v>
      </c>
      <c r="BP13" s="2312">
        <v>16.678999999999974</v>
      </c>
      <c r="BQ13" s="2089">
        <v>0</v>
      </c>
      <c r="BR13" s="2093">
        <v>620</v>
      </c>
      <c r="BS13" s="2125">
        <v>603.32100000000003</v>
      </c>
      <c r="BT13" s="54">
        <v>603.32100000000003</v>
      </c>
      <c r="BU13" s="2099"/>
      <c r="BV13" s="1875">
        <v>0</v>
      </c>
      <c r="BW13" s="1878">
        <v>0</v>
      </c>
      <c r="BX13" s="2079">
        <v>0</v>
      </c>
      <c r="BY13" s="2074"/>
      <c r="BZ13" s="2100">
        <v>0</v>
      </c>
      <c r="CA13" s="2101">
        <v>0</v>
      </c>
      <c r="CB13" s="2100">
        <v>0</v>
      </c>
      <c r="CC13" s="2101"/>
      <c r="CD13" s="2100">
        <v>0</v>
      </c>
      <c r="CE13" s="2101">
        <v>0</v>
      </c>
      <c r="CF13" s="2080"/>
      <c r="CG13" s="1879">
        <v>0</v>
      </c>
      <c r="CH13" s="2102">
        <v>0</v>
      </c>
      <c r="CI13" s="2103">
        <v>0</v>
      </c>
      <c r="CJ13" s="2103">
        <v>620</v>
      </c>
    </row>
    <row r="14" spans="1:98" s="1934" customFormat="1" ht="26.25" hidden="1" thickBot="1" x14ac:dyDescent="0.3">
      <c r="A14" s="173" t="s">
        <v>2219</v>
      </c>
      <c r="B14" s="173" t="s">
        <v>1230</v>
      </c>
      <c r="C14" s="75">
        <v>2019</v>
      </c>
      <c r="D14" s="75" t="s">
        <v>2506</v>
      </c>
      <c r="E14" s="75" t="s">
        <v>26</v>
      </c>
      <c r="F14" s="75" t="s">
        <v>26</v>
      </c>
      <c r="G14" s="2405" t="s">
        <v>2220</v>
      </c>
      <c r="H14" s="1425">
        <v>0</v>
      </c>
      <c r="I14" s="837">
        <v>0</v>
      </c>
      <c r="J14" s="85">
        <v>0</v>
      </c>
      <c r="K14" s="3101"/>
      <c r="L14" s="3101"/>
      <c r="M14" s="3101"/>
      <c r="N14" s="483">
        <v>0</v>
      </c>
      <c r="O14" s="437">
        <v>0</v>
      </c>
      <c r="P14" s="437">
        <v>0</v>
      </c>
      <c r="Q14" s="483">
        <v>0</v>
      </c>
      <c r="R14" s="2618">
        <v>50000</v>
      </c>
      <c r="S14" s="2981">
        <v>-50000</v>
      </c>
      <c r="T14" s="2986">
        <f>R14+S14</f>
        <v>0</v>
      </c>
      <c r="U14" s="542">
        <v>0</v>
      </c>
      <c r="V14" s="375">
        <v>0</v>
      </c>
      <c r="W14" s="375">
        <v>0</v>
      </c>
      <c r="X14" s="44">
        <v>0</v>
      </c>
      <c r="Y14" s="533">
        <v>0</v>
      </c>
      <c r="Z14" s="533">
        <v>0</v>
      </c>
      <c r="AA14" s="27">
        <v>0</v>
      </c>
      <c r="AB14" s="132">
        <v>0</v>
      </c>
      <c r="AC14" s="2982" t="s">
        <v>2739</v>
      </c>
      <c r="AD14" s="83" t="s">
        <v>1300</v>
      </c>
      <c r="AE14" s="379" t="s">
        <v>986</v>
      </c>
      <c r="AF14" s="1815" t="s">
        <v>1282</v>
      </c>
      <c r="AG14" s="1424" t="s">
        <v>1282</v>
      </c>
      <c r="AH14" s="76" t="s">
        <v>1230</v>
      </c>
      <c r="AI14" s="2966" t="s">
        <v>1230</v>
      </c>
      <c r="AJ14" s="1035"/>
      <c r="AK14" s="1011">
        <f>H14-I14-T14-Y14-Z14-AA14-AB14</f>
        <v>0</v>
      </c>
      <c r="AL14" s="2037">
        <f>T14-R14-S14</f>
        <v>0</v>
      </c>
      <c r="AM14" s="2967">
        <f>T14-N14-O14-P14-Q14</f>
        <v>0</v>
      </c>
      <c r="AN14" s="1938">
        <f>Y14-U14-V14-W14-X14</f>
        <v>0</v>
      </c>
      <c r="AO14" s="2968"/>
      <c r="AP14" s="1940"/>
      <c r="AQ14" s="1941" t="s">
        <v>29</v>
      </c>
      <c r="AR14" s="1942">
        <v>1</v>
      </c>
      <c r="AS14" s="1942">
        <v>5</v>
      </c>
      <c r="AT14" s="884">
        <v>8</v>
      </c>
      <c r="AU14" s="1945"/>
      <c r="AV14" s="2969"/>
      <c r="AW14" s="2041"/>
      <c r="AX14" s="2982" t="s">
        <v>2739</v>
      </c>
      <c r="AY14" s="75" t="s">
        <v>1209</v>
      </c>
      <c r="AZ14" s="75" t="s">
        <v>1209</v>
      </c>
      <c r="BA14" s="75" t="s">
        <v>1209</v>
      </c>
      <c r="BB14" s="75" t="s">
        <v>1209</v>
      </c>
      <c r="BC14" s="2970"/>
      <c r="BD14" s="2970"/>
      <c r="BE14" s="2971"/>
      <c r="BF14" s="2970"/>
      <c r="BG14" s="2045"/>
      <c r="BH14" s="2045"/>
      <c r="BI14" s="1908"/>
      <c r="BJ14" s="2972"/>
      <c r="BK14" s="837">
        <v>0</v>
      </c>
      <c r="BL14" s="837">
        <v>0</v>
      </c>
      <c r="BM14" s="837"/>
      <c r="BN14" s="2105">
        <v>0</v>
      </c>
      <c r="BO14" s="593">
        <v>0</v>
      </c>
      <c r="BP14" s="2973">
        <v>0</v>
      </c>
      <c r="BQ14" s="27">
        <v>0</v>
      </c>
      <c r="BR14" s="1374">
        <v>0</v>
      </c>
      <c r="BS14" s="1714">
        <f>BP14+BR14</f>
        <v>0</v>
      </c>
      <c r="BT14" s="27"/>
      <c r="BU14" s="2973">
        <v>0</v>
      </c>
      <c r="BV14" s="1374">
        <v>0</v>
      </c>
      <c r="BW14" s="1919"/>
      <c r="BX14" s="1993"/>
      <c r="BY14" s="2974"/>
      <c r="BZ14" s="2975"/>
      <c r="CA14" s="2976"/>
      <c r="CB14" s="2976"/>
      <c r="CC14" s="2976"/>
      <c r="CD14" s="2977"/>
      <c r="CF14" s="2978">
        <v>0</v>
      </c>
      <c r="CG14" s="2979">
        <v>0</v>
      </c>
      <c r="CH14" s="2973">
        <v>0</v>
      </c>
      <c r="CI14" s="1037">
        <v>0</v>
      </c>
      <c r="CJ14" s="1552">
        <v>0</v>
      </c>
      <c r="CK14" s="1552">
        <v>0</v>
      </c>
      <c r="CL14" s="2980">
        <v>0</v>
      </c>
      <c r="CM14" s="1552">
        <v>0</v>
      </c>
      <c r="CN14" s="2860">
        <v>0</v>
      </c>
      <c r="CO14" s="2860">
        <v>0</v>
      </c>
      <c r="CP14" s="2860">
        <v>0</v>
      </c>
      <c r="CQ14" s="1552">
        <v>0</v>
      </c>
      <c r="CR14" s="3101"/>
      <c r="CS14" s="2980"/>
      <c r="CT14" s="2765"/>
    </row>
    <row r="15" spans="1:98" s="985" customFormat="1" ht="15.75" hidden="1" customHeight="1" thickBot="1" x14ac:dyDescent="0.3">
      <c r="A15" s="2081"/>
      <c r="B15" s="2082"/>
      <c r="C15" s="2083"/>
      <c r="D15" s="2084"/>
      <c r="E15" s="2085"/>
      <c r="F15" s="2086"/>
      <c r="G15" s="2087"/>
      <c r="H15" s="2088"/>
      <c r="I15" s="2533">
        <f t="shared" ref="I15:I85" si="5">H15-J15</f>
        <v>0</v>
      </c>
      <c r="J15" s="2643">
        <f t="shared" si="0"/>
        <v>0</v>
      </c>
      <c r="K15" s="2643">
        <f t="shared" si="1"/>
        <v>0</v>
      </c>
      <c r="L15" s="2643">
        <f t="shared" si="2"/>
        <v>0</v>
      </c>
      <c r="M15" s="1878"/>
      <c r="N15" s="2090"/>
      <c r="O15" s="2454"/>
      <c r="P15" s="2454"/>
      <c r="Q15" s="2309"/>
      <c r="R15" s="2334"/>
      <c r="S15" s="2151"/>
      <c r="T15" s="2152"/>
      <c r="U15" s="2334"/>
      <c r="V15" s="2334"/>
      <c r="W15" s="2334"/>
      <c r="X15" s="2334"/>
      <c r="Y15" s="2092"/>
      <c r="Z15" s="2092"/>
      <c r="AA15" s="2093"/>
      <c r="AB15" s="2092"/>
      <c r="AC15" s="2455"/>
      <c r="AD15" s="2084"/>
      <c r="AE15" s="2456"/>
      <c r="AF15" s="2094"/>
      <c r="AG15" s="2094"/>
      <c r="AH15" s="2096"/>
      <c r="AI15" s="2166"/>
      <c r="AJ15" s="2416"/>
      <c r="AK15" s="516"/>
      <c r="AL15" s="1503"/>
      <c r="AM15" s="1504"/>
      <c r="AN15" s="2200"/>
      <c r="AO15" s="2078"/>
      <c r="AP15" s="1177"/>
      <c r="AQ15" s="674"/>
      <c r="AR15" s="367"/>
      <c r="AS15" s="367"/>
      <c r="AT15" s="2104"/>
      <c r="AU15" s="1520"/>
      <c r="AV15" s="986"/>
      <c r="AW15" s="2057"/>
      <c r="AX15" s="2193"/>
      <c r="AY15" s="2193"/>
      <c r="AZ15" s="2455"/>
      <c r="BA15" s="2455"/>
      <c r="BB15" s="2455"/>
      <c r="BC15" s="762"/>
      <c r="BD15" s="762"/>
      <c r="BE15" s="2193"/>
      <c r="BF15" s="2193"/>
      <c r="BG15" s="762"/>
      <c r="BH15" s="403"/>
      <c r="BI15" s="403"/>
      <c r="BJ15" s="1078"/>
      <c r="BK15" s="454"/>
      <c r="BL15" s="2321"/>
      <c r="BM15" s="1878"/>
      <c r="BN15" s="2091"/>
      <c r="BO15" s="2091"/>
      <c r="BP15" s="2312"/>
      <c r="BQ15" s="2320"/>
      <c r="BR15" s="2093"/>
      <c r="BS15" s="2125"/>
      <c r="BT15" s="9"/>
      <c r="BU15" s="2099"/>
      <c r="BV15" s="1875"/>
      <c r="BW15" s="1878"/>
      <c r="BX15" s="2079"/>
      <c r="BY15" s="2074"/>
      <c r="BZ15" s="2100"/>
      <c r="CA15" s="2101"/>
      <c r="CB15" s="2100"/>
      <c r="CC15" s="2101"/>
      <c r="CD15" s="2100"/>
      <c r="CE15" s="2101"/>
      <c r="CF15" s="2080"/>
      <c r="CG15" s="2457"/>
      <c r="CH15" s="2458"/>
      <c r="CI15" s="2103"/>
      <c r="CJ15" s="2103"/>
    </row>
    <row r="16" spans="1:98" ht="33" hidden="1" customHeight="1" thickBot="1" x14ac:dyDescent="0.3">
      <c r="A16" s="2310" t="s">
        <v>1209</v>
      </c>
      <c r="B16" s="2311" t="s">
        <v>1209</v>
      </c>
      <c r="C16" s="210" t="s">
        <v>1209</v>
      </c>
      <c r="D16" s="140" t="s">
        <v>1209</v>
      </c>
      <c r="E16" s="1188" t="s">
        <v>1209</v>
      </c>
      <c r="F16" s="210" t="s">
        <v>1209</v>
      </c>
      <c r="G16" s="1190" t="s">
        <v>1467</v>
      </c>
      <c r="H16" s="113">
        <f>SUM(H13:H15)</f>
        <v>603.32100000000003</v>
      </c>
      <c r="I16" s="2533">
        <f t="shared" si="5"/>
        <v>0</v>
      </c>
      <c r="J16" s="2643">
        <f t="shared" si="0"/>
        <v>603.32100000000003</v>
      </c>
      <c r="K16" s="2643">
        <f t="shared" si="1"/>
        <v>603.32100000000003</v>
      </c>
      <c r="L16" s="2643">
        <f t="shared" si="2"/>
        <v>0</v>
      </c>
      <c r="M16" s="113"/>
      <c r="N16" s="113">
        <f t="shared" ref="N16:AB16" si="6">SUM(N13:N15)</f>
        <v>0</v>
      </c>
      <c r="O16" s="113">
        <f t="shared" si="6"/>
        <v>0</v>
      </c>
      <c r="P16" s="113">
        <f t="shared" si="6"/>
        <v>0</v>
      </c>
      <c r="Q16" s="113">
        <f t="shared" si="6"/>
        <v>0</v>
      </c>
      <c r="R16" s="113">
        <f t="shared" si="6"/>
        <v>50016.678999999996</v>
      </c>
      <c r="S16" s="113">
        <f t="shared" si="6"/>
        <v>-50016.678999999996</v>
      </c>
      <c r="T16" s="113">
        <f t="shared" si="6"/>
        <v>0</v>
      </c>
      <c r="U16" s="113"/>
      <c r="V16" s="113"/>
      <c r="W16" s="113"/>
      <c r="X16" s="113"/>
      <c r="Y16" s="113">
        <f>SUM(Y13:Y15)</f>
        <v>0</v>
      </c>
      <c r="Z16" s="113">
        <f>SUM(Z13:Z15)</f>
        <v>0</v>
      </c>
      <c r="AA16" s="113">
        <f t="shared" si="6"/>
        <v>0</v>
      </c>
      <c r="AB16" s="113">
        <f t="shared" si="6"/>
        <v>0</v>
      </c>
      <c r="AC16" s="165" t="s">
        <v>2522</v>
      </c>
      <c r="AD16" s="114" t="s">
        <v>1209</v>
      </c>
      <c r="AE16" s="2327" t="s">
        <v>1209</v>
      </c>
      <c r="AF16" s="114" t="s">
        <v>1209</v>
      </c>
      <c r="AG16" s="114" t="s">
        <v>1209</v>
      </c>
      <c r="AH16" s="305" t="s">
        <v>1209</v>
      </c>
      <c r="AI16" s="723" t="s">
        <v>1209</v>
      </c>
      <c r="AJ16" s="2416">
        <v>3634.1879000000035</v>
      </c>
      <c r="AK16" s="516">
        <v>-9.9999306257814169E-7</v>
      </c>
      <c r="AL16" s="352">
        <v>-3.7267966490617255E-12</v>
      </c>
      <c r="AM16" s="514">
        <v>0</v>
      </c>
      <c r="AN16" s="1141"/>
      <c r="AO16" s="1141"/>
      <c r="AP16" s="529">
        <v>1</v>
      </c>
      <c r="AQ16" s="1518" t="s">
        <v>35</v>
      </c>
      <c r="AR16" s="340">
        <v>2</v>
      </c>
      <c r="AS16" s="340"/>
      <c r="AT16" s="340"/>
      <c r="AU16" s="1384"/>
      <c r="AV16" s="451"/>
      <c r="AW16" s="2450"/>
      <c r="AX16" s="2788"/>
      <c r="AY16" s="2788"/>
      <c r="AZ16" s="165" t="s">
        <v>2522</v>
      </c>
      <c r="BA16" s="165"/>
      <c r="BB16" s="165" t="s">
        <v>2254</v>
      </c>
      <c r="BC16" s="165" t="s">
        <v>2232</v>
      </c>
      <c r="BD16" s="165" t="s">
        <v>2144</v>
      </c>
      <c r="BE16" s="165" t="s">
        <v>1697</v>
      </c>
      <c r="BF16" s="165" t="s">
        <v>1697</v>
      </c>
      <c r="BG16" s="574" t="s">
        <v>1371</v>
      </c>
      <c r="BH16" s="66"/>
      <c r="BI16" s="66"/>
      <c r="BJ16" s="460"/>
      <c r="BK16" s="505"/>
      <c r="BL16" s="113">
        <f>SUM(BL13:BL15)</f>
        <v>0</v>
      </c>
      <c r="BM16" s="113">
        <f>SUM(BM13:BM15)</f>
        <v>603.32100000000003</v>
      </c>
      <c r="BN16" s="113">
        <f>SUM(BN13:BN15)</f>
        <v>620</v>
      </c>
      <c r="BO16" s="113">
        <f t="shared" ref="BO16:CJ16" si="7">SUM(BO13:BO15)</f>
        <v>620</v>
      </c>
      <c r="BP16" s="113">
        <f t="shared" si="7"/>
        <v>16.678999999999974</v>
      </c>
      <c r="BQ16" s="113">
        <f t="shared" si="7"/>
        <v>0</v>
      </c>
      <c r="BR16" s="113">
        <f t="shared" si="7"/>
        <v>620</v>
      </c>
      <c r="BS16" s="113">
        <f t="shared" si="7"/>
        <v>603.32100000000003</v>
      </c>
      <c r="BT16" s="113">
        <f t="shared" si="7"/>
        <v>603.32100000000003</v>
      </c>
      <c r="BU16" s="113">
        <f t="shared" si="7"/>
        <v>0</v>
      </c>
      <c r="BV16" s="113">
        <f t="shared" si="7"/>
        <v>0</v>
      </c>
      <c r="BW16" s="113">
        <f t="shared" si="7"/>
        <v>0</v>
      </c>
      <c r="BX16" s="113">
        <f t="shared" si="7"/>
        <v>0</v>
      </c>
      <c r="BY16" s="113">
        <f t="shared" si="7"/>
        <v>0</v>
      </c>
      <c r="BZ16" s="113">
        <f t="shared" si="7"/>
        <v>0</v>
      </c>
      <c r="CA16" s="113">
        <f t="shared" si="7"/>
        <v>0</v>
      </c>
      <c r="CB16" s="113">
        <f t="shared" si="7"/>
        <v>0</v>
      </c>
      <c r="CC16" s="113">
        <f t="shared" si="7"/>
        <v>0</v>
      </c>
      <c r="CD16" s="113">
        <f t="shared" si="7"/>
        <v>0</v>
      </c>
      <c r="CE16" s="113">
        <f t="shared" si="7"/>
        <v>0</v>
      </c>
      <c r="CF16" s="113">
        <f t="shared" si="7"/>
        <v>0</v>
      </c>
      <c r="CG16" s="113">
        <f t="shared" si="7"/>
        <v>0</v>
      </c>
      <c r="CH16" s="113">
        <f t="shared" si="7"/>
        <v>0</v>
      </c>
      <c r="CI16" s="113">
        <f t="shared" si="7"/>
        <v>0</v>
      </c>
      <c r="CJ16" s="113">
        <f t="shared" si="7"/>
        <v>620</v>
      </c>
    </row>
    <row r="17" spans="1:98" s="1013" customFormat="1" ht="28.5" hidden="1" customHeight="1" thickBot="1" x14ac:dyDescent="0.3">
      <c r="A17" s="173" t="s">
        <v>1267</v>
      </c>
      <c r="B17" s="190" t="s">
        <v>45</v>
      </c>
      <c r="C17" s="75">
        <v>2011</v>
      </c>
      <c r="D17" s="75" t="s">
        <v>1719</v>
      </c>
      <c r="E17" s="76" t="s">
        <v>26</v>
      </c>
      <c r="F17" s="84" t="s">
        <v>26</v>
      </c>
      <c r="G17" s="227" t="s">
        <v>46</v>
      </c>
      <c r="H17" s="25">
        <v>3833.64462</v>
      </c>
      <c r="I17" s="2533">
        <f t="shared" si="5"/>
        <v>0</v>
      </c>
      <c r="J17" s="2643">
        <f t="shared" si="0"/>
        <v>3833.64462</v>
      </c>
      <c r="K17" s="2643">
        <f t="shared" si="1"/>
        <v>3833.64462</v>
      </c>
      <c r="L17" s="2643">
        <f t="shared" si="2"/>
        <v>0</v>
      </c>
      <c r="M17" s="866"/>
      <c r="N17" s="40">
        <v>0</v>
      </c>
      <c r="O17" s="375">
        <v>0</v>
      </c>
      <c r="P17" s="375">
        <v>0</v>
      </c>
      <c r="Q17" s="26">
        <v>0</v>
      </c>
      <c r="R17" s="2335">
        <v>0</v>
      </c>
      <c r="S17" s="1450">
        <v>0</v>
      </c>
      <c r="T17" s="1463">
        <v>0</v>
      </c>
      <c r="U17" s="2337"/>
      <c r="V17" s="2337"/>
      <c r="W17" s="2337"/>
      <c r="X17" s="2337"/>
      <c r="Y17" s="26">
        <v>0</v>
      </c>
      <c r="Z17" s="26">
        <v>0</v>
      </c>
      <c r="AA17" s="27">
        <v>0</v>
      </c>
      <c r="AB17" s="26">
        <v>0</v>
      </c>
      <c r="AC17" s="143" t="s">
        <v>1209</v>
      </c>
      <c r="AD17" s="191" t="s">
        <v>1329</v>
      </c>
      <c r="AE17" s="504" t="s">
        <v>369</v>
      </c>
      <c r="AF17" s="74" t="s">
        <v>1283</v>
      </c>
      <c r="AG17" s="285" t="s">
        <v>1283</v>
      </c>
      <c r="AH17" s="415" t="s">
        <v>1230</v>
      </c>
      <c r="AI17" s="730"/>
      <c r="AJ17" s="2416">
        <v>0</v>
      </c>
      <c r="AK17" s="516">
        <v>5.6843418860808015E-14</v>
      </c>
      <c r="AL17" s="452">
        <v>0</v>
      </c>
      <c r="AM17" s="513">
        <v>0</v>
      </c>
      <c r="AN17" s="1142"/>
      <c r="AO17" s="1142"/>
      <c r="AP17" s="1050"/>
      <c r="AQ17" s="662" t="s">
        <v>1266</v>
      </c>
      <c r="AR17" s="1051">
        <v>3</v>
      </c>
      <c r="AS17" s="1051"/>
      <c r="AT17" s="662">
        <v>4</v>
      </c>
      <c r="AU17" s="434"/>
      <c r="AV17" s="435"/>
      <c r="AW17" s="75"/>
      <c r="AX17" s="143"/>
      <c r="AY17" s="143"/>
      <c r="AZ17" s="143" t="s">
        <v>1209</v>
      </c>
      <c r="BA17" s="143"/>
      <c r="BB17" s="143" t="s">
        <v>1209</v>
      </c>
      <c r="BC17" s="143" t="s">
        <v>1209</v>
      </c>
      <c r="BD17" s="143" t="s">
        <v>1209</v>
      </c>
      <c r="BE17" s="924" t="s">
        <v>1287</v>
      </c>
      <c r="BF17" s="425" t="s">
        <v>1539</v>
      </c>
      <c r="BG17" s="425" t="s">
        <v>47</v>
      </c>
      <c r="BH17" s="436">
        <v>1</v>
      </c>
      <c r="BI17" s="436">
        <v>0</v>
      </c>
      <c r="BJ17" s="497"/>
      <c r="BK17" s="1048"/>
      <c r="BL17" s="25">
        <v>3455.93102</v>
      </c>
      <c r="BM17" s="866">
        <v>377.71359999999999</v>
      </c>
      <c r="BN17" s="2124">
        <v>377.71359999999999</v>
      </c>
      <c r="BO17" s="2124">
        <v>377.71359999999999</v>
      </c>
      <c r="BP17" s="19">
        <v>0</v>
      </c>
      <c r="BQ17" s="866">
        <v>377.71359999999999</v>
      </c>
      <c r="BR17" s="27">
        <v>0</v>
      </c>
      <c r="BS17" s="866">
        <v>0</v>
      </c>
      <c r="BT17" s="54">
        <v>377.71359999999999</v>
      </c>
      <c r="BU17" s="44"/>
      <c r="BV17" s="1482">
        <v>377.71359999999999</v>
      </c>
      <c r="BW17" s="866">
        <v>0</v>
      </c>
      <c r="BX17" s="20">
        <v>377.71359999999999</v>
      </c>
      <c r="BY17" s="655"/>
      <c r="BZ17" s="1195">
        <v>377.71359999999999</v>
      </c>
      <c r="CA17" s="1119">
        <v>377.71359999999999</v>
      </c>
      <c r="CB17" s="984">
        <v>377.71359999999999</v>
      </c>
      <c r="CC17" s="984"/>
      <c r="CD17" s="1052">
        <v>0</v>
      </c>
      <c r="CE17" s="418">
        <v>0</v>
      </c>
      <c r="CG17" s="374">
        <v>0</v>
      </c>
      <c r="CH17" s="374">
        <v>377.71359999999999</v>
      </c>
      <c r="CI17" s="1037">
        <v>0</v>
      </c>
      <c r="CJ17" s="1037">
        <v>0</v>
      </c>
    </row>
    <row r="18" spans="1:98" s="1013" customFormat="1" ht="26.25" hidden="1" thickBot="1" x14ac:dyDescent="0.3">
      <c r="A18" s="82" t="s">
        <v>1270</v>
      </c>
      <c r="B18" s="283" t="s">
        <v>1230</v>
      </c>
      <c r="C18" s="78">
        <v>2018</v>
      </c>
      <c r="D18" s="275" t="s">
        <v>1268</v>
      </c>
      <c r="E18" s="79" t="s">
        <v>26</v>
      </c>
      <c r="F18" s="79" t="s">
        <v>26</v>
      </c>
      <c r="G18" s="1434" t="s">
        <v>62</v>
      </c>
      <c r="H18" s="293">
        <v>0</v>
      </c>
      <c r="I18" s="2533">
        <f t="shared" si="5"/>
        <v>0</v>
      </c>
      <c r="J18" s="2643">
        <f t="shared" si="0"/>
        <v>0</v>
      </c>
      <c r="K18" s="2643">
        <f t="shared" si="1"/>
        <v>0</v>
      </c>
      <c r="L18" s="2643">
        <f t="shared" si="2"/>
        <v>0</v>
      </c>
      <c r="M18" s="1439"/>
      <c r="N18" s="2360">
        <v>0</v>
      </c>
      <c r="O18" s="1511">
        <v>0</v>
      </c>
      <c r="P18" s="1511">
        <v>0</v>
      </c>
      <c r="Q18" s="1512">
        <v>0</v>
      </c>
      <c r="R18" s="2336">
        <v>0</v>
      </c>
      <c r="S18" s="1453">
        <v>0</v>
      </c>
      <c r="T18" s="1464">
        <v>0</v>
      </c>
      <c r="U18" s="2336"/>
      <c r="V18" s="2336"/>
      <c r="W18" s="2336"/>
      <c r="X18" s="2336"/>
      <c r="Y18" s="295">
        <v>0</v>
      </c>
      <c r="Z18" s="295">
        <v>0</v>
      </c>
      <c r="AA18" s="1509">
        <v>0</v>
      </c>
      <c r="AB18" s="1512">
        <v>0</v>
      </c>
      <c r="AC18" s="1234" t="s">
        <v>2285</v>
      </c>
      <c r="AD18" s="1435" t="s">
        <v>1300</v>
      </c>
      <c r="AE18" s="1514" t="s">
        <v>355</v>
      </c>
      <c r="AF18" s="1513" t="s">
        <v>1282</v>
      </c>
      <c r="AG18" s="1513" t="s">
        <v>1282</v>
      </c>
      <c r="AH18" s="681" t="s">
        <v>1230</v>
      </c>
      <c r="AI18" s="1089"/>
      <c r="AJ18" s="2416">
        <v>0</v>
      </c>
      <c r="AK18" s="516">
        <v>0</v>
      </c>
      <c r="AL18" s="1054">
        <v>0</v>
      </c>
      <c r="AM18" s="1056">
        <v>0</v>
      </c>
      <c r="AN18" s="1143"/>
      <c r="AO18" s="1143"/>
      <c r="AP18" s="1906"/>
      <c r="AQ18" s="675" t="s">
        <v>1266</v>
      </c>
      <c r="AR18" s="1907">
        <v>3</v>
      </c>
      <c r="AS18" s="1907"/>
      <c r="AT18" s="1239">
        <v>6</v>
      </c>
      <c r="AU18" s="1406"/>
      <c r="AV18" s="435"/>
      <c r="AW18" s="78"/>
      <c r="AX18" s="166"/>
      <c r="AY18" s="166"/>
      <c r="AZ18" s="1234" t="s">
        <v>2285</v>
      </c>
      <c r="BA18" s="1234"/>
      <c r="BB18" s="1234" t="s">
        <v>2285</v>
      </c>
      <c r="BC18" s="1234" t="s">
        <v>1209</v>
      </c>
      <c r="BD18" s="1234" t="s">
        <v>1209</v>
      </c>
      <c r="BE18" s="689" t="s">
        <v>1209</v>
      </c>
      <c r="BF18" s="689" t="s">
        <v>1209</v>
      </c>
      <c r="BG18" s="689" t="s">
        <v>1209</v>
      </c>
      <c r="BH18" s="755">
        <v>0</v>
      </c>
      <c r="BI18" s="755">
        <v>1</v>
      </c>
      <c r="BJ18" s="1908"/>
      <c r="BK18" s="672"/>
      <c r="BL18" s="2108">
        <v>0</v>
      </c>
      <c r="BM18" s="1439">
        <v>0</v>
      </c>
      <c r="BN18" s="2122">
        <v>0</v>
      </c>
      <c r="BO18" s="2122">
        <v>0</v>
      </c>
      <c r="BP18" s="593">
        <v>0</v>
      </c>
      <c r="BQ18" s="2106">
        <v>0</v>
      </c>
      <c r="BR18" s="1509">
        <v>0</v>
      </c>
      <c r="BS18" s="1439">
        <v>0</v>
      </c>
      <c r="BT18" s="54">
        <v>0</v>
      </c>
      <c r="BU18" s="1510"/>
      <c r="BV18" s="1484">
        <v>0</v>
      </c>
      <c r="BW18" s="1439">
        <v>0</v>
      </c>
      <c r="BX18" s="293">
        <v>0</v>
      </c>
      <c r="BY18" s="1508"/>
      <c r="BZ18" s="1909">
        <v>0</v>
      </c>
      <c r="CA18" s="1909">
        <v>0</v>
      </c>
      <c r="CB18" s="1909">
        <v>0</v>
      </c>
      <c r="CC18" s="1909"/>
      <c r="CD18" s="1909">
        <v>0</v>
      </c>
      <c r="CE18" s="684">
        <v>0</v>
      </c>
      <c r="CF18" s="1910"/>
      <c r="CG18" s="792">
        <v>0</v>
      </c>
      <c r="CH18" s="792">
        <v>0</v>
      </c>
      <c r="CI18" s="1232">
        <v>0</v>
      </c>
      <c r="CJ18" s="1232">
        <v>0</v>
      </c>
    </row>
    <row r="19" spans="1:98" s="985" customFormat="1" ht="51.75" hidden="1" thickBot="1" x14ac:dyDescent="0.3">
      <c r="A19" s="300" t="s">
        <v>1271</v>
      </c>
      <c r="B19" s="1549" t="s">
        <v>1272</v>
      </c>
      <c r="C19" s="301">
        <v>2019</v>
      </c>
      <c r="D19" s="75" t="s">
        <v>1265</v>
      </c>
      <c r="E19" s="1550" t="s">
        <v>26</v>
      </c>
      <c r="F19" s="1550" t="s">
        <v>26</v>
      </c>
      <c r="G19" s="1551" t="s">
        <v>63</v>
      </c>
      <c r="H19" s="85">
        <v>327.30500000000001</v>
      </c>
      <c r="I19" s="2533">
        <f t="shared" si="5"/>
        <v>0</v>
      </c>
      <c r="J19" s="2643">
        <f t="shared" si="0"/>
        <v>327.30500000000001</v>
      </c>
      <c r="K19" s="2643">
        <f t="shared" si="1"/>
        <v>327.30500000000001</v>
      </c>
      <c r="L19" s="2643">
        <f t="shared" si="2"/>
        <v>0</v>
      </c>
      <c r="M19" s="1438"/>
      <c r="N19" s="91">
        <v>0</v>
      </c>
      <c r="O19" s="1553">
        <v>0</v>
      </c>
      <c r="P19" s="1553">
        <v>0</v>
      </c>
      <c r="Q19" s="46">
        <v>0</v>
      </c>
      <c r="R19" s="2335">
        <v>0</v>
      </c>
      <c r="S19" s="1452">
        <v>0</v>
      </c>
      <c r="T19" s="1463">
        <v>0</v>
      </c>
      <c r="U19" s="2337"/>
      <c r="V19" s="2337"/>
      <c r="W19" s="2337"/>
      <c r="X19" s="2337"/>
      <c r="Y19" s="1555">
        <v>0</v>
      </c>
      <c r="Z19" s="1555">
        <v>0</v>
      </c>
      <c r="AA19" s="1554">
        <v>0</v>
      </c>
      <c r="AB19" s="1555">
        <v>0</v>
      </c>
      <c r="AC19" s="83" t="s">
        <v>1827</v>
      </c>
      <c r="AD19" s="1556" t="s">
        <v>1329</v>
      </c>
      <c r="AE19" s="1649" t="s">
        <v>355</v>
      </c>
      <c r="AF19" s="476" t="s">
        <v>1283</v>
      </c>
      <c r="AG19" s="476" t="s">
        <v>1283</v>
      </c>
      <c r="AH19" s="1558" t="s">
        <v>1230</v>
      </c>
      <c r="AI19" s="1557"/>
      <c r="AJ19" s="2416">
        <v>0</v>
      </c>
      <c r="AK19" s="516">
        <v>0</v>
      </c>
      <c r="AL19" s="1320">
        <v>0</v>
      </c>
      <c r="AM19" s="512">
        <v>0</v>
      </c>
      <c r="AN19" s="1171"/>
      <c r="AO19" s="1171"/>
      <c r="AP19" s="1321"/>
      <c r="AQ19" s="674" t="s">
        <v>1266</v>
      </c>
      <c r="AR19" s="1323">
        <v>3</v>
      </c>
      <c r="AS19" s="1323">
        <v>1</v>
      </c>
      <c r="AT19" s="674">
        <v>6</v>
      </c>
      <c r="AU19" s="366"/>
      <c r="AV19" s="1559"/>
      <c r="AW19" s="1560"/>
      <c r="AX19" s="1523"/>
      <c r="AY19" s="1523"/>
      <c r="AZ19" s="83" t="s">
        <v>1827</v>
      </c>
      <c r="BA19" s="83"/>
      <c r="BB19" s="83" t="s">
        <v>1827</v>
      </c>
      <c r="BC19" s="83" t="s">
        <v>2162</v>
      </c>
      <c r="BD19" s="1523" t="s">
        <v>2162</v>
      </c>
      <c r="BE19" s="1561" t="s">
        <v>1827</v>
      </c>
      <c r="BF19" s="1561" t="s">
        <v>64</v>
      </c>
      <c r="BG19" s="1561" t="s">
        <v>64</v>
      </c>
      <c r="BH19" s="1562">
        <v>1</v>
      </c>
      <c r="BI19" s="1562">
        <v>0</v>
      </c>
      <c r="BJ19" s="1563"/>
      <c r="BK19" s="1325"/>
      <c r="BL19" s="85">
        <v>0</v>
      </c>
      <c r="BM19" s="1438">
        <v>327.30500000000001</v>
      </c>
      <c r="BN19" s="2124">
        <v>327.30500000000001</v>
      </c>
      <c r="BO19" s="2124">
        <v>327.30500000000001</v>
      </c>
      <c r="BP19" s="593">
        <v>0</v>
      </c>
      <c r="BQ19" s="1438">
        <v>0</v>
      </c>
      <c r="BR19" s="45">
        <v>327.30500000000001</v>
      </c>
      <c r="BS19" s="866">
        <v>327.30500000000001</v>
      </c>
      <c r="BT19" s="54">
        <v>327.30500000000001</v>
      </c>
      <c r="BU19" s="1452"/>
      <c r="BV19" s="1483">
        <v>0</v>
      </c>
      <c r="BW19" s="1438">
        <v>0</v>
      </c>
      <c r="BX19" s="1564">
        <v>0</v>
      </c>
      <c r="BY19" s="1565"/>
      <c r="BZ19" s="1566">
        <v>0</v>
      </c>
      <c r="CA19" s="1567">
        <v>0</v>
      </c>
      <c r="CB19" s="1568">
        <v>0</v>
      </c>
      <c r="CC19" s="1568"/>
      <c r="CD19" s="1568">
        <v>0</v>
      </c>
      <c r="CE19" s="1569">
        <v>0</v>
      </c>
      <c r="CF19" s="985">
        <v>11</v>
      </c>
      <c r="CG19" s="1417">
        <v>0</v>
      </c>
      <c r="CH19" s="1417">
        <v>0</v>
      </c>
      <c r="CI19" s="1018">
        <v>0</v>
      </c>
      <c r="CJ19" s="1018">
        <v>327.30500000000001</v>
      </c>
    </row>
    <row r="20" spans="1:98" s="985" customFormat="1" ht="53.25" hidden="1" customHeight="1" thickBot="1" x14ac:dyDescent="0.3">
      <c r="A20" s="173" t="s">
        <v>1273</v>
      </c>
      <c r="B20" s="1432" t="s">
        <v>1521</v>
      </c>
      <c r="C20" s="75">
        <v>2019</v>
      </c>
      <c r="D20" s="75" t="s">
        <v>1265</v>
      </c>
      <c r="E20" s="76" t="s">
        <v>26</v>
      </c>
      <c r="F20" s="76" t="s">
        <v>26</v>
      </c>
      <c r="G20" s="270" t="s">
        <v>65</v>
      </c>
      <c r="H20" s="590">
        <v>459.79999999999995</v>
      </c>
      <c r="I20" s="2533">
        <f t="shared" si="5"/>
        <v>0</v>
      </c>
      <c r="J20" s="2643">
        <f t="shared" si="0"/>
        <v>459.8</v>
      </c>
      <c r="K20" s="2643">
        <f t="shared" si="1"/>
        <v>459.8</v>
      </c>
      <c r="L20" s="2643">
        <f t="shared" si="2"/>
        <v>0</v>
      </c>
      <c r="M20" s="1438"/>
      <c r="N20" s="91">
        <v>0</v>
      </c>
      <c r="O20" s="375">
        <v>0</v>
      </c>
      <c r="P20" s="375">
        <v>0</v>
      </c>
      <c r="Q20" s="46">
        <v>0</v>
      </c>
      <c r="R20" s="2337">
        <v>0</v>
      </c>
      <c r="S20" s="1452">
        <v>0</v>
      </c>
      <c r="T20" s="1463">
        <v>0</v>
      </c>
      <c r="U20" s="2337"/>
      <c r="V20" s="2337"/>
      <c r="W20" s="2337"/>
      <c r="X20" s="2337"/>
      <c r="Y20" s="46">
        <v>0</v>
      </c>
      <c r="Z20" s="46">
        <v>0</v>
      </c>
      <c r="AA20" s="45">
        <v>0</v>
      </c>
      <c r="AB20" s="46">
        <v>0</v>
      </c>
      <c r="AC20" s="150" t="s">
        <v>66</v>
      </c>
      <c r="AD20" s="191" t="s">
        <v>1329</v>
      </c>
      <c r="AE20" s="504" t="s">
        <v>2071</v>
      </c>
      <c r="AF20" s="285" t="s">
        <v>1283</v>
      </c>
      <c r="AG20" s="285" t="s">
        <v>1283</v>
      </c>
      <c r="AH20" s="415" t="s">
        <v>1230</v>
      </c>
      <c r="AI20" s="730"/>
      <c r="AJ20" s="2416">
        <v>0</v>
      </c>
      <c r="AK20" s="516">
        <v>-5.6843418860808015E-14</v>
      </c>
      <c r="AL20" s="1320">
        <v>0</v>
      </c>
      <c r="AM20" s="512">
        <v>0</v>
      </c>
      <c r="AN20" s="1171"/>
      <c r="AO20" s="1171"/>
      <c r="AP20" s="1321"/>
      <c r="AQ20" s="674" t="s">
        <v>1266</v>
      </c>
      <c r="AR20" s="1323">
        <v>3</v>
      </c>
      <c r="AS20" s="1323">
        <v>1</v>
      </c>
      <c r="AT20" s="674">
        <v>5</v>
      </c>
      <c r="AU20" s="366"/>
      <c r="AV20" s="455"/>
      <c r="AW20" s="979"/>
      <c r="AX20" s="570"/>
      <c r="AY20" s="570"/>
      <c r="AZ20" s="150" t="s">
        <v>66</v>
      </c>
      <c r="BA20" s="150"/>
      <c r="BB20" s="150" t="s">
        <v>66</v>
      </c>
      <c r="BC20" s="150" t="s">
        <v>2161</v>
      </c>
      <c r="BD20" s="570" t="s">
        <v>2161</v>
      </c>
      <c r="BE20" s="924" t="s">
        <v>66</v>
      </c>
      <c r="BF20" s="924" t="s">
        <v>66</v>
      </c>
      <c r="BG20" s="924" t="s">
        <v>66</v>
      </c>
      <c r="BH20" s="403">
        <v>1</v>
      </c>
      <c r="BI20" s="403">
        <v>0</v>
      </c>
      <c r="BJ20" s="983"/>
      <c r="BK20" s="1325"/>
      <c r="BL20" s="590">
        <v>0</v>
      </c>
      <c r="BM20" s="1438">
        <v>459.8</v>
      </c>
      <c r="BN20" s="2105">
        <v>459.79999999999995</v>
      </c>
      <c r="BO20" s="2105">
        <v>459.79999999999995</v>
      </c>
      <c r="BP20" s="593">
        <v>0</v>
      </c>
      <c r="BQ20" s="1438">
        <v>459.8</v>
      </c>
      <c r="BR20" s="45">
        <v>0</v>
      </c>
      <c r="BS20" s="1438">
        <v>0</v>
      </c>
      <c r="BT20" s="54">
        <v>459.8</v>
      </c>
      <c r="BU20" s="86"/>
      <c r="BV20" s="1483">
        <v>459.8</v>
      </c>
      <c r="BW20" s="1438">
        <v>0</v>
      </c>
      <c r="BX20" s="980">
        <v>459.8</v>
      </c>
      <c r="BY20" s="1336"/>
      <c r="BZ20" s="1335">
        <v>459.8</v>
      </c>
      <c r="CA20" s="1337">
        <v>459.8</v>
      </c>
      <c r="CB20" s="1338">
        <v>0</v>
      </c>
      <c r="CC20" s="1338"/>
      <c r="CD20" s="1338">
        <v>0</v>
      </c>
      <c r="CE20" s="1339">
        <v>0</v>
      </c>
      <c r="CF20" s="985">
        <v>9</v>
      </c>
      <c r="CG20" s="1417">
        <v>0</v>
      </c>
      <c r="CH20" s="1417">
        <v>0</v>
      </c>
      <c r="CI20" s="1018">
        <v>459.8</v>
      </c>
      <c r="CJ20" s="1037">
        <v>0</v>
      </c>
    </row>
    <row r="21" spans="1:98" s="985" customFormat="1" ht="60.75" hidden="1" customHeight="1" thickBot="1" x14ac:dyDescent="0.3">
      <c r="A21" s="1534" t="s">
        <v>1274</v>
      </c>
      <c r="B21" s="1535" t="s">
        <v>1275</v>
      </c>
      <c r="C21" s="979">
        <v>2019</v>
      </c>
      <c r="D21" s="979" t="s">
        <v>1265</v>
      </c>
      <c r="E21" s="1536" t="s">
        <v>26</v>
      </c>
      <c r="F21" s="1249" t="s">
        <v>26</v>
      </c>
      <c r="G21" s="1537" t="s">
        <v>67</v>
      </c>
      <c r="H21" s="980">
        <v>5432.9</v>
      </c>
      <c r="I21" s="2533">
        <f t="shared" si="5"/>
        <v>0</v>
      </c>
      <c r="J21" s="2643">
        <f t="shared" si="0"/>
        <v>5432.9</v>
      </c>
      <c r="K21" s="2643">
        <f t="shared" si="1"/>
        <v>5432.9</v>
      </c>
      <c r="L21" s="2643">
        <f t="shared" si="2"/>
        <v>0</v>
      </c>
      <c r="M21" s="1376"/>
      <c r="N21" s="1585">
        <v>0</v>
      </c>
      <c r="O21" s="1541">
        <v>0</v>
      </c>
      <c r="P21" s="1541">
        <v>0</v>
      </c>
      <c r="Q21" s="1542">
        <v>0</v>
      </c>
      <c r="R21" s="2338">
        <v>67.100000000000364</v>
      </c>
      <c r="S21" s="1544">
        <v>-67.100000000000364</v>
      </c>
      <c r="T21" s="1545">
        <v>0</v>
      </c>
      <c r="U21" s="2341"/>
      <c r="V21" s="2341"/>
      <c r="W21" s="2341"/>
      <c r="X21" s="2341"/>
      <c r="Y21" s="1542">
        <v>0</v>
      </c>
      <c r="Z21" s="1542">
        <v>0</v>
      </c>
      <c r="AA21" s="1539">
        <v>0</v>
      </c>
      <c r="AB21" s="1542">
        <v>0</v>
      </c>
      <c r="AC21" s="569" t="s">
        <v>2351</v>
      </c>
      <c r="AD21" s="1570" t="s">
        <v>1329</v>
      </c>
      <c r="AE21" s="1677" t="s">
        <v>355</v>
      </c>
      <c r="AF21" s="1571" t="s">
        <v>1283</v>
      </c>
      <c r="AG21" s="1571" t="s">
        <v>1283</v>
      </c>
      <c r="AH21" s="1547" t="s">
        <v>1230</v>
      </c>
      <c r="AI21" s="1546"/>
      <c r="AJ21" s="2416">
        <v>67.100000000000364</v>
      </c>
      <c r="AK21" s="516">
        <v>0</v>
      </c>
      <c r="AL21" s="1320">
        <v>0</v>
      </c>
      <c r="AM21" s="512">
        <v>0</v>
      </c>
      <c r="AN21" s="1171"/>
      <c r="AO21" s="1171"/>
      <c r="AP21" s="1321"/>
      <c r="AQ21" s="674" t="s">
        <v>1266</v>
      </c>
      <c r="AR21" s="1323">
        <v>3</v>
      </c>
      <c r="AS21" s="1323">
        <v>1</v>
      </c>
      <c r="AT21" s="674">
        <v>6</v>
      </c>
      <c r="AU21" s="366"/>
      <c r="AV21" s="455"/>
      <c r="AW21" s="979"/>
      <c r="AX21" s="569"/>
      <c r="AY21" s="569"/>
      <c r="AZ21" s="569" t="s">
        <v>2351</v>
      </c>
      <c r="BA21" s="569"/>
      <c r="BB21" s="569" t="s">
        <v>2351</v>
      </c>
      <c r="BC21" s="982" t="s">
        <v>2160</v>
      </c>
      <c r="BD21" s="982" t="s">
        <v>2160</v>
      </c>
      <c r="BE21" s="924" t="s">
        <v>68</v>
      </c>
      <c r="BF21" s="924" t="s">
        <v>68</v>
      </c>
      <c r="BG21" s="924" t="s">
        <v>68</v>
      </c>
      <c r="BH21" s="403">
        <v>1</v>
      </c>
      <c r="BI21" s="403">
        <v>0</v>
      </c>
      <c r="BJ21" s="983"/>
      <c r="BK21" s="1325"/>
      <c r="BL21" s="980">
        <v>0</v>
      </c>
      <c r="BM21" s="1376">
        <v>5432.9</v>
      </c>
      <c r="BN21" s="2112">
        <v>5500</v>
      </c>
      <c r="BO21" s="2112">
        <v>5500</v>
      </c>
      <c r="BP21" s="2312">
        <v>67.100000000000364</v>
      </c>
      <c r="BQ21" s="1376">
        <v>0</v>
      </c>
      <c r="BR21" s="1539">
        <v>5500</v>
      </c>
      <c r="BS21" s="1376">
        <v>5432.9</v>
      </c>
      <c r="BT21" s="54">
        <v>5432.9</v>
      </c>
      <c r="BU21" s="1540"/>
      <c r="BV21" s="1538">
        <v>0</v>
      </c>
      <c r="BW21" s="1376">
        <v>0</v>
      </c>
      <c r="BX21" s="980">
        <v>0</v>
      </c>
      <c r="BY21" s="1378"/>
      <c r="BZ21" s="1338">
        <v>0</v>
      </c>
      <c r="CA21" s="1338">
        <v>0</v>
      </c>
      <c r="CB21" s="1338">
        <v>0</v>
      </c>
      <c r="CC21" s="1338"/>
      <c r="CD21" s="1338">
        <v>0</v>
      </c>
      <c r="CE21" s="1339">
        <v>0</v>
      </c>
      <c r="CF21" s="985">
        <v>9</v>
      </c>
      <c r="CG21" s="1253">
        <v>0</v>
      </c>
      <c r="CH21" s="1253">
        <v>0</v>
      </c>
      <c r="CI21" s="1548">
        <v>0</v>
      </c>
      <c r="CJ21" s="1548">
        <v>5500</v>
      </c>
    </row>
    <row r="22" spans="1:98" s="985" customFormat="1" ht="41.25" hidden="1" customHeight="1" thickBot="1" x14ac:dyDescent="0.3">
      <c r="A22" s="173" t="s">
        <v>1276</v>
      </c>
      <c r="B22" s="1432" t="s">
        <v>1277</v>
      </c>
      <c r="C22" s="75">
        <v>2019</v>
      </c>
      <c r="D22" s="75" t="s">
        <v>1265</v>
      </c>
      <c r="E22" s="76" t="s">
        <v>26</v>
      </c>
      <c r="F22" s="76" t="s">
        <v>26</v>
      </c>
      <c r="G22" s="270" t="s">
        <v>69</v>
      </c>
      <c r="H22" s="418">
        <v>1556.06</v>
      </c>
      <c r="I22" s="2533">
        <f t="shared" si="5"/>
        <v>0</v>
      </c>
      <c r="J22" s="2643">
        <f t="shared" si="0"/>
        <v>1556.06</v>
      </c>
      <c r="K22" s="2643">
        <f t="shared" si="1"/>
        <v>1556.06</v>
      </c>
      <c r="L22" s="2643">
        <f t="shared" si="2"/>
        <v>0</v>
      </c>
      <c r="M22" s="866"/>
      <c r="N22" s="836">
        <v>0</v>
      </c>
      <c r="O22" s="546">
        <v>0</v>
      </c>
      <c r="P22" s="546">
        <v>0</v>
      </c>
      <c r="Q22" s="848">
        <v>0</v>
      </c>
      <c r="R22" s="2335">
        <v>0</v>
      </c>
      <c r="S22" s="1450">
        <v>0</v>
      </c>
      <c r="T22" s="1462">
        <v>0</v>
      </c>
      <c r="U22" s="2335"/>
      <c r="V22" s="2335"/>
      <c r="W22" s="2335"/>
      <c r="X22" s="2335"/>
      <c r="Y22" s="848">
        <v>0</v>
      </c>
      <c r="Z22" s="848">
        <v>0</v>
      </c>
      <c r="AA22" s="420">
        <v>0</v>
      </c>
      <c r="AB22" s="848">
        <v>0</v>
      </c>
      <c r="AC22" s="425" t="s">
        <v>2286</v>
      </c>
      <c r="AD22" s="1516" t="s">
        <v>1329</v>
      </c>
      <c r="AE22" s="2328" t="s">
        <v>37</v>
      </c>
      <c r="AF22" s="1517" t="s">
        <v>1283</v>
      </c>
      <c r="AG22" s="1517" t="s">
        <v>1283</v>
      </c>
      <c r="AH22" s="415" t="s">
        <v>1230</v>
      </c>
      <c r="AI22" s="730"/>
      <c r="AJ22" s="2416">
        <v>0</v>
      </c>
      <c r="AK22" s="516">
        <v>0</v>
      </c>
      <c r="AL22" s="1320">
        <v>0</v>
      </c>
      <c r="AM22" s="512">
        <v>0</v>
      </c>
      <c r="AN22" s="1171"/>
      <c r="AO22" s="1171"/>
      <c r="AP22" s="1321"/>
      <c r="AQ22" s="674" t="s">
        <v>1266</v>
      </c>
      <c r="AR22" s="1323">
        <v>3</v>
      </c>
      <c r="AS22" s="1323">
        <v>1</v>
      </c>
      <c r="AT22" s="674">
        <v>6</v>
      </c>
      <c r="AU22" s="366"/>
      <c r="AV22" s="455"/>
      <c r="AW22" s="979"/>
      <c r="AX22" s="982"/>
      <c r="AY22" s="982"/>
      <c r="AZ22" s="425" t="s">
        <v>2286</v>
      </c>
      <c r="BA22" s="425"/>
      <c r="BB22" s="425" t="s">
        <v>2286</v>
      </c>
      <c r="BC22" s="143" t="s">
        <v>2159</v>
      </c>
      <c r="BD22" s="982" t="s">
        <v>2159</v>
      </c>
      <c r="BE22" s="982" t="s">
        <v>1735</v>
      </c>
      <c r="BF22" s="1924" t="s">
        <v>1522</v>
      </c>
      <c r="BG22" s="924" t="s">
        <v>70</v>
      </c>
      <c r="BH22" s="403">
        <v>1</v>
      </c>
      <c r="BI22" s="403">
        <v>0</v>
      </c>
      <c r="BJ22" s="983"/>
      <c r="BK22" s="1325"/>
      <c r="BL22" s="418">
        <v>0</v>
      </c>
      <c r="BM22" s="866">
        <v>1556.06</v>
      </c>
      <c r="BN22" s="2105">
        <v>1556.06</v>
      </c>
      <c r="BO22" s="2105">
        <v>1556.06</v>
      </c>
      <c r="BP22" s="593">
        <v>0</v>
      </c>
      <c r="BQ22" s="2107">
        <v>486.42</v>
      </c>
      <c r="BR22" s="27">
        <v>1069.6400000000001</v>
      </c>
      <c r="BS22" s="1438">
        <v>1069.6399999999999</v>
      </c>
      <c r="BT22" s="54">
        <v>1556.06</v>
      </c>
      <c r="BU22" s="1452"/>
      <c r="BV22" s="1482">
        <v>486.42</v>
      </c>
      <c r="BW22" s="866">
        <v>0</v>
      </c>
      <c r="BX22" s="980">
        <v>486.42</v>
      </c>
      <c r="BY22" s="1925"/>
      <c r="BZ22" s="1337">
        <v>486.42</v>
      </c>
      <c r="CA22" s="1337">
        <v>0</v>
      </c>
      <c r="CB22" s="1338">
        <v>0</v>
      </c>
      <c r="CC22" s="1338"/>
      <c r="CD22" s="1338">
        <v>0</v>
      </c>
      <c r="CE22" s="1339">
        <v>0</v>
      </c>
      <c r="CF22" s="985">
        <v>9</v>
      </c>
      <c r="CG22" s="374">
        <v>0</v>
      </c>
      <c r="CH22" s="374">
        <v>0</v>
      </c>
      <c r="CI22" s="1037">
        <v>486.42</v>
      </c>
      <c r="CJ22" s="1037">
        <v>1069.6400000000001</v>
      </c>
    </row>
    <row r="23" spans="1:98" s="985" customFormat="1" ht="60" hidden="1" customHeight="1" thickBot="1" x14ac:dyDescent="0.3">
      <c r="A23" s="289" t="s">
        <v>1278</v>
      </c>
      <c r="B23" s="1433" t="s">
        <v>1279</v>
      </c>
      <c r="C23" s="275">
        <v>2019</v>
      </c>
      <c r="D23" s="275" t="s">
        <v>1265</v>
      </c>
      <c r="E23" s="664" t="s">
        <v>26</v>
      </c>
      <c r="F23" s="664" t="s">
        <v>26</v>
      </c>
      <c r="G23" s="1434" t="s">
        <v>71</v>
      </c>
      <c r="H23" s="293">
        <v>810.57899999999995</v>
      </c>
      <c r="I23" s="2533">
        <f t="shared" si="5"/>
        <v>0</v>
      </c>
      <c r="J23" s="2643">
        <f t="shared" si="0"/>
        <v>810.57899999999995</v>
      </c>
      <c r="K23" s="2643">
        <f t="shared" si="1"/>
        <v>810.57899999999995</v>
      </c>
      <c r="L23" s="2643">
        <f t="shared" si="2"/>
        <v>0</v>
      </c>
      <c r="M23" s="1439"/>
      <c r="N23" s="1114">
        <v>0</v>
      </c>
      <c r="O23" s="667">
        <v>0</v>
      </c>
      <c r="P23" s="667">
        <v>0</v>
      </c>
      <c r="Q23" s="295">
        <v>0</v>
      </c>
      <c r="R23" s="2336">
        <v>0</v>
      </c>
      <c r="S23" s="1453">
        <v>0</v>
      </c>
      <c r="T23" s="1464">
        <v>0</v>
      </c>
      <c r="U23" s="2336"/>
      <c r="V23" s="2336"/>
      <c r="W23" s="2336"/>
      <c r="X23" s="2336"/>
      <c r="Y23" s="295">
        <v>0</v>
      </c>
      <c r="Z23" s="295">
        <v>0</v>
      </c>
      <c r="AA23" s="294">
        <v>0</v>
      </c>
      <c r="AB23" s="295">
        <v>0</v>
      </c>
      <c r="AC23" s="1234" t="s">
        <v>2252</v>
      </c>
      <c r="AD23" s="1435" t="s">
        <v>1329</v>
      </c>
      <c r="AE23" s="955" t="s">
        <v>846</v>
      </c>
      <c r="AF23" s="954" t="s">
        <v>1283</v>
      </c>
      <c r="AG23" s="954" t="s">
        <v>1283</v>
      </c>
      <c r="AH23" s="1479" t="s">
        <v>1230</v>
      </c>
      <c r="AI23" s="1441"/>
      <c r="AJ23" s="2416">
        <v>0</v>
      </c>
      <c r="AK23" s="516">
        <v>0</v>
      </c>
      <c r="AL23" s="1503">
        <v>0</v>
      </c>
      <c r="AM23" s="1504">
        <v>0</v>
      </c>
      <c r="AN23" s="1171"/>
      <c r="AO23" s="1171"/>
      <c r="AP23" s="1341"/>
      <c r="AQ23" s="1342" t="s">
        <v>1266</v>
      </c>
      <c r="AR23" s="1343">
        <v>3</v>
      </c>
      <c r="AS23" s="1343">
        <v>1</v>
      </c>
      <c r="AT23" s="1342">
        <v>5</v>
      </c>
      <c r="AU23" s="1520"/>
      <c r="AV23" s="986"/>
      <c r="AW23" s="977"/>
      <c r="AX23" s="989"/>
      <c r="AY23" s="989"/>
      <c r="AZ23" s="1234" t="s">
        <v>2252</v>
      </c>
      <c r="BA23" s="1234"/>
      <c r="BB23" s="1234" t="s">
        <v>2252</v>
      </c>
      <c r="BC23" s="1234" t="s">
        <v>2163</v>
      </c>
      <c r="BD23" s="989" t="s">
        <v>2163</v>
      </c>
      <c r="BE23" s="989" t="s">
        <v>1736</v>
      </c>
      <c r="BF23" s="1333" t="s">
        <v>1523</v>
      </c>
      <c r="BG23" s="1344" t="s">
        <v>72</v>
      </c>
      <c r="BH23" s="987">
        <v>1</v>
      </c>
      <c r="BI23" s="987">
        <v>0</v>
      </c>
      <c r="BJ23" s="1345"/>
      <c r="BK23" s="1346"/>
      <c r="BL23" s="293">
        <v>0</v>
      </c>
      <c r="BM23" s="1439">
        <v>810.57899999999995</v>
      </c>
      <c r="BN23" s="2122">
        <v>810.57899999999995</v>
      </c>
      <c r="BO23" s="2122">
        <v>810.57899999999995</v>
      </c>
      <c r="BP23" s="593">
        <v>0</v>
      </c>
      <c r="BQ23" s="1439">
        <v>810.57899999999995</v>
      </c>
      <c r="BR23" s="294">
        <v>0</v>
      </c>
      <c r="BS23" s="1439">
        <v>0</v>
      </c>
      <c r="BT23" s="54">
        <v>810.57899999999995</v>
      </c>
      <c r="BU23" s="742"/>
      <c r="BV23" s="1484">
        <v>810.57899999999995</v>
      </c>
      <c r="BW23" s="1439">
        <v>0</v>
      </c>
      <c r="BX23" s="978">
        <v>810.57899999999995</v>
      </c>
      <c r="BY23" s="1386"/>
      <c r="BZ23" s="1340">
        <v>810.57899999999995</v>
      </c>
      <c r="CA23" s="1340">
        <v>0</v>
      </c>
      <c r="CB23" s="1246">
        <v>0</v>
      </c>
      <c r="CC23" s="1246"/>
      <c r="CD23" s="1246">
        <v>0</v>
      </c>
      <c r="CE23" s="1246">
        <v>0</v>
      </c>
      <c r="CF23" s="985">
        <v>9</v>
      </c>
      <c r="CG23" s="792">
        <v>0</v>
      </c>
      <c r="CH23" s="667">
        <v>0</v>
      </c>
      <c r="CI23" s="1232">
        <v>810.57899999999995</v>
      </c>
      <c r="CJ23" s="1232">
        <v>0</v>
      </c>
    </row>
    <row r="24" spans="1:98" s="985" customFormat="1" ht="27" hidden="1" customHeight="1" thickBot="1" x14ac:dyDescent="0.3">
      <c r="A24" s="616"/>
      <c r="B24" s="2520"/>
      <c r="C24" s="618"/>
      <c r="D24" s="618"/>
      <c r="E24" s="2521"/>
      <c r="F24" s="905"/>
      <c r="G24" s="2522"/>
      <c r="H24" s="621"/>
      <c r="I24" s="2533">
        <f t="shared" si="5"/>
        <v>0</v>
      </c>
      <c r="J24" s="2643">
        <f t="shared" si="0"/>
        <v>0</v>
      </c>
      <c r="K24" s="2643">
        <f t="shared" si="1"/>
        <v>0</v>
      </c>
      <c r="L24" s="2643">
        <f t="shared" si="2"/>
        <v>0</v>
      </c>
      <c r="M24" s="1440"/>
      <c r="N24" s="623"/>
      <c r="O24" s="669"/>
      <c r="P24" s="669"/>
      <c r="Q24" s="624"/>
      <c r="R24" s="2524"/>
      <c r="S24" s="2525"/>
      <c r="T24" s="2526"/>
      <c r="U24" s="2524"/>
      <c r="V24" s="2524"/>
      <c r="W24" s="2524"/>
      <c r="X24" s="2524"/>
      <c r="Y24" s="669"/>
      <c r="Z24" s="624"/>
      <c r="AA24" s="623"/>
      <c r="AB24" s="669"/>
      <c r="AC24" s="760"/>
      <c r="AD24" s="758"/>
      <c r="AE24" s="2527"/>
      <c r="AF24" s="2528"/>
      <c r="AG24" s="2528"/>
      <c r="AH24" s="2530"/>
      <c r="AI24" s="2529"/>
      <c r="AJ24" s="2416"/>
      <c r="AK24" s="516"/>
      <c r="AL24" s="1503"/>
      <c r="AM24" s="1504"/>
      <c r="AN24" s="1171"/>
      <c r="AO24" s="1171"/>
      <c r="AP24" s="1341"/>
      <c r="AQ24" s="1342"/>
      <c r="AR24" s="1343"/>
      <c r="AS24" s="1343"/>
      <c r="AT24" s="1342"/>
      <c r="AU24" s="1520"/>
      <c r="AV24" s="986"/>
      <c r="AW24" s="1872"/>
      <c r="AX24" s="762"/>
      <c r="AY24" s="762"/>
      <c r="AZ24" s="760"/>
      <c r="BA24" s="760"/>
      <c r="BB24" s="760"/>
      <c r="BC24" s="760"/>
      <c r="BD24" s="762"/>
      <c r="BE24" s="762"/>
      <c r="BF24" s="2531"/>
      <c r="BG24" s="2532"/>
      <c r="BH24" s="987"/>
      <c r="BI24" s="987"/>
      <c r="BJ24" s="1345"/>
      <c r="BK24" s="1346"/>
      <c r="BL24" s="621"/>
      <c r="BM24" s="1440"/>
      <c r="BN24" s="2523"/>
      <c r="BO24" s="2523"/>
      <c r="BP24" s="593"/>
      <c r="BQ24" s="1440"/>
      <c r="BR24" s="622"/>
      <c r="BS24" s="1440"/>
      <c r="BT24" s="872"/>
      <c r="BU24" s="669"/>
      <c r="BV24" s="1487"/>
      <c r="BW24" s="1440"/>
      <c r="BX24" s="2533"/>
      <c r="BY24" s="2534"/>
      <c r="BZ24" s="2535"/>
      <c r="CA24" s="2535"/>
      <c r="CB24" s="2534"/>
      <c r="CC24" s="2534"/>
      <c r="CD24" s="2534"/>
      <c r="CE24" s="2534"/>
      <c r="CG24" s="2536"/>
      <c r="CH24" s="2536"/>
      <c r="CI24" s="2537"/>
      <c r="CJ24" s="2537"/>
    </row>
    <row r="25" spans="1:98" ht="33" hidden="1" customHeight="1" thickBot="1" x14ac:dyDescent="0.3">
      <c r="A25" s="2310" t="s">
        <v>1209</v>
      </c>
      <c r="B25" s="2311" t="s">
        <v>1209</v>
      </c>
      <c r="C25" s="210" t="s">
        <v>1209</v>
      </c>
      <c r="D25" s="140" t="s">
        <v>1209</v>
      </c>
      <c r="E25" s="1506" t="s">
        <v>1209</v>
      </c>
      <c r="F25" s="140" t="s">
        <v>1209</v>
      </c>
      <c r="G25" s="1189" t="s">
        <v>1466</v>
      </c>
      <c r="H25" s="113">
        <f t="shared" ref="H25:AB25" si="8">SUM(H17:H24)</f>
        <v>12420.288619999999</v>
      </c>
      <c r="I25" s="2533">
        <f t="shared" si="5"/>
        <v>0</v>
      </c>
      <c r="J25" s="2643">
        <f t="shared" si="0"/>
        <v>12420.288619999999</v>
      </c>
      <c r="K25" s="2643">
        <f t="shared" si="1"/>
        <v>12420.288619999999</v>
      </c>
      <c r="L25" s="2643">
        <f t="shared" si="2"/>
        <v>0</v>
      </c>
      <c r="M25" s="113"/>
      <c r="N25" s="113">
        <f t="shared" si="8"/>
        <v>0</v>
      </c>
      <c r="O25" s="113">
        <f t="shared" si="8"/>
        <v>0</v>
      </c>
      <c r="P25" s="113">
        <f t="shared" si="8"/>
        <v>0</v>
      </c>
      <c r="Q25" s="113">
        <f t="shared" si="8"/>
        <v>0</v>
      </c>
      <c r="R25" s="113">
        <f t="shared" si="8"/>
        <v>67.100000000000364</v>
      </c>
      <c r="S25" s="113">
        <f t="shared" si="8"/>
        <v>-67.100000000000364</v>
      </c>
      <c r="T25" s="113">
        <f t="shared" si="8"/>
        <v>0</v>
      </c>
      <c r="U25" s="113"/>
      <c r="V25" s="113"/>
      <c r="W25" s="113"/>
      <c r="X25" s="113"/>
      <c r="Y25" s="113">
        <f>SUM(Y17:Y24)</f>
        <v>0</v>
      </c>
      <c r="Z25" s="113">
        <f>SUM(Z17:Z24)</f>
        <v>0</v>
      </c>
      <c r="AA25" s="113">
        <f t="shared" si="8"/>
        <v>0</v>
      </c>
      <c r="AB25" s="113">
        <f t="shared" si="8"/>
        <v>0</v>
      </c>
      <c r="AC25" s="165" t="s">
        <v>2523</v>
      </c>
      <c r="AD25" s="114" t="s">
        <v>1209</v>
      </c>
      <c r="AE25" s="500" t="s">
        <v>1209</v>
      </c>
      <c r="AF25" s="114" t="s">
        <v>1209</v>
      </c>
      <c r="AG25" s="114" t="s">
        <v>1209</v>
      </c>
      <c r="AH25" s="114" t="s">
        <v>1209</v>
      </c>
      <c r="AI25" s="723" t="s">
        <v>1209</v>
      </c>
      <c r="AJ25" s="2416">
        <v>2682.4398700000093</v>
      </c>
      <c r="AK25" s="516">
        <v>-1.4551915228366852E-11</v>
      </c>
      <c r="AL25" s="352">
        <v>0</v>
      </c>
      <c r="AM25" s="514">
        <v>3.637978807091713E-12</v>
      </c>
      <c r="AN25" s="1141"/>
      <c r="AO25" s="1141"/>
      <c r="AP25" s="529">
        <v>1</v>
      </c>
      <c r="AQ25" s="1518" t="s">
        <v>1266</v>
      </c>
      <c r="AR25" s="340">
        <v>3</v>
      </c>
      <c r="AS25" s="340"/>
      <c r="AT25" s="340"/>
      <c r="AU25" s="1384"/>
      <c r="AV25" s="451"/>
      <c r="AW25" s="60"/>
      <c r="AX25" s="277"/>
      <c r="AY25" s="277"/>
      <c r="AZ25" s="165" t="s">
        <v>2523</v>
      </c>
      <c r="BA25" s="165"/>
      <c r="BB25" s="165" t="s">
        <v>2255</v>
      </c>
      <c r="BC25" s="165" t="s">
        <v>2233</v>
      </c>
      <c r="BD25" s="165" t="s">
        <v>2145</v>
      </c>
      <c r="BE25" s="165" t="s">
        <v>1696</v>
      </c>
      <c r="BF25" s="165" t="s">
        <v>1696</v>
      </c>
      <c r="BG25" s="574" t="s">
        <v>1372</v>
      </c>
      <c r="BH25" s="518"/>
      <c r="BI25" s="518"/>
      <c r="BJ25" s="519"/>
      <c r="BK25" s="517"/>
      <c r="BL25" s="113">
        <f>SUM(BL17:BL24)</f>
        <v>3455.93102</v>
      </c>
      <c r="BM25" s="113">
        <f>SUM(BM17:BM24)</f>
        <v>8964.3575999999994</v>
      </c>
      <c r="BN25" s="113">
        <f>SUM(BN17:BN24)</f>
        <v>9031.4575999999997</v>
      </c>
      <c r="BO25" s="113">
        <f t="shared" ref="BO25:CJ25" si="9">SUM(BO17:BO24)</f>
        <v>9031.4575999999997</v>
      </c>
      <c r="BP25" s="113">
        <f t="shared" si="9"/>
        <v>67.100000000000364</v>
      </c>
      <c r="BQ25" s="113">
        <f t="shared" si="9"/>
        <v>2134.5126</v>
      </c>
      <c r="BR25" s="113">
        <f t="shared" si="9"/>
        <v>6896.9450000000006</v>
      </c>
      <c r="BS25" s="113">
        <f t="shared" si="9"/>
        <v>6829.8449999999993</v>
      </c>
      <c r="BT25" s="113">
        <f t="shared" si="9"/>
        <v>8964.3575999999994</v>
      </c>
      <c r="BU25" s="113">
        <f t="shared" si="9"/>
        <v>0</v>
      </c>
      <c r="BV25" s="113">
        <f t="shared" si="9"/>
        <v>2134.5126</v>
      </c>
      <c r="BW25" s="113">
        <f t="shared" si="9"/>
        <v>0</v>
      </c>
      <c r="BX25" s="113">
        <f t="shared" si="9"/>
        <v>2134.5126</v>
      </c>
      <c r="BY25" s="113">
        <f t="shared" si="9"/>
        <v>0</v>
      </c>
      <c r="BZ25" s="113">
        <f t="shared" si="9"/>
        <v>2134.5126</v>
      </c>
      <c r="CA25" s="113">
        <f t="shared" si="9"/>
        <v>837.5136</v>
      </c>
      <c r="CB25" s="113">
        <f t="shared" si="9"/>
        <v>377.71359999999999</v>
      </c>
      <c r="CC25" s="113">
        <f t="shared" si="9"/>
        <v>0</v>
      </c>
      <c r="CD25" s="113">
        <f t="shared" si="9"/>
        <v>0</v>
      </c>
      <c r="CE25" s="113">
        <f t="shared" si="9"/>
        <v>0</v>
      </c>
      <c r="CF25" s="113">
        <f t="shared" si="9"/>
        <v>47</v>
      </c>
      <c r="CG25" s="113">
        <f t="shared" si="9"/>
        <v>0</v>
      </c>
      <c r="CH25" s="113">
        <f t="shared" si="9"/>
        <v>377.71359999999999</v>
      </c>
      <c r="CI25" s="113">
        <f t="shared" si="9"/>
        <v>1756.799</v>
      </c>
      <c r="CJ25" s="113">
        <f t="shared" si="9"/>
        <v>6896.9450000000006</v>
      </c>
    </row>
    <row r="26" spans="1:98" s="985" customFormat="1" ht="30.75" hidden="1" thickBot="1" x14ac:dyDescent="0.3">
      <c r="A26" s="2425" t="s">
        <v>77</v>
      </c>
      <c r="B26" s="2426" t="s">
        <v>78</v>
      </c>
      <c r="C26" s="75">
        <v>2017</v>
      </c>
      <c r="D26" s="75" t="s">
        <v>1702</v>
      </c>
      <c r="E26" s="75" t="s">
        <v>80</v>
      </c>
      <c r="F26" s="88" t="s">
        <v>80</v>
      </c>
      <c r="G26" s="284" t="s">
        <v>81</v>
      </c>
      <c r="H26" s="25">
        <v>36864.838250000001</v>
      </c>
      <c r="I26" s="2533">
        <f t="shared" si="5"/>
        <v>0</v>
      </c>
      <c r="J26" s="2643">
        <f t="shared" si="0"/>
        <v>36864.838250000001</v>
      </c>
      <c r="K26" s="2643">
        <f t="shared" si="1"/>
        <v>36864.838250000001</v>
      </c>
      <c r="L26" s="2643">
        <f t="shared" si="2"/>
        <v>0</v>
      </c>
      <c r="M26" s="1438"/>
      <c r="N26" s="542">
        <v>0</v>
      </c>
      <c r="O26" s="44">
        <v>0</v>
      </c>
      <c r="P26" s="1466">
        <v>0</v>
      </c>
      <c r="Q26" s="23">
        <v>0</v>
      </c>
      <c r="R26" s="2339">
        <v>0</v>
      </c>
      <c r="S26" s="1448">
        <v>0</v>
      </c>
      <c r="T26" s="1463">
        <v>0</v>
      </c>
      <c r="U26" s="2573"/>
      <c r="V26" s="2573"/>
      <c r="W26" s="2573"/>
      <c r="X26" s="2573"/>
      <c r="Y26" s="43">
        <v>0</v>
      </c>
      <c r="Z26" s="24">
        <v>0</v>
      </c>
      <c r="AA26" s="24">
        <v>0</v>
      </c>
      <c r="AB26" s="23">
        <v>0</v>
      </c>
      <c r="AC26" s="75" t="s">
        <v>1209</v>
      </c>
      <c r="AD26" s="75" t="s">
        <v>1329</v>
      </c>
      <c r="AE26" s="379" t="s">
        <v>846</v>
      </c>
      <c r="AF26" s="74" t="s">
        <v>1283</v>
      </c>
      <c r="AG26" s="285" t="s">
        <v>1283</v>
      </c>
      <c r="AH26" s="79">
        <v>12</v>
      </c>
      <c r="AI26" s="722" t="s">
        <v>1230</v>
      </c>
      <c r="AJ26" s="2416">
        <v>2.1600499167107046E-12</v>
      </c>
      <c r="AK26" s="516">
        <v>2.8705926524708048E-12</v>
      </c>
      <c r="AL26" s="1320">
        <v>0</v>
      </c>
      <c r="AM26" s="512">
        <v>0</v>
      </c>
      <c r="AN26" s="1171"/>
      <c r="AO26" s="1171"/>
      <c r="AP26" s="1177"/>
      <c r="AQ26" s="674" t="s">
        <v>74</v>
      </c>
      <c r="AR26" s="367">
        <v>4</v>
      </c>
      <c r="AS26" s="367"/>
      <c r="AT26" s="674">
        <v>5</v>
      </c>
      <c r="AU26" s="1178"/>
      <c r="AV26" s="455"/>
      <c r="AW26" s="979"/>
      <c r="AX26" s="979"/>
      <c r="AY26" s="979"/>
      <c r="AZ26" s="75" t="s">
        <v>1209</v>
      </c>
      <c r="BA26" s="166"/>
      <c r="BB26" s="166" t="s">
        <v>1209</v>
      </c>
      <c r="BC26" s="78" t="s">
        <v>2138</v>
      </c>
      <c r="BD26" s="1352" t="s">
        <v>2138</v>
      </c>
      <c r="BE26" s="1352" t="s">
        <v>1887</v>
      </c>
      <c r="BF26" s="569" t="s">
        <v>1541</v>
      </c>
      <c r="BG26" s="569" t="s">
        <v>1181</v>
      </c>
      <c r="BH26" s="403">
        <v>1</v>
      </c>
      <c r="BI26" s="403">
        <v>0</v>
      </c>
      <c r="BJ26" s="463" t="s">
        <v>1284</v>
      </c>
      <c r="BK26" s="454"/>
      <c r="BL26" s="25">
        <v>36800.442049999998</v>
      </c>
      <c r="BM26" s="1438">
        <v>64.396199999999993</v>
      </c>
      <c r="BN26" s="2105">
        <v>64.396200000002153</v>
      </c>
      <c r="BO26" s="2105">
        <v>64.396200000002153</v>
      </c>
      <c r="BP26" s="2314">
        <v>2.1600499167107046E-12</v>
      </c>
      <c r="BQ26" s="1486">
        <v>64.396199999999993</v>
      </c>
      <c r="BR26" s="27">
        <v>0</v>
      </c>
      <c r="BS26" s="134">
        <v>0</v>
      </c>
      <c r="BT26" s="54">
        <v>64.396199999999993</v>
      </c>
      <c r="BU26" s="43"/>
      <c r="BV26" s="1486">
        <v>64.396199999999993</v>
      </c>
      <c r="BW26" s="1496">
        <v>0</v>
      </c>
      <c r="BX26" s="980">
        <v>64.396199999999993</v>
      </c>
      <c r="BY26" s="990"/>
      <c r="BZ26" s="1337">
        <v>64.396199999999993</v>
      </c>
      <c r="CA26" s="1337">
        <v>0</v>
      </c>
      <c r="CB26" s="990">
        <v>0</v>
      </c>
      <c r="CC26" s="990"/>
      <c r="CD26" s="990">
        <v>0</v>
      </c>
      <c r="CE26" s="1252">
        <v>0</v>
      </c>
      <c r="CG26" s="1391">
        <v>0</v>
      </c>
      <c r="CH26" s="374">
        <v>0</v>
      </c>
      <c r="CI26" s="44">
        <v>64.396199999999993</v>
      </c>
      <c r="CJ26" s="1037">
        <v>0</v>
      </c>
    </row>
    <row r="27" spans="1:98" s="985" customFormat="1" ht="26.25" hidden="1" thickBot="1" x14ac:dyDescent="0.3">
      <c r="A27" s="2427" t="s">
        <v>88</v>
      </c>
      <c r="B27" s="2428" t="s">
        <v>89</v>
      </c>
      <c r="C27" s="979">
        <v>2017</v>
      </c>
      <c r="D27" s="1536" t="s">
        <v>1701</v>
      </c>
      <c r="E27" s="979" t="s">
        <v>80</v>
      </c>
      <c r="F27" s="1250" t="s">
        <v>80</v>
      </c>
      <c r="G27" s="1583" t="s">
        <v>91</v>
      </c>
      <c r="H27" s="980">
        <v>50215.054179999999</v>
      </c>
      <c r="I27" s="2533">
        <f t="shared" si="5"/>
        <v>0</v>
      </c>
      <c r="J27" s="2643">
        <f t="shared" si="0"/>
        <v>50215.054180000006</v>
      </c>
      <c r="K27" s="2643">
        <f t="shared" si="1"/>
        <v>50215.054180000006</v>
      </c>
      <c r="L27" s="2643">
        <f t="shared" si="2"/>
        <v>0</v>
      </c>
      <c r="M27" s="1759"/>
      <c r="N27" s="2361">
        <v>0</v>
      </c>
      <c r="O27" s="1540">
        <v>0</v>
      </c>
      <c r="P27" s="1587">
        <v>0</v>
      </c>
      <c r="Q27" s="1261">
        <v>0</v>
      </c>
      <c r="R27" s="2340">
        <v>284.94582000000003</v>
      </c>
      <c r="S27" s="1588">
        <v>-284.94582000000003</v>
      </c>
      <c r="T27" s="1545">
        <v>0</v>
      </c>
      <c r="U27" s="3172"/>
      <c r="V27" s="3172"/>
      <c r="W27" s="3172"/>
      <c r="X27" s="3172"/>
      <c r="Y27" s="1586">
        <v>0</v>
      </c>
      <c r="Z27" s="1539">
        <v>0</v>
      </c>
      <c r="AA27" s="1259">
        <v>0</v>
      </c>
      <c r="AB27" s="1261">
        <v>0</v>
      </c>
      <c r="AC27" s="570" t="s">
        <v>2352</v>
      </c>
      <c r="AD27" s="979" t="s">
        <v>1329</v>
      </c>
      <c r="AE27" s="1590" t="s">
        <v>37</v>
      </c>
      <c r="AF27" s="1589" t="s">
        <v>1283</v>
      </c>
      <c r="AG27" s="1589" t="s">
        <v>1283</v>
      </c>
      <c r="AH27" s="1249">
        <v>8</v>
      </c>
      <c r="AI27" s="1319" t="s">
        <v>1230</v>
      </c>
      <c r="AJ27" s="2416">
        <v>284.94581999999997</v>
      </c>
      <c r="AK27" s="516">
        <v>-3.808509063674137E-12</v>
      </c>
      <c r="AL27" s="1320">
        <v>0</v>
      </c>
      <c r="AM27" s="512">
        <v>0</v>
      </c>
      <c r="AN27" s="1171"/>
      <c r="AO27" s="1171"/>
      <c r="AP27" s="1177"/>
      <c r="AQ27" s="674" t="s">
        <v>74</v>
      </c>
      <c r="AR27" s="367">
        <v>4</v>
      </c>
      <c r="AS27" s="367"/>
      <c r="AT27" s="674">
        <v>6</v>
      </c>
      <c r="AU27" s="1178"/>
      <c r="AV27" s="455"/>
      <c r="AW27" s="979"/>
      <c r="AX27" s="570"/>
      <c r="AY27" s="570"/>
      <c r="AZ27" s="570" t="s">
        <v>2352</v>
      </c>
      <c r="BA27" s="570"/>
      <c r="BB27" s="570" t="s">
        <v>2352</v>
      </c>
      <c r="BC27" s="1352" t="s">
        <v>2137</v>
      </c>
      <c r="BD27" s="1352" t="s">
        <v>2137</v>
      </c>
      <c r="BE27" s="1352" t="s">
        <v>1542</v>
      </c>
      <c r="BF27" s="569" t="s">
        <v>1542</v>
      </c>
      <c r="BG27" s="569" t="s">
        <v>1285</v>
      </c>
      <c r="BH27" s="403">
        <v>1</v>
      </c>
      <c r="BI27" s="403">
        <v>0</v>
      </c>
      <c r="BJ27" s="463" t="s">
        <v>1286</v>
      </c>
      <c r="BK27" s="454"/>
      <c r="BL27" s="980">
        <v>49743.145620000003</v>
      </c>
      <c r="BM27" s="1759">
        <v>471.90856000000002</v>
      </c>
      <c r="BN27" s="2112">
        <v>756.85437999999999</v>
      </c>
      <c r="BO27" s="2112">
        <v>756.85437999999999</v>
      </c>
      <c r="BP27" s="2315">
        <v>284.94581999999997</v>
      </c>
      <c r="BQ27" s="1584">
        <v>471.90856000000002</v>
      </c>
      <c r="BR27" s="1539">
        <v>0</v>
      </c>
      <c r="BS27" s="2126">
        <v>0</v>
      </c>
      <c r="BT27" s="54">
        <v>471.90856000000002</v>
      </c>
      <c r="BU27" s="1586"/>
      <c r="BV27" s="1584">
        <v>471.90856000000002</v>
      </c>
      <c r="BW27" s="2115">
        <v>0</v>
      </c>
      <c r="BX27" s="980">
        <v>471.90856000000002</v>
      </c>
      <c r="BY27" s="990">
        <v>0</v>
      </c>
      <c r="BZ27" s="1335">
        <v>471.90856000000002</v>
      </c>
      <c r="CA27" s="1337">
        <v>471.90856000000002</v>
      </c>
      <c r="CB27" s="990">
        <v>471.90856000000002</v>
      </c>
      <c r="CC27" s="990"/>
      <c r="CD27" s="990">
        <v>0</v>
      </c>
      <c r="CE27" s="1252">
        <v>0</v>
      </c>
      <c r="CG27" s="2111">
        <v>0</v>
      </c>
      <c r="CH27" s="1253">
        <v>471.90856000000002</v>
      </c>
      <c r="CI27" s="1548">
        <v>0</v>
      </c>
      <c r="CJ27" s="1548">
        <v>284.94582000000003</v>
      </c>
    </row>
    <row r="28" spans="1:98" s="985" customFormat="1" ht="30.75" hidden="1" thickBot="1" x14ac:dyDescent="0.3">
      <c r="A28" s="2429" t="s">
        <v>92</v>
      </c>
      <c r="B28" s="2430" t="s">
        <v>93</v>
      </c>
      <c r="C28" s="979">
        <v>2017</v>
      </c>
      <c r="D28" s="1536" t="s">
        <v>1701</v>
      </c>
      <c r="E28" s="979" t="s">
        <v>80</v>
      </c>
      <c r="F28" s="1591" t="s">
        <v>80</v>
      </c>
      <c r="G28" s="1592" t="s">
        <v>94</v>
      </c>
      <c r="H28" s="980">
        <v>18486.752090000002</v>
      </c>
      <c r="I28" s="2533">
        <f t="shared" si="5"/>
        <v>0</v>
      </c>
      <c r="J28" s="2643">
        <f t="shared" si="0"/>
        <v>18486.752089999998</v>
      </c>
      <c r="K28" s="2643">
        <f t="shared" si="1"/>
        <v>18486.752089999998</v>
      </c>
      <c r="L28" s="2643">
        <f t="shared" si="2"/>
        <v>0</v>
      </c>
      <c r="M28" s="1759"/>
      <c r="N28" s="2361">
        <v>0</v>
      </c>
      <c r="O28" s="1540">
        <v>0</v>
      </c>
      <c r="P28" s="1541">
        <v>0</v>
      </c>
      <c r="Q28" s="1542">
        <v>0</v>
      </c>
      <c r="R28" s="2338">
        <v>1148.24791</v>
      </c>
      <c r="S28" s="1593">
        <v>-1148.24791</v>
      </c>
      <c r="T28" s="1545">
        <v>0</v>
      </c>
      <c r="U28" s="3173"/>
      <c r="V28" s="3173"/>
      <c r="W28" s="3173"/>
      <c r="X28" s="3173"/>
      <c r="Y28" s="1585">
        <v>0</v>
      </c>
      <c r="Z28" s="1539">
        <v>0</v>
      </c>
      <c r="AA28" s="1259">
        <v>0</v>
      </c>
      <c r="AB28" s="1542">
        <v>0</v>
      </c>
      <c r="AC28" s="982" t="s">
        <v>2353</v>
      </c>
      <c r="AD28" s="979" t="s">
        <v>1329</v>
      </c>
      <c r="AE28" s="1590" t="s">
        <v>845</v>
      </c>
      <c r="AF28" s="1589" t="s">
        <v>1283</v>
      </c>
      <c r="AG28" s="1589" t="s">
        <v>1283</v>
      </c>
      <c r="AH28" s="1536">
        <v>6</v>
      </c>
      <c r="AI28" s="1319" t="s">
        <v>1230</v>
      </c>
      <c r="AJ28" s="2416">
        <v>1148.2479099999991</v>
      </c>
      <c r="AK28" s="516">
        <v>2.2737367544323206E-12</v>
      </c>
      <c r="AL28" s="1320">
        <v>0</v>
      </c>
      <c r="AM28" s="512">
        <v>0</v>
      </c>
      <c r="AN28" s="1171"/>
      <c r="AO28" s="1171"/>
      <c r="AP28" s="1177"/>
      <c r="AQ28" s="674" t="s">
        <v>74</v>
      </c>
      <c r="AR28" s="367">
        <v>4</v>
      </c>
      <c r="AS28" s="367"/>
      <c r="AT28" s="674">
        <v>6</v>
      </c>
      <c r="AU28" s="1178"/>
      <c r="AV28" s="455"/>
      <c r="AW28" s="979"/>
      <c r="AX28" s="982"/>
      <c r="AY28" s="982"/>
      <c r="AZ28" s="982" t="s">
        <v>2353</v>
      </c>
      <c r="BA28" s="982"/>
      <c r="BB28" s="982" t="s">
        <v>2353</v>
      </c>
      <c r="BC28" s="979" t="s">
        <v>1209</v>
      </c>
      <c r="BD28" s="979" t="s">
        <v>1209</v>
      </c>
      <c r="BE28" s="979" t="s">
        <v>1209</v>
      </c>
      <c r="BF28" s="982" t="s">
        <v>1543</v>
      </c>
      <c r="BG28" s="569" t="s">
        <v>1181</v>
      </c>
      <c r="BH28" s="403">
        <v>1</v>
      </c>
      <c r="BI28" s="403">
        <v>0</v>
      </c>
      <c r="BJ28" s="463" t="s">
        <v>1284</v>
      </c>
      <c r="BK28" s="454"/>
      <c r="BL28" s="980">
        <v>17226.34463</v>
      </c>
      <c r="BM28" s="1759">
        <v>1260.4074599999999</v>
      </c>
      <c r="BN28" s="2112">
        <v>2408.655369999999</v>
      </c>
      <c r="BO28" s="2112">
        <v>2408.655369999999</v>
      </c>
      <c r="BP28" s="2316">
        <v>1148.2479099999991</v>
      </c>
      <c r="BQ28" s="1538">
        <v>1260.4074599999999</v>
      </c>
      <c r="BR28" s="1539">
        <v>0</v>
      </c>
      <c r="BS28" s="2127">
        <v>0</v>
      </c>
      <c r="BT28" s="54">
        <v>1260.4074599999999</v>
      </c>
      <c r="BU28" s="1585"/>
      <c r="BV28" s="1538">
        <v>1260.4074599999999</v>
      </c>
      <c r="BW28" s="1377">
        <v>0</v>
      </c>
      <c r="BX28" s="980">
        <v>1260.4074599999999</v>
      </c>
      <c r="BY28" s="984"/>
      <c r="BZ28" s="1380">
        <v>1260.4074599999999</v>
      </c>
      <c r="CA28" s="1380">
        <v>0</v>
      </c>
      <c r="CB28" s="984">
        <v>0</v>
      </c>
      <c r="CC28" s="984"/>
      <c r="CD28" s="984">
        <v>0</v>
      </c>
      <c r="CE28" s="980">
        <v>0</v>
      </c>
      <c r="CG28" s="2116">
        <v>0</v>
      </c>
      <c r="CH28" s="1253">
        <v>0</v>
      </c>
      <c r="CI28" s="1540">
        <v>1260.4074599999999</v>
      </c>
      <c r="CJ28" s="1548">
        <v>1148.24791</v>
      </c>
    </row>
    <row r="29" spans="1:98" s="1934" customFormat="1" ht="26.25" hidden="1" thickBot="1" x14ac:dyDescent="0.3">
      <c r="A29" s="2425" t="s">
        <v>95</v>
      </c>
      <c r="B29" s="2426" t="s">
        <v>1168</v>
      </c>
      <c r="C29" s="83">
        <v>2018</v>
      </c>
      <c r="D29" s="83" t="s">
        <v>1289</v>
      </c>
      <c r="E29" s="75" t="s">
        <v>80</v>
      </c>
      <c r="F29" s="432" t="s">
        <v>80</v>
      </c>
      <c r="G29" s="284" t="s">
        <v>96</v>
      </c>
      <c r="H29" s="85">
        <v>4754.3725700000005</v>
      </c>
      <c r="I29" s="2533">
        <f t="shared" si="5"/>
        <v>0</v>
      </c>
      <c r="J29" s="2643">
        <f t="shared" si="0"/>
        <v>4754.3725699999995</v>
      </c>
      <c r="K29" s="2643">
        <f t="shared" si="1"/>
        <v>4754.3725699999995</v>
      </c>
      <c r="L29" s="2643">
        <f t="shared" si="2"/>
        <v>0</v>
      </c>
      <c r="M29" s="1438"/>
      <c r="N29" s="542">
        <v>0</v>
      </c>
      <c r="O29" s="44">
        <v>0</v>
      </c>
      <c r="P29" s="375">
        <v>0</v>
      </c>
      <c r="Q29" s="26">
        <v>0</v>
      </c>
      <c r="R29" s="2335">
        <v>6.3000000000000003E-4</v>
      </c>
      <c r="S29" s="1449">
        <v>-6.3000000000000003E-4</v>
      </c>
      <c r="T29" s="1463">
        <v>0</v>
      </c>
      <c r="U29" s="3174"/>
      <c r="V29" s="3174"/>
      <c r="W29" s="3174"/>
      <c r="X29" s="3174"/>
      <c r="Y29" s="40">
        <v>0</v>
      </c>
      <c r="Z29" s="27">
        <v>0</v>
      </c>
      <c r="AA29" s="24">
        <v>0</v>
      </c>
      <c r="AB29" s="26">
        <v>0</v>
      </c>
      <c r="AC29" s="143" t="s">
        <v>1209</v>
      </c>
      <c r="AD29" s="75" t="s">
        <v>1329</v>
      </c>
      <c r="AE29" s="379" t="s">
        <v>845</v>
      </c>
      <c r="AF29" s="74" t="s">
        <v>1283</v>
      </c>
      <c r="AG29" s="74" t="s">
        <v>1283</v>
      </c>
      <c r="AH29" s="78">
        <v>11</v>
      </c>
      <c r="AI29" s="722" t="s">
        <v>1230</v>
      </c>
      <c r="AJ29" s="2416">
        <v>6.2999999954627128E-4</v>
      </c>
      <c r="AK29" s="516">
        <v>4.5474735088646412E-13</v>
      </c>
      <c r="AL29" s="452">
        <v>0</v>
      </c>
      <c r="AM29" s="513">
        <v>0</v>
      </c>
      <c r="AN29" s="1142"/>
      <c r="AO29" s="1142"/>
      <c r="AP29" s="496"/>
      <c r="AQ29" s="662" t="s">
        <v>74</v>
      </c>
      <c r="AR29" s="175">
        <v>4</v>
      </c>
      <c r="AS29" s="175"/>
      <c r="AT29" s="674">
        <v>6</v>
      </c>
      <c r="AU29" s="1148"/>
      <c r="AV29" s="783"/>
      <c r="AW29" s="958"/>
      <c r="AX29" s="1926"/>
      <c r="AY29" s="1926"/>
      <c r="AZ29" s="143" t="s">
        <v>1209</v>
      </c>
      <c r="BA29" s="143"/>
      <c r="BB29" s="143" t="s">
        <v>1209</v>
      </c>
      <c r="BC29" s="75" t="s">
        <v>1209</v>
      </c>
      <c r="BD29" s="75" t="s">
        <v>1209</v>
      </c>
      <c r="BE29" s="958" t="s">
        <v>1903</v>
      </c>
      <c r="BF29" s="1926" t="s">
        <v>1544</v>
      </c>
      <c r="BG29" s="1926" t="s">
        <v>1287</v>
      </c>
      <c r="BH29" s="1928">
        <v>1</v>
      </c>
      <c r="BI29" s="1928">
        <v>0</v>
      </c>
      <c r="BJ29" s="785" t="s">
        <v>1288</v>
      </c>
      <c r="BK29" s="433"/>
      <c r="BL29" s="85">
        <v>2637.5372499999999</v>
      </c>
      <c r="BM29" s="1438">
        <v>2116.8353200000001</v>
      </c>
      <c r="BN29" s="2105">
        <v>2116.8359499999997</v>
      </c>
      <c r="BO29" s="2105">
        <v>2116.8359499999997</v>
      </c>
      <c r="BP29" s="2314">
        <v>6.2999999954627128E-4</v>
      </c>
      <c r="BQ29" s="1483">
        <v>2116.8353200000001</v>
      </c>
      <c r="BR29" s="27">
        <v>0</v>
      </c>
      <c r="BS29" s="2129">
        <v>0</v>
      </c>
      <c r="BT29" s="54">
        <v>2116.8353200000001</v>
      </c>
      <c r="BU29" s="91"/>
      <c r="BV29" s="1483">
        <v>2116.8353200000001</v>
      </c>
      <c r="BW29" s="1929">
        <v>1076.94091</v>
      </c>
      <c r="BX29" s="25">
        <v>1039.8944100000001</v>
      </c>
      <c r="BY29" s="1552"/>
      <c r="BZ29" s="1930">
        <v>1039.8944100000001</v>
      </c>
      <c r="CA29" s="1931">
        <v>1039.8944100000001</v>
      </c>
      <c r="CB29" s="1932">
        <v>1039.8944100000001</v>
      </c>
      <c r="CC29" s="1932"/>
      <c r="CD29" s="1932">
        <v>1039.8944100000001</v>
      </c>
      <c r="CE29" s="1933">
        <v>1039.8944100000001</v>
      </c>
      <c r="CG29" s="1935">
        <v>1039.8944100000001</v>
      </c>
      <c r="CH29" s="1936">
        <v>0</v>
      </c>
      <c r="CI29" s="44">
        <v>0</v>
      </c>
      <c r="CJ29" s="1037">
        <v>1076.94154</v>
      </c>
    </row>
    <row r="30" spans="1:98" s="1013" customFormat="1" ht="51.75" hidden="1" thickBot="1" x14ac:dyDescent="0.3">
      <c r="A30" s="2693" t="s">
        <v>97</v>
      </c>
      <c r="B30" s="2695" t="s">
        <v>98</v>
      </c>
      <c r="C30" s="2696">
        <v>2017</v>
      </c>
      <c r="D30" s="2696" t="s">
        <v>1715</v>
      </c>
      <c r="E30" s="917" t="s">
        <v>80</v>
      </c>
      <c r="F30" s="2697" t="s">
        <v>26</v>
      </c>
      <c r="G30" s="2698" t="s">
        <v>99</v>
      </c>
      <c r="H30" s="2699">
        <v>998.25</v>
      </c>
      <c r="I30" s="2700">
        <f t="shared" si="5"/>
        <v>0</v>
      </c>
      <c r="J30" s="2648">
        <f t="shared" si="0"/>
        <v>998.25</v>
      </c>
      <c r="K30" s="2648">
        <f t="shared" si="1"/>
        <v>998.25</v>
      </c>
      <c r="L30" s="2648">
        <f t="shared" si="2"/>
        <v>0</v>
      </c>
      <c r="M30" s="2701"/>
      <c r="N30" s="2647">
        <v>0</v>
      </c>
      <c r="O30" s="1844">
        <v>0</v>
      </c>
      <c r="P30" s="2702">
        <v>0</v>
      </c>
      <c r="Q30" s="2703">
        <v>0</v>
      </c>
      <c r="R30" s="2703">
        <v>0</v>
      </c>
      <c r="S30" s="2704">
        <v>0</v>
      </c>
      <c r="T30" s="2705">
        <v>0</v>
      </c>
      <c r="U30" s="3175"/>
      <c r="V30" s="3175"/>
      <c r="W30" s="3175"/>
      <c r="X30" s="3175"/>
      <c r="Y30" s="2704">
        <v>0</v>
      </c>
      <c r="Z30" s="2706">
        <v>0</v>
      </c>
      <c r="AA30" s="2706">
        <v>0</v>
      </c>
      <c r="AB30" s="2703">
        <v>0</v>
      </c>
      <c r="AC30" s="2707" t="s">
        <v>1209</v>
      </c>
      <c r="AD30" s="933" t="s">
        <v>2606</v>
      </c>
      <c r="AE30" s="2729" t="s">
        <v>37</v>
      </c>
      <c r="AF30" s="126" t="s">
        <v>1283</v>
      </c>
      <c r="AG30" s="126" t="s">
        <v>1283</v>
      </c>
      <c r="AH30" s="92" t="s">
        <v>1230</v>
      </c>
      <c r="AI30" s="721" t="s">
        <v>1230</v>
      </c>
      <c r="AJ30" s="2416">
        <v>0</v>
      </c>
      <c r="AK30" s="516">
        <v>-2.8421709430404007E-14</v>
      </c>
      <c r="AL30" s="452">
        <v>0</v>
      </c>
      <c r="AM30" s="513">
        <v>0</v>
      </c>
      <c r="AN30" s="1142"/>
      <c r="AO30" s="1142"/>
      <c r="AP30" s="496"/>
      <c r="AQ30" s="662" t="s">
        <v>74</v>
      </c>
      <c r="AR30" s="175">
        <v>4</v>
      </c>
      <c r="AS30" s="175"/>
      <c r="AT30" s="674">
        <v>6</v>
      </c>
      <c r="AU30" s="1148"/>
      <c r="AV30" s="435"/>
      <c r="AW30" s="75"/>
      <c r="AX30" s="143"/>
      <c r="AY30" s="143"/>
      <c r="AZ30" s="143" t="s">
        <v>1209</v>
      </c>
      <c r="BA30" s="143"/>
      <c r="BB30" s="143" t="s">
        <v>1209</v>
      </c>
      <c r="BC30" s="75" t="s">
        <v>1209</v>
      </c>
      <c r="BD30" s="75" t="s">
        <v>1209</v>
      </c>
      <c r="BE30" s="75" t="s">
        <v>1209</v>
      </c>
      <c r="BF30" s="143" t="s">
        <v>1209</v>
      </c>
      <c r="BG30" s="569" t="s">
        <v>1285</v>
      </c>
      <c r="BH30" s="755">
        <v>1</v>
      </c>
      <c r="BI30" s="755">
        <v>0</v>
      </c>
      <c r="BJ30" s="462" t="s">
        <v>1286</v>
      </c>
      <c r="BK30" s="433"/>
      <c r="BL30" s="42">
        <v>828.85</v>
      </c>
      <c r="BM30" s="1438">
        <v>169.4</v>
      </c>
      <c r="BN30" s="2105">
        <v>169.39999999999998</v>
      </c>
      <c r="BO30" s="2105">
        <v>169.39999999999998</v>
      </c>
      <c r="BP30" s="2314">
        <v>0</v>
      </c>
      <c r="BQ30" s="1486">
        <v>169.4</v>
      </c>
      <c r="BR30" s="45">
        <v>0</v>
      </c>
      <c r="BS30" s="591">
        <v>0</v>
      </c>
      <c r="BT30" s="54">
        <v>169.4</v>
      </c>
      <c r="BU30" s="592"/>
      <c r="BV30" s="1486">
        <v>169.4</v>
      </c>
      <c r="BW30" s="431">
        <v>0</v>
      </c>
      <c r="BX30" s="25">
        <v>169.4</v>
      </c>
      <c r="BY30" s="1128">
        <v>169.4</v>
      </c>
      <c r="BZ30" s="823">
        <v>0</v>
      </c>
      <c r="CA30" s="823">
        <v>0</v>
      </c>
      <c r="CB30" s="823">
        <v>0</v>
      </c>
      <c r="CC30" s="823"/>
      <c r="CD30" s="823">
        <v>0</v>
      </c>
      <c r="CE30" s="42">
        <v>0</v>
      </c>
      <c r="CG30" s="1391">
        <v>0</v>
      </c>
      <c r="CH30" s="374">
        <v>0</v>
      </c>
      <c r="CI30" s="44">
        <v>169.4</v>
      </c>
      <c r="CJ30" s="1037">
        <v>0</v>
      </c>
    </row>
    <row r="31" spans="1:98" s="985" customFormat="1" ht="30.75" hidden="1" thickBot="1" x14ac:dyDescent="0.3">
      <c r="A31" s="1247" t="s">
        <v>100</v>
      </c>
      <c r="B31" s="1582" t="s">
        <v>1169</v>
      </c>
      <c r="C31" s="1352">
        <v>2018</v>
      </c>
      <c r="D31" s="1352" t="s">
        <v>101</v>
      </c>
      <c r="E31" s="1249" t="s">
        <v>80</v>
      </c>
      <c r="F31" s="1250" t="s">
        <v>80</v>
      </c>
      <c r="G31" s="1251" t="s">
        <v>102</v>
      </c>
      <c r="H31" s="1252">
        <v>4934.2094800000004</v>
      </c>
      <c r="I31" s="2533">
        <f t="shared" si="5"/>
        <v>0</v>
      </c>
      <c r="J31" s="2643">
        <f t="shared" si="0"/>
        <v>4934.2094800000004</v>
      </c>
      <c r="K31" s="2643">
        <f t="shared" si="1"/>
        <v>4934.2094800000004</v>
      </c>
      <c r="L31" s="2643">
        <f t="shared" si="2"/>
        <v>0</v>
      </c>
      <c r="M31" s="1759"/>
      <c r="N31" s="2361">
        <v>0</v>
      </c>
      <c r="O31" s="1540">
        <v>0</v>
      </c>
      <c r="P31" s="1587">
        <v>0</v>
      </c>
      <c r="Q31" s="1261">
        <v>0</v>
      </c>
      <c r="R31" s="2340">
        <v>313.74806999999998</v>
      </c>
      <c r="S31" s="1588">
        <v>-313.74806999999998</v>
      </c>
      <c r="T31" s="1545">
        <v>0</v>
      </c>
      <c r="U31" s="3172"/>
      <c r="V31" s="3172"/>
      <c r="W31" s="3172"/>
      <c r="X31" s="3172"/>
      <c r="Y31" s="1586">
        <v>0</v>
      </c>
      <c r="Z31" s="1259">
        <v>0</v>
      </c>
      <c r="AA31" s="1259">
        <v>0</v>
      </c>
      <c r="AB31" s="1261">
        <v>0</v>
      </c>
      <c r="AC31" s="570" t="s">
        <v>2354</v>
      </c>
      <c r="AD31" s="979" t="s">
        <v>1329</v>
      </c>
      <c r="AE31" s="1590" t="s">
        <v>845</v>
      </c>
      <c r="AF31" s="1589" t="s">
        <v>1283</v>
      </c>
      <c r="AG31" s="1589" t="s">
        <v>1283</v>
      </c>
      <c r="AH31" s="1249">
        <v>2</v>
      </c>
      <c r="AI31" s="1319" t="s">
        <v>1230</v>
      </c>
      <c r="AJ31" s="2416">
        <v>313.74806999999998</v>
      </c>
      <c r="AK31" s="516">
        <v>0</v>
      </c>
      <c r="AL31" s="1320">
        <v>0</v>
      </c>
      <c r="AM31" s="512">
        <v>0</v>
      </c>
      <c r="AN31" s="1171"/>
      <c r="AO31" s="1171"/>
      <c r="AP31" s="1177"/>
      <c r="AQ31" s="674" t="s">
        <v>74</v>
      </c>
      <c r="AR31" s="367">
        <v>4</v>
      </c>
      <c r="AS31" s="367"/>
      <c r="AT31" s="2120">
        <v>6</v>
      </c>
      <c r="AU31" s="1178"/>
      <c r="AV31" s="455"/>
      <c r="AW31" s="979"/>
      <c r="AX31" s="570"/>
      <c r="AY31" s="570"/>
      <c r="AZ31" s="570" t="s">
        <v>2354</v>
      </c>
      <c r="BA31" s="570"/>
      <c r="BB31" s="570" t="s">
        <v>2354</v>
      </c>
      <c r="BC31" s="1523" t="s">
        <v>1542</v>
      </c>
      <c r="BD31" s="1523" t="s">
        <v>1542</v>
      </c>
      <c r="BE31" s="1523" t="s">
        <v>1542</v>
      </c>
      <c r="BF31" s="570" t="s">
        <v>1542</v>
      </c>
      <c r="BG31" s="982" t="s">
        <v>1287</v>
      </c>
      <c r="BH31" s="403">
        <v>1</v>
      </c>
      <c r="BI31" s="403">
        <v>0</v>
      </c>
      <c r="BJ31" s="463" t="s">
        <v>1288</v>
      </c>
      <c r="BK31" s="454"/>
      <c r="BL31" s="1252">
        <v>4934.2094800000004</v>
      </c>
      <c r="BM31" s="1759">
        <v>0</v>
      </c>
      <c r="BN31" s="2112">
        <v>313.74806999999998</v>
      </c>
      <c r="BO31" s="2112">
        <v>313.74806999999998</v>
      </c>
      <c r="BP31" s="2315">
        <v>313.74806999999998</v>
      </c>
      <c r="BQ31" s="1584">
        <v>0</v>
      </c>
      <c r="BR31" s="1539">
        <v>0</v>
      </c>
      <c r="BS31" s="2126">
        <v>0</v>
      </c>
      <c r="BT31" s="54">
        <v>0</v>
      </c>
      <c r="BU31" s="1586"/>
      <c r="BV31" s="1584">
        <v>0</v>
      </c>
      <c r="BW31" s="2115">
        <v>0</v>
      </c>
      <c r="BX31" s="980">
        <v>0</v>
      </c>
      <c r="BY31" s="990"/>
      <c r="BZ31" s="990">
        <v>0</v>
      </c>
      <c r="CA31" s="990">
        <v>0</v>
      </c>
      <c r="CB31" s="990">
        <v>0</v>
      </c>
      <c r="CC31" s="990"/>
      <c r="CD31" s="990">
        <v>0</v>
      </c>
      <c r="CE31" s="1252">
        <v>0</v>
      </c>
      <c r="CG31" s="2111">
        <v>0</v>
      </c>
      <c r="CH31" s="1253">
        <v>0</v>
      </c>
      <c r="CI31" s="1540">
        <v>0</v>
      </c>
      <c r="CJ31" s="1548">
        <v>313.74806999999998</v>
      </c>
    </row>
    <row r="32" spans="1:98" s="961" customFormat="1" ht="26.25" hidden="1" thickBot="1" x14ac:dyDescent="0.3">
      <c r="A32" s="2427" t="s">
        <v>103</v>
      </c>
      <c r="B32" s="2428" t="s">
        <v>1486</v>
      </c>
      <c r="C32" s="1352">
        <v>2018</v>
      </c>
      <c r="D32" s="1352" t="s">
        <v>101</v>
      </c>
      <c r="E32" s="1249" t="s">
        <v>80</v>
      </c>
      <c r="F32" s="1249" t="s">
        <v>80</v>
      </c>
      <c r="G32" s="3100" t="s">
        <v>104</v>
      </c>
      <c r="H32" s="1252">
        <f>3616-0.92015</f>
        <v>3615.0798500000001</v>
      </c>
      <c r="I32" s="1252">
        <v>3615.0798500000001</v>
      </c>
      <c r="J32" s="1252">
        <v>0</v>
      </c>
      <c r="K32" s="3104"/>
      <c r="L32" s="3104"/>
      <c r="M32" s="3104"/>
      <c r="N32" s="3031">
        <f>942.92015-942.92015</f>
        <v>0</v>
      </c>
      <c r="O32" s="3091">
        <v>0</v>
      </c>
      <c r="P32" s="1541">
        <v>0</v>
      </c>
      <c r="Q32" s="3033">
        <v>0</v>
      </c>
      <c r="R32" s="2619">
        <v>942.92015000000004</v>
      </c>
      <c r="S32" s="1795">
        <v>-942.92015000000004</v>
      </c>
      <c r="T32" s="2743">
        <f>R32+S32</f>
        <v>0</v>
      </c>
      <c r="U32" s="1260">
        <v>0</v>
      </c>
      <c r="V32" s="1587">
        <v>0</v>
      </c>
      <c r="W32" s="1587">
        <v>0</v>
      </c>
      <c r="X32" s="3033">
        <v>0</v>
      </c>
      <c r="Y32" s="1259">
        <v>0</v>
      </c>
      <c r="Z32" s="1259">
        <v>0</v>
      </c>
      <c r="AA32" s="1259">
        <v>0</v>
      </c>
      <c r="AB32" s="3033">
        <v>0</v>
      </c>
      <c r="AC32" s="3063" t="s">
        <v>2740</v>
      </c>
      <c r="AD32" s="979" t="s">
        <v>1329</v>
      </c>
      <c r="AE32" s="1590" t="s">
        <v>1547</v>
      </c>
      <c r="AF32" s="1590" t="s">
        <v>1283</v>
      </c>
      <c r="AG32" s="1589" t="s">
        <v>1283</v>
      </c>
      <c r="AH32" s="1249">
        <v>9</v>
      </c>
      <c r="AI32" s="721" t="s">
        <v>1230</v>
      </c>
      <c r="AJ32" s="363"/>
      <c r="AK32" s="516">
        <f>H32-I32-T32-Y32-Z32-AA32-AB32</f>
        <v>0</v>
      </c>
      <c r="AL32" s="1353">
        <f>T32-R32-S32</f>
        <v>0</v>
      </c>
      <c r="AM32" s="2817">
        <f>T32-N32-O32-P32-Q32</f>
        <v>0</v>
      </c>
      <c r="AN32" s="1217">
        <f>Y32-U32-V32-W32-X32</f>
        <v>0</v>
      </c>
      <c r="AO32" s="2808"/>
      <c r="AP32" s="1218"/>
      <c r="AQ32" s="1225" t="s">
        <v>74</v>
      </c>
      <c r="AR32" s="1219">
        <v>4</v>
      </c>
      <c r="AS32" s="1219"/>
      <c r="AT32" s="3170">
        <v>8</v>
      </c>
      <c r="AU32" s="1296"/>
      <c r="AV32" s="148"/>
      <c r="AW32" s="919"/>
      <c r="AX32" s="570"/>
      <c r="AY32" s="151" t="s">
        <v>1209</v>
      </c>
      <c r="AZ32" s="1598" t="s">
        <v>2355</v>
      </c>
      <c r="BA32" s="1598" t="s">
        <v>2355</v>
      </c>
      <c r="BB32" s="1347" t="s">
        <v>1209</v>
      </c>
      <c r="BC32" s="1347" t="s">
        <v>1209</v>
      </c>
      <c r="BD32" s="1347" t="s">
        <v>1209</v>
      </c>
      <c r="BE32" s="1212" t="s">
        <v>1209</v>
      </c>
      <c r="BF32" s="380" t="s">
        <v>1209</v>
      </c>
      <c r="BG32" s="407">
        <v>1</v>
      </c>
      <c r="BH32" s="407">
        <v>0</v>
      </c>
      <c r="BI32" s="1304"/>
      <c r="BJ32" s="707"/>
      <c r="BK32" s="28">
        <v>1168.8611599999999</v>
      </c>
      <c r="BL32" s="364">
        <v>2446.2186900000002</v>
      </c>
      <c r="BM32" s="364"/>
      <c r="BN32" s="1640">
        <v>3531.1388400000001</v>
      </c>
      <c r="BO32" s="2317">
        <v>1084.9201499999999</v>
      </c>
      <c r="BP32" s="1595">
        <v>2446.2186900000002</v>
      </c>
      <c r="BQ32" s="1643">
        <v>942.92015000000004</v>
      </c>
      <c r="BR32" s="2130">
        <v>0</v>
      </c>
      <c r="BS32" s="54">
        <f>BP32+BR32</f>
        <v>2446.2186900000002</v>
      </c>
      <c r="BT32" s="1596"/>
      <c r="BU32" s="1602">
        <v>2446.2186900000002</v>
      </c>
      <c r="BV32" s="2113">
        <v>0</v>
      </c>
      <c r="BW32" s="965">
        <v>2446.2186900000002</v>
      </c>
      <c r="BX32" s="1300">
        <v>0</v>
      </c>
      <c r="BY32" s="1297">
        <v>2446.2186900000002</v>
      </c>
      <c r="BZ32" s="1299">
        <v>2446.2186900000002</v>
      </c>
      <c r="CA32" s="1300">
        <v>2446.2186900000002</v>
      </c>
      <c r="CB32" s="1300"/>
      <c r="CC32" s="1300">
        <v>2232.5863199999999</v>
      </c>
      <c r="CD32" s="1301">
        <v>2232.5863199999999</v>
      </c>
      <c r="CF32" s="2114">
        <v>2232.5863199999999</v>
      </c>
      <c r="CG32" s="1753">
        <f>BL32-CF32</f>
        <v>213.63237000000026</v>
      </c>
      <c r="CH32" s="1634">
        <v>0</v>
      </c>
      <c r="CI32" s="1634">
        <v>1084.9201499999999</v>
      </c>
      <c r="CJ32" s="321">
        <v>0</v>
      </c>
      <c r="CK32" s="4">
        <v>0</v>
      </c>
      <c r="CL32" s="1209">
        <v>0</v>
      </c>
      <c r="CM32" s="990">
        <v>0</v>
      </c>
      <c r="CN32" s="2872">
        <v>0</v>
      </c>
      <c r="CO32" s="2872">
        <v>0</v>
      </c>
      <c r="CP32" s="2872">
        <v>0</v>
      </c>
      <c r="CQ32" s="990">
        <v>0</v>
      </c>
      <c r="CR32" s="3104"/>
      <c r="CS32" s="1209"/>
      <c r="CT32" s="2764"/>
    </row>
    <row r="33" spans="1:93" s="1013" customFormat="1" ht="26.25" hidden="1" thickBot="1" x14ac:dyDescent="0.3">
      <c r="A33" s="2425" t="s">
        <v>107</v>
      </c>
      <c r="B33" s="2426" t="s">
        <v>1291</v>
      </c>
      <c r="C33" s="78">
        <v>2018</v>
      </c>
      <c r="D33" s="78" t="s">
        <v>101</v>
      </c>
      <c r="E33" s="79" t="s">
        <v>80</v>
      </c>
      <c r="F33" s="88" t="s">
        <v>80</v>
      </c>
      <c r="G33" s="223" t="s">
        <v>108</v>
      </c>
      <c r="H33" s="42">
        <v>7646.9967200000001</v>
      </c>
      <c r="I33" s="2533">
        <f t="shared" si="5"/>
        <v>0</v>
      </c>
      <c r="J33" s="2643">
        <f t="shared" si="0"/>
        <v>7646.9967200000001</v>
      </c>
      <c r="K33" s="2643">
        <f t="shared" si="1"/>
        <v>7646.9967200000001</v>
      </c>
      <c r="L33" s="2643">
        <f t="shared" si="2"/>
        <v>0</v>
      </c>
      <c r="M33" s="1438"/>
      <c r="N33" s="542">
        <v>0</v>
      </c>
      <c r="O33" s="44">
        <v>0</v>
      </c>
      <c r="P33" s="1466">
        <v>0</v>
      </c>
      <c r="Q33" s="23">
        <v>0</v>
      </c>
      <c r="R33" s="2335">
        <v>0</v>
      </c>
      <c r="S33" s="1448">
        <v>0</v>
      </c>
      <c r="T33" s="1463">
        <v>0</v>
      </c>
      <c r="U33" s="2573"/>
      <c r="V33" s="2573"/>
      <c r="W33" s="2573"/>
      <c r="X33" s="2573"/>
      <c r="Y33" s="43">
        <v>0</v>
      </c>
      <c r="Z33" s="24">
        <v>0</v>
      </c>
      <c r="AA33" s="24">
        <v>0</v>
      </c>
      <c r="AB33" s="23">
        <v>0</v>
      </c>
      <c r="AC33" s="150" t="s">
        <v>1209</v>
      </c>
      <c r="AD33" s="75" t="s">
        <v>1329</v>
      </c>
      <c r="AE33" s="379" t="s">
        <v>384</v>
      </c>
      <c r="AF33" s="74" t="s">
        <v>1283</v>
      </c>
      <c r="AG33" s="74" t="s">
        <v>1283</v>
      </c>
      <c r="AH33" s="79">
        <v>10</v>
      </c>
      <c r="AI33" s="722" t="s">
        <v>2943</v>
      </c>
      <c r="AJ33" s="2416">
        <v>0</v>
      </c>
      <c r="AK33" s="516">
        <v>0</v>
      </c>
      <c r="AL33" s="452">
        <v>0</v>
      </c>
      <c r="AM33" s="513">
        <v>0</v>
      </c>
      <c r="AN33" s="1142"/>
      <c r="AO33" s="1142"/>
      <c r="AP33" s="496"/>
      <c r="AQ33" s="662" t="s">
        <v>74</v>
      </c>
      <c r="AR33" s="175">
        <v>4</v>
      </c>
      <c r="AS33" s="175"/>
      <c r="AT33" s="662">
        <v>2</v>
      </c>
      <c r="AU33" s="1148"/>
      <c r="AV33" s="435"/>
      <c r="AW33" s="75"/>
      <c r="AX33" s="150"/>
      <c r="AY33" s="150"/>
      <c r="AZ33" s="150" t="s">
        <v>1209</v>
      </c>
      <c r="BA33" s="150"/>
      <c r="BB33" s="150" t="s">
        <v>1209</v>
      </c>
      <c r="BC33" s="83" t="s">
        <v>1209</v>
      </c>
      <c r="BD33" s="83" t="s">
        <v>1209</v>
      </c>
      <c r="BE33" s="83" t="s">
        <v>1209</v>
      </c>
      <c r="BF33" s="150" t="s">
        <v>1209</v>
      </c>
      <c r="BG33" s="150" t="s">
        <v>1209</v>
      </c>
      <c r="BH33" s="755">
        <v>1</v>
      </c>
      <c r="BI33" s="755">
        <v>0</v>
      </c>
      <c r="BJ33" s="462" t="s">
        <v>1288</v>
      </c>
      <c r="BK33" s="433"/>
      <c r="BL33" s="42">
        <v>0</v>
      </c>
      <c r="BM33" s="1438">
        <v>7646.9967200000001</v>
      </c>
      <c r="BN33" s="2105">
        <v>7646.9967200000001</v>
      </c>
      <c r="BO33" s="2105">
        <v>7646.9967200000001</v>
      </c>
      <c r="BP33" s="2314">
        <v>0</v>
      </c>
      <c r="BQ33" s="1486">
        <v>7646.9967200000001</v>
      </c>
      <c r="BR33" s="27">
        <v>0</v>
      </c>
      <c r="BS33" s="134">
        <v>0</v>
      </c>
      <c r="BT33" s="54">
        <v>7646.9967200000001</v>
      </c>
      <c r="BU33" s="43"/>
      <c r="BV33" s="1486">
        <v>7646.9967200000001</v>
      </c>
      <c r="BW33" s="431">
        <v>0</v>
      </c>
      <c r="BX33" s="25">
        <v>7646.9967200000001</v>
      </c>
      <c r="BY33" s="823"/>
      <c r="BZ33" s="999">
        <v>7646.9967200000001</v>
      </c>
      <c r="CA33" s="1128">
        <v>7646.9967200000001</v>
      </c>
      <c r="CB33" s="823">
        <v>7646.9967200000001</v>
      </c>
      <c r="CC33" s="823"/>
      <c r="CD33" s="823">
        <v>7646.9967200000001</v>
      </c>
      <c r="CE33" s="42">
        <v>7646.9967200000001</v>
      </c>
      <c r="CG33" s="1391">
        <v>7646.9967200000001</v>
      </c>
      <c r="CH33" s="374">
        <v>0</v>
      </c>
      <c r="CI33" s="1037">
        <v>0</v>
      </c>
      <c r="CJ33" s="1037">
        <v>0</v>
      </c>
    </row>
    <row r="34" spans="1:93" s="985" customFormat="1" ht="30.75" hidden="1" thickBot="1" x14ac:dyDescent="0.3">
      <c r="A34" s="2427" t="s">
        <v>109</v>
      </c>
      <c r="B34" s="2428" t="s">
        <v>1213</v>
      </c>
      <c r="C34" s="1352">
        <v>2018</v>
      </c>
      <c r="D34" s="1352" t="s">
        <v>101</v>
      </c>
      <c r="E34" s="1249" t="s">
        <v>80</v>
      </c>
      <c r="F34" s="1250" t="s">
        <v>80</v>
      </c>
      <c r="G34" s="1251" t="s">
        <v>110</v>
      </c>
      <c r="H34" s="1252">
        <v>26371.941800000001</v>
      </c>
      <c r="I34" s="2533">
        <f t="shared" si="5"/>
        <v>0</v>
      </c>
      <c r="J34" s="2643">
        <f t="shared" si="0"/>
        <v>26371.941799999997</v>
      </c>
      <c r="K34" s="2643">
        <f t="shared" si="1"/>
        <v>26371.941799999997</v>
      </c>
      <c r="L34" s="2643">
        <f t="shared" si="2"/>
        <v>0</v>
      </c>
      <c r="M34" s="1759"/>
      <c r="N34" s="2361">
        <v>0</v>
      </c>
      <c r="O34" s="1540">
        <v>0</v>
      </c>
      <c r="P34" s="1587">
        <v>0</v>
      </c>
      <c r="Q34" s="1261"/>
      <c r="R34" s="2341">
        <v>530.75220000000002</v>
      </c>
      <c r="S34" s="1588">
        <v>-530.75220000000002</v>
      </c>
      <c r="T34" s="1545">
        <v>0</v>
      </c>
      <c r="U34" s="3172"/>
      <c r="V34" s="3172"/>
      <c r="W34" s="3172"/>
      <c r="X34" s="3172"/>
      <c r="Y34" s="1586">
        <v>0</v>
      </c>
      <c r="Z34" s="1259">
        <v>0</v>
      </c>
      <c r="AA34" s="1259">
        <v>0</v>
      </c>
      <c r="AB34" s="1261">
        <v>0</v>
      </c>
      <c r="AC34" s="982" t="s">
        <v>2356</v>
      </c>
      <c r="AD34" s="979" t="s">
        <v>1329</v>
      </c>
      <c r="AE34" s="1590" t="s">
        <v>355</v>
      </c>
      <c r="AF34" s="1589" t="s">
        <v>1283</v>
      </c>
      <c r="AG34" s="1589" t="s">
        <v>1283</v>
      </c>
      <c r="AH34" s="1249">
        <v>6</v>
      </c>
      <c r="AI34" s="1319" t="s">
        <v>1447</v>
      </c>
      <c r="AJ34" s="2416">
        <v>530.75220000000263</v>
      </c>
      <c r="AK34" s="516">
        <v>3.637978807091713E-12</v>
      </c>
      <c r="AL34" s="1320">
        <v>0</v>
      </c>
      <c r="AM34" s="512">
        <v>0</v>
      </c>
      <c r="AN34" s="1171"/>
      <c r="AO34" s="1171"/>
      <c r="AP34" s="1177"/>
      <c r="AQ34" s="674" t="s">
        <v>74</v>
      </c>
      <c r="AR34" s="367">
        <v>4</v>
      </c>
      <c r="AS34" s="367"/>
      <c r="AT34" s="674">
        <v>6</v>
      </c>
      <c r="AU34" s="1178"/>
      <c r="AV34" s="455"/>
      <c r="AW34" s="979"/>
      <c r="AX34" s="982"/>
      <c r="AY34" s="982"/>
      <c r="AZ34" s="982" t="s">
        <v>2356</v>
      </c>
      <c r="BA34" s="982"/>
      <c r="BB34" s="982" t="s">
        <v>2356</v>
      </c>
      <c r="BC34" s="979" t="s">
        <v>2164</v>
      </c>
      <c r="BD34" s="979" t="s">
        <v>2164</v>
      </c>
      <c r="BE34" s="2153" t="s">
        <v>1902</v>
      </c>
      <c r="BF34" s="982" t="s">
        <v>1545</v>
      </c>
      <c r="BG34" s="982" t="s">
        <v>1290</v>
      </c>
      <c r="BH34" s="403">
        <v>1</v>
      </c>
      <c r="BI34" s="403">
        <v>0</v>
      </c>
      <c r="BJ34" s="463" t="s">
        <v>1288</v>
      </c>
      <c r="BK34" s="454"/>
      <c r="BL34" s="1252">
        <v>530.69399999999996</v>
      </c>
      <c r="BM34" s="1759">
        <v>25841.247799999997</v>
      </c>
      <c r="BN34" s="2112">
        <v>26372</v>
      </c>
      <c r="BO34" s="2112">
        <v>26372</v>
      </c>
      <c r="BP34" s="2315">
        <v>530.75220000000263</v>
      </c>
      <c r="BQ34" s="1584">
        <v>9832.6029999999992</v>
      </c>
      <c r="BR34" s="1539">
        <v>9838.3170000000027</v>
      </c>
      <c r="BS34" s="2126">
        <v>16008.6448</v>
      </c>
      <c r="BT34" s="54">
        <v>25841.247799999997</v>
      </c>
      <c r="BU34" s="1586"/>
      <c r="BV34" s="1584">
        <v>9832.6029999999992</v>
      </c>
      <c r="BW34" s="2115">
        <v>9730.9629999999997</v>
      </c>
      <c r="BX34" s="980">
        <v>101.64</v>
      </c>
      <c r="BY34" s="990"/>
      <c r="BZ34" s="1335">
        <v>101.64</v>
      </c>
      <c r="CA34" s="1337">
        <v>101.64</v>
      </c>
      <c r="CB34" s="1335">
        <v>101.64</v>
      </c>
      <c r="CC34" s="1335"/>
      <c r="CD34" s="990">
        <v>101.64</v>
      </c>
      <c r="CE34" s="1252">
        <v>101.64</v>
      </c>
      <c r="CG34" s="2111">
        <v>101.64</v>
      </c>
      <c r="CH34" s="1253">
        <v>0</v>
      </c>
      <c r="CI34" s="1548">
        <v>0</v>
      </c>
      <c r="CJ34" s="1548">
        <v>26270.36</v>
      </c>
    </row>
    <row r="35" spans="1:93" s="985" customFormat="1" ht="26.25" hidden="1" thickBot="1" x14ac:dyDescent="0.3">
      <c r="A35" s="2427" t="s">
        <v>111</v>
      </c>
      <c r="B35" s="2428" t="s">
        <v>1214</v>
      </c>
      <c r="C35" s="1352">
        <v>2018</v>
      </c>
      <c r="D35" s="1352" t="s">
        <v>101</v>
      </c>
      <c r="E35" s="1249" t="s">
        <v>80</v>
      </c>
      <c r="F35" s="1250" t="s">
        <v>80</v>
      </c>
      <c r="G35" s="1600" t="s">
        <v>112</v>
      </c>
      <c r="H35" s="1252">
        <v>27095.851750000002</v>
      </c>
      <c r="I35" s="2533">
        <f t="shared" si="5"/>
        <v>0</v>
      </c>
      <c r="J35" s="2643">
        <f t="shared" si="0"/>
        <v>27095.851750000002</v>
      </c>
      <c r="K35" s="2643">
        <f t="shared" si="1"/>
        <v>27095.851750000002</v>
      </c>
      <c r="L35" s="2643">
        <f t="shared" si="2"/>
        <v>0</v>
      </c>
      <c r="M35" s="1759"/>
      <c r="N35" s="2361">
        <v>0</v>
      </c>
      <c r="O35" s="1540">
        <v>0</v>
      </c>
      <c r="P35" s="1587">
        <v>0</v>
      </c>
      <c r="Q35" s="1261">
        <v>0</v>
      </c>
      <c r="R35" s="2340">
        <v>749.93825000000004</v>
      </c>
      <c r="S35" s="1588">
        <v>-749.93825000000004</v>
      </c>
      <c r="T35" s="1545">
        <v>0</v>
      </c>
      <c r="U35" s="3172"/>
      <c r="V35" s="3172"/>
      <c r="W35" s="3172"/>
      <c r="X35" s="3172"/>
      <c r="Y35" s="1586">
        <v>0</v>
      </c>
      <c r="Z35" s="1259">
        <v>0</v>
      </c>
      <c r="AA35" s="1259">
        <v>0</v>
      </c>
      <c r="AB35" s="1261">
        <v>0</v>
      </c>
      <c r="AC35" s="570" t="s">
        <v>2357</v>
      </c>
      <c r="AD35" s="979" t="s">
        <v>1329</v>
      </c>
      <c r="AE35" s="1590" t="s">
        <v>845</v>
      </c>
      <c r="AF35" s="1589" t="s">
        <v>1283</v>
      </c>
      <c r="AG35" s="1589" t="s">
        <v>1283</v>
      </c>
      <c r="AH35" s="1249">
        <v>2</v>
      </c>
      <c r="AI35" s="1319" t="s">
        <v>1230</v>
      </c>
      <c r="AJ35" s="2416">
        <v>749.93824999999924</v>
      </c>
      <c r="AK35" s="516">
        <v>0</v>
      </c>
      <c r="AL35" s="1320">
        <v>0</v>
      </c>
      <c r="AM35" s="512">
        <v>0</v>
      </c>
      <c r="AN35" s="1171"/>
      <c r="AO35" s="1171"/>
      <c r="AP35" s="1177"/>
      <c r="AQ35" s="674" t="s">
        <v>74</v>
      </c>
      <c r="AR35" s="367">
        <v>4</v>
      </c>
      <c r="AS35" s="367"/>
      <c r="AT35" s="674">
        <v>6</v>
      </c>
      <c r="AU35" s="1178"/>
      <c r="AV35" s="455"/>
      <c r="AW35" s="979"/>
      <c r="AX35" s="570"/>
      <c r="AY35" s="570"/>
      <c r="AZ35" s="570" t="s">
        <v>2357</v>
      </c>
      <c r="BA35" s="570"/>
      <c r="BB35" s="570" t="s">
        <v>2357</v>
      </c>
      <c r="BC35" s="1523" t="s">
        <v>1542</v>
      </c>
      <c r="BD35" s="1523" t="s">
        <v>1542</v>
      </c>
      <c r="BE35" s="1523" t="s">
        <v>1542</v>
      </c>
      <c r="BF35" s="570" t="s">
        <v>1542</v>
      </c>
      <c r="BG35" s="982" t="s">
        <v>1290</v>
      </c>
      <c r="BH35" s="403">
        <v>1</v>
      </c>
      <c r="BI35" s="403">
        <v>0</v>
      </c>
      <c r="BJ35" s="463" t="s">
        <v>1288</v>
      </c>
      <c r="BK35" s="454"/>
      <c r="BL35" s="2156">
        <v>0</v>
      </c>
      <c r="BM35" s="1759">
        <v>27095.851750000002</v>
      </c>
      <c r="BN35" s="2112">
        <v>27845.79</v>
      </c>
      <c r="BO35" s="2112">
        <v>27845.79</v>
      </c>
      <c r="BP35" s="2315">
        <v>749.93824999999924</v>
      </c>
      <c r="BQ35" s="1252">
        <v>27095.851750000002</v>
      </c>
      <c r="BR35" s="1539">
        <v>0</v>
      </c>
      <c r="BS35" s="2127">
        <v>0</v>
      </c>
      <c r="BT35" s="54">
        <v>27095.851750000002</v>
      </c>
      <c r="BU35" s="1585"/>
      <c r="BV35" s="1538">
        <v>27095.851750000002</v>
      </c>
      <c r="BW35" s="1376">
        <v>0</v>
      </c>
      <c r="BX35" s="980">
        <v>27095.851750000002</v>
      </c>
      <c r="BY35" s="1601"/>
      <c r="BZ35" s="2154">
        <v>27095.851750000002</v>
      </c>
      <c r="CA35" s="2155">
        <v>27095.851750000002</v>
      </c>
      <c r="CB35" s="1601">
        <v>27095.851750000002</v>
      </c>
      <c r="CC35" s="1601"/>
      <c r="CD35" s="1601">
        <v>25399.43189</v>
      </c>
      <c r="CE35" s="2156">
        <v>25399.43189</v>
      </c>
      <c r="CG35" s="1825">
        <v>25399.43189</v>
      </c>
      <c r="CH35" s="1825">
        <v>1696.4198600000018</v>
      </c>
      <c r="CI35" s="1548">
        <v>0</v>
      </c>
      <c r="CJ35" s="1548">
        <v>749.93824999999924</v>
      </c>
    </row>
    <row r="36" spans="1:93" s="1013" customFormat="1" ht="26.25" hidden="1" thickBot="1" x14ac:dyDescent="0.3">
      <c r="A36" s="2425" t="s">
        <v>113</v>
      </c>
      <c r="B36" s="2426" t="s">
        <v>1215</v>
      </c>
      <c r="C36" s="78">
        <v>2018</v>
      </c>
      <c r="D36" s="78" t="s">
        <v>101</v>
      </c>
      <c r="E36" s="79" t="s">
        <v>80</v>
      </c>
      <c r="F36" s="88" t="s">
        <v>80</v>
      </c>
      <c r="G36" s="223" t="s">
        <v>114</v>
      </c>
      <c r="H36" s="42">
        <v>21718.401000000002</v>
      </c>
      <c r="I36" s="2533">
        <f t="shared" si="5"/>
        <v>0</v>
      </c>
      <c r="J36" s="2643">
        <f t="shared" si="0"/>
        <v>21718.400999999998</v>
      </c>
      <c r="K36" s="2643">
        <f t="shared" si="1"/>
        <v>21718.400999999998</v>
      </c>
      <c r="L36" s="2643">
        <f t="shared" si="2"/>
        <v>0</v>
      </c>
      <c r="M36" s="1438"/>
      <c r="N36" s="542">
        <v>0</v>
      </c>
      <c r="O36" s="44">
        <v>0</v>
      </c>
      <c r="P36" s="1466">
        <v>0</v>
      </c>
      <c r="Q36" s="23">
        <v>0</v>
      </c>
      <c r="R36" s="2339">
        <v>0</v>
      </c>
      <c r="S36" s="1448">
        <v>0</v>
      </c>
      <c r="T36" s="1463">
        <v>0</v>
      </c>
      <c r="U36" s="2573"/>
      <c r="V36" s="2573"/>
      <c r="W36" s="2573"/>
      <c r="X36" s="2573"/>
      <c r="Y36" s="43">
        <v>0</v>
      </c>
      <c r="Z36" s="24">
        <v>0</v>
      </c>
      <c r="AA36" s="24">
        <v>0</v>
      </c>
      <c r="AB36" s="23">
        <v>0</v>
      </c>
      <c r="AC36" s="150" t="s">
        <v>1209</v>
      </c>
      <c r="AD36" s="75" t="s">
        <v>1329</v>
      </c>
      <c r="AE36" s="379" t="s">
        <v>37</v>
      </c>
      <c r="AF36" s="74" t="s">
        <v>1283</v>
      </c>
      <c r="AG36" s="74" t="s">
        <v>1283</v>
      </c>
      <c r="AH36" s="79">
        <v>7</v>
      </c>
      <c r="AI36" s="722" t="s">
        <v>1230</v>
      </c>
      <c r="AJ36" s="2416">
        <v>9.9999997473787516E-6</v>
      </c>
      <c r="AK36" s="516">
        <v>3.637978807091713E-12</v>
      </c>
      <c r="AL36" s="452">
        <v>0</v>
      </c>
      <c r="AM36" s="513">
        <v>0</v>
      </c>
      <c r="AN36" s="1142"/>
      <c r="AO36" s="1142"/>
      <c r="AP36" s="496"/>
      <c r="AQ36" s="662" t="s">
        <v>74</v>
      </c>
      <c r="AR36" s="175">
        <v>4</v>
      </c>
      <c r="AS36" s="175"/>
      <c r="AT36" s="662">
        <v>5</v>
      </c>
      <c r="AU36" s="1148"/>
      <c r="AV36" s="435"/>
      <c r="AW36" s="75"/>
      <c r="AX36" s="150"/>
      <c r="AY36" s="150"/>
      <c r="AZ36" s="150" t="s">
        <v>1209</v>
      </c>
      <c r="BA36" s="150"/>
      <c r="BB36" s="150" t="s">
        <v>1209</v>
      </c>
      <c r="BC36" s="83" t="s">
        <v>1209</v>
      </c>
      <c r="BD36" s="83" t="s">
        <v>1209</v>
      </c>
      <c r="BE36" s="83" t="s">
        <v>1209</v>
      </c>
      <c r="BF36" s="150" t="s">
        <v>1209</v>
      </c>
      <c r="BG36" s="150" t="s">
        <v>1181</v>
      </c>
      <c r="BH36" s="755">
        <v>1</v>
      </c>
      <c r="BI36" s="755">
        <v>0</v>
      </c>
      <c r="BJ36" s="462" t="s">
        <v>1286</v>
      </c>
      <c r="BK36" s="433"/>
      <c r="BL36" s="42">
        <v>5333.8653800000002</v>
      </c>
      <c r="BM36" s="1438">
        <v>16384.535619999999</v>
      </c>
      <c r="BN36" s="2105">
        <v>16384.535629999998</v>
      </c>
      <c r="BO36" s="2105">
        <v>16384.535629999998</v>
      </c>
      <c r="BP36" s="2314">
        <v>9.9999997473787516E-6</v>
      </c>
      <c r="BQ36" s="1486">
        <v>16384.535619999999</v>
      </c>
      <c r="BR36" s="27">
        <v>0</v>
      </c>
      <c r="BS36" s="134">
        <v>0</v>
      </c>
      <c r="BT36" s="54">
        <v>16384.535619999999</v>
      </c>
      <c r="BU36" s="43"/>
      <c r="BV36" s="1486">
        <v>16384.535619999999</v>
      </c>
      <c r="BW36" s="431">
        <v>0</v>
      </c>
      <c r="BX36" s="25">
        <v>16384.535619999999</v>
      </c>
      <c r="BY36" s="823"/>
      <c r="BZ36" s="1128">
        <v>16384.535619999999</v>
      </c>
      <c r="CA36" s="1128">
        <v>16325.38027</v>
      </c>
      <c r="CB36" s="823">
        <v>16325.38027</v>
      </c>
      <c r="CC36" s="823"/>
      <c r="CD36" s="823">
        <v>14740.586799999999</v>
      </c>
      <c r="CE36" s="42">
        <v>14740.586799999999</v>
      </c>
      <c r="CG36" s="1391">
        <v>14740.586799999999</v>
      </c>
      <c r="CH36" s="799">
        <v>1584.7934700000005</v>
      </c>
      <c r="CI36" s="1037">
        <v>59.155360000002474</v>
      </c>
      <c r="CJ36" s="1037">
        <v>0</v>
      </c>
    </row>
    <row r="37" spans="1:93" s="985" customFormat="1" ht="26.25" hidden="1" thickBot="1" x14ac:dyDescent="0.3">
      <c r="A37" s="2427" t="s">
        <v>115</v>
      </c>
      <c r="B37" s="2428" t="s">
        <v>1217</v>
      </c>
      <c r="C37" s="1352">
        <v>2018</v>
      </c>
      <c r="D37" s="1352" t="s">
        <v>101</v>
      </c>
      <c r="E37" s="1249" t="s">
        <v>80</v>
      </c>
      <c r="F37" s="1250" t="s">
        <v>80</v>
      </c>
      <c r="G37" s="1251" t="s">
        <v>116</v>
      </c>
      <c r="H37" s="1252">
        <v>5905.2972499999996</v>
      </c>
      <c r="I37" s="2533">
        <f t="shared" si="5"/>
        <v>0</v>
      </c>
      <c r="J37" s="2643">
        <f t="shared" si="0"/>
        <v>5905.2972499999996</v>
      </c>
      <c r="K37" s="2643">
        <f t="shared" si="1"/>
        <v>5905.2972499999996</v>
      </c>
      <c r="L37" s="2643">
        <f t="shared" si="2"/>
        <v>0</v>
      </c>
      <c r="M37" s="1759"/>
      <c r="N37" s="2361">
        <v>0</v>
      </c>
      <c r="O37" s="1540">
        <v>0</v>
      </c>
      <c r="P37" s="1587">
        <v>0</v>
      </c>
      <c r="Q37" s="1261">
        <v>0</v>
      </c>
      <c r="R37" s="2338">
        <v>201.67196999999999</v>
      </c>
      <c r="S37" s="1610">
        <v>-201.67196999999999</v>
      </c>
      <c r="T37" s="1545">
        <v>0</v>
      </c>
      <c r="U37" s="3172"/>
      <c r="V37" s="3172"/>
      <c r="W37" s="3172"/>
      <c r="X37" s="3172"/>
      <c r="Y37" s="1586">
        <v>0</v>
      </c>
      <c r="Z37" s="1259">
        <v>0</v>
      </c>
      <c r="AA37" s="1259">
        <v>0</v>
      </c>
      <c r="AB37" s="1261">
        <v>0</v>
      </c>
      <c r="AC37" s="570" t="s">
        <v>2358</v>
      </c>
      <c r="AD37" s="979" t="s">
        <v>1329</v>
      </c>
      <c r="AE37" s="1590" t="s">
        <v>845</v>
      </c>
      <c r="AF37" s="1589" t="s">
        <v>1283</v>
      </c>
      <c r="AG37" s="1589" t="s">
        <v>1283</v>
      </c>
      <c r="AH37" s="1249">
        <v>4</v>
      </c>
      <c r="AI37" s="1319" t="s">
        <v>1230</v>
      </c>
      <c r="AJ37" s="2416">
        <v>201.67197000000033</v>
      </c>
      <c r="AK37" s="516">
        <v>0</v>
      </c>
      <c r="AL37" s="1320">
        <v>0</v>
      </c>
      <c r="AM37" s="512">
        <v>0</v>
      </c>
      <c r="AN37" s="1171"/>
      <c r="AO37" s="1171"/>
      <c r="AP37" s="1177"/>
      <c r="AQ37" s="674" t="s">
        <v>74</v>
      </c>
      <c r="AR37" s="367">
        <v>4</v>
      </c>
      <c r="AS37" s="367"/>
      <c r="AT37" s="674">
        <v>6</v>
      </c>
      <c r="AU37" s="1178"/>
      <c r="AV37" s="455"/>
      <c r="AW37" s="979"/>
      <c r="AX37" s="570"/>
      <c r="AY37" s="570"/>
      <c r="AZ37" s="570" t="s">
        <v>2358</v>
      </c>
      <c r="BA37" s="570"/>
      <c r="BB37" s="570" t="s">
        <v>2358</v>
      </c>
      <c r="BC37" s="1523" t="s">
        <v>1542</v>
      </c>
      <c r="BD37" s="1523" t="s">
        <v>1542</v>
      </c>
      <c r="BE37" s="979" t="s">
        <v>1209</v>
      </c>
      <c r="BF37" s="982" t="s">
        <v>1281</v>
      </c>
      <c r="BG37" s="982" t="s">
        <v>1290</v>
      </c>
      <c r="BH37" s="403">
        <v>1</v>
      </c>
      <c r="BI37" s="403">
        <v>0</v>
      </c>
      <c r="BJ37" s="463" t="s">
        <v>1288</v>
      </c>
      <c r="BK37" s="454"/>
      <c r="BL37" s="1252">
        <v>1174.0888600000001</v>
      </c>
      <c r="BM37" s="1759">
        <v>4731.2083899999998</v>
      </c>
      <c r="BN37" s="2112">
        <v>4932.8803600000001</v>
      </c>
      <c r="BO37" s="2112">
        <v>4932.8803600000001</v>
      </c>
      <c r="BP37" s="2315">
        <v>201.67197000000033</v>
      </c>
      <c r="BQ37" s="1584">
        <v>4731.2083899999998</v>
      </c>
      <c r="BR37" s="1539">
        <v>0</v>
      </c>
      <c r="BS37" s="2126">
        <v>0</v>
      </c>
      <c r="BT37" s="54">
        <v>4731.2083899999998</v>
      </c>
      <c r="BU37" s="1586"/>
      <c r="BV37" s="1584">
        <v>4731.2083899999998</v>
      </c>
      <c r="BW37" s="2110">
        <v>0</v>
      </c>
      <c r="BX37" s="980">
        <v>4731.2083899999998</v>
      </c>
      <c r="BY37" s="990">
        <v>0</v>
      </c>
      <c r="BZ37" s="1337">
        <v>4731.2083899999998</v>
      </c>
      <c r="CA37" s="1337">
        <v>4613.8383999999996</v>
      </c>
      <c r="CB37" s="990">
        <v>4613.8383999999996</v>
      </c>
      <c r="CC37" s="990"/>
      <c r="CD37" s="990">
        <v>2514.6038400000002</v>
      </c>
      <c r="CE37" s="1252">
        <v>2514.6038400000002</v>
      </c>
      <c r="CG37" s="2111">
        <v>2514.6038400000002</v>
      </c>
      <c r="CH37" s="1825">
        <v>2099.2345599999994</v>
      </c>
      <c r="CI37" s="1548">
        <v>117.36998999999969</v>
      </c>
      <c r="CJ37" s="2157">
        <v>201.67196999999999</v>
      </c>
    </row>
    <row r="38" spans="1:93" s="2080" customFormat="1" ht="51.75" hidden="1" thickBot="1" x14ac:dyDescent="0.3">
      <c r="A38" s="2649" t="s">
        <v>117</v>
      </c>
      <c r="B38" s="2650" t="s">
        <v>2272</v>
      </c>
      <c r="C38" s="2651">
        <v>2018</v>
      </c>
      <c r="D38" s="2651" t="s">
        <v>101</v>
      </c>
      <c r="E38" s="2652" t="s">
        <v>80</v>
      </c>
      <c r="F38" s="2653" t="s">
        <v>80</v>
      </c>
      <c r="G38" s="2654" t="s">
        <v>118</v>
      </c>
      <c r="H38" s="2655">
        <v>3657.5645300000001</v>
      </c>
      <c r="I38" s="2700">
        <f t="shared" si="5"/>
        <v>0</v>
      </c>
      <c r="J38" s="2648">
        <f t="shared" si="0"/>
        <v>3657.5645300000001</v>
      </c>
      <c r="K38" s="2648">
        <f t="shared" si="1"/>
        <v>3657.5645300000001</v>
      </c>
      <c r="L38" s="2648">
        <f t="shared" si="2"/>
        <v>0</v>
      </c>
      <c r="M38" s="2668"/>
      <c r="N38" s="2656">
        <v>0</v>
      </c>
      <c r="O38" s="2657">
        <v>0</v>
      </c>
      <c r="P38" s="2658">
        <v>0</v>
      </c>
      <c r="Q38" s="2659">
        <v>0</v>
      </c>
      <c r="R38" s="2660">
        <v>92.435470000000009</v>
      </c>
      <c r="S38" s="2661">
        <v>-92.435470000000009</v>
      </c>
      <c r="T38" s="2661">
        <v>0</v>
      </c>
      <c r="U38" s="3176"/>
      <c r="V38" s="3176"/>
      <c r="W38" s="3176"/>
      <c r="X38" s="3176"/>
      <c r="Y38" s="2662">
        <v>0</v>
      </c>
      <c r="Z38" s="2663">
        <v>0</v>
      </c>
      <c r="AA38" s="2663">
        <v>0</v>
      </c>
      <c r="AB38" s="2659">
        <v>0</v>
      </c>
      <c r="AC38" s="2664" t="s">
        <v>2359</v>
      </c>
      <c r="AD38" s="933" t="s">
        <v>2606</v>
      </c>
      <c r="AE38" s="2665" t="s">
        <v>355</v>
      </c>
      <c r="AF38" s="2709" t="s">
        <v>1283</v>
      </c>
      <c r="AG38" s="2709" t="s">
        <v>1283</v>
      </c>
      <c r="AH38" s="1302">
        <v>10</v>
      </c>
      <c r="AI38" s="1213" t="s">
        <v>1447</v>
      </c>
      <c r="AJ38" s="2416">
        <v>42.435469999999896</v>
      </c>
      <c r="AK38" s="516">
        <v>0</v>
      </c>
      <c r="AL38" s="1320">
        <v>0</v>
      </c>
      <c r="AM38" s="512">
        <v>0</v>
      </c>
      <c r="AN38" s="1171"/>
      <c r="AO38" s="1171"/>
      <c r="AP38" s="1177"/>
      <c r="AQ38" s="367" t="s">
        <v>74</v>
      </c>
      <c r="AR38" s="367">
        <v>4</v>
      </c>
      <c r="AS38" s="367"/>
      <c r="AT38" s="367">
        <v>6</v>
      </c>
      <c r="AU38" s="1178"/>
      <c r="AV38" s="1311"/>
      <c r="AW38" s="979"/>
      <c r="AX38" s="982"/>
      <c r="AY38" s="982"/>
      <c r="AZ38" s="982" t="s">
        <v>2359</v>
      </c>
      <c r="BA38" s="982"/>
      <c r="BB38" s="982" t="s">
        <v>2359</v>
      </c>
      <c r="BC38" s="979" t="s">
        <v>2165</v>
      </c>
      <c r="BD38" s="979" t="s">
        <v>2165</v>
      </c>
      <c r="BE38" s="979" t="s">
        <v>1902</v>
      </c>
      <c r="BF38" s="570" t="s">
        <v>1546</v>
      </c>
      <c r="BG38" s="570" t="s">
        <v>1292</v>
      </c>
      <c r="BH38" s="403">
        <v>1</v>
      </c>
      <c r="BI38" s="403">
        <v>0</v>
      </c>
      <c r="BJ38" s="2165" t="s">
        <v>1284</v>
      </c>
      <c r="BK38" s="366"/>
      <c r="BL38" s="1252">
        <v>0</v>
      </c>
      <c r="BM38" s="1759">
        <v>3657.5645300000001</v>
      </c>
      <c r="BN38" s="980">
        <v>3700</v>
      </c>
      <c r="BO38" s="980">
        <v>3700</v>
      </c>
      <c r="BP38" s="2312">
        <v>42.435469999999896</v>
      </c>
      <c r="BQ38" s="1584">
        <v>3499.8453300000001</v>
      </c>
      <c r="BR38" s="1539">
        <v>200.15467000000001</v>
      </c>
      <c r="BS38" s="2126">
        <v>157.7192</v>
      </c>
      <c r="BT38" s="54">
        <v>3657.5645300000001</v>
      </c>
      <c r="BU38" s="1586"/>
      <c r="BV38" s="1584">
        <v>3499.8453300000001</v>
      </c>
      <c r="BW38" s="2110">
        <v>3499.8453300000001</v>
      </c>
      <c r="BX38" s="980">
        <v>0</v>
      </c>
      <c r="BY38" s="990"/>
      <c r="BZ38" s="990">
        <v>0</v>
      </c>
      <c r="CA38" s="990">
        <v>0</v>
      </c>
      <c r="CB38" s="990">
        <v>0</v>
      </c>
      <c r="CC38" s="990"/>
      <c r="CD38" s="990">
        <v>0</v>
      </c>
      <c r="CE38" s="1252">
        <v>0</v>
      </c>
      <c r="CG38" s="2111">
        <v>0</v>
      </c>
      <c r="CH38" s="1825">
        <v>0</v>
      </c>
      <c r="CI38" s="1548">
        <v>0</v>
      </c>
      <c r="CJ38" s="1548">
        <v>3700</v>
      </c>
    </row>
    <row r="39" spans="1:93" s="1950" customFormat="1" ht="26.25" hidden="1" thickBot="1" x14ac:dyDescent="0.3">
      <c r="A39" s="2425" t="s">
        <v>119</v>
      </c>
      <c r="B39" s="2426" t="s">
        <v>2324</v>
      </c>
      <c r="C39" s="78">
        <v>2018</v>
      </c>
      <c r="D39" s="78" t="s">
        <v>101</v>
      </c>
      <c r="E39" s="79" t="s">
        <v>80</v>
      </c>
      <c r="F39" s="88" t="s">
        <v>80</v>
      </c>
      <c r="G39" s="224" t="s">
        <v>2133</v>
      </c>
      <c r="H39" s="42">
        <v>10030.904839999999</v>
      </c>
      <c r="I39" s="2533">
        <f t="shared" si="5"/>
        <v>0</v>
      </c>
      <c r="J39" s="2643">
        <f t="shared" si="0"/>
        <v>10030.904839999999</v>
      </c>
      <c r="K39" s="2643">
        <f t="shared" si="1"/>
        <v>10030.904839999999</v>
      </c>
      <c r="L39" s="2643">
        <f t="shared" si="2"/>
        <v>0</v>
      </c>
      <c r="M39" s="1438"/>
      <c r="N39" s="542">
        <v>0</v>
      </c>
      <c r="O39" s="44">
        <v>0</v>
      </c>
      <c r="P39" s="1466">
        <v>0</v>
      </c>
      <c r="Q39" s="23">
        <v>0</v>
      </c>
      <c r="R39" s="2337">
        <v>0</v>
      </c>
      <c r="S39" s="1448">
        <v>0</v>
      </c>
      <c r="T39" s="1463">
        <v>0</v>
      </c>
      <c r="U39" s="2573"/>
      <c r="V39" s="2573"/>
      <c r="W39" s="2573"/>
      <c r="X39" s="2573"/>
      <c r="Y39" s="43">
        <v>0</v>
      </c>
      <c r="Z39" s="24">
        <v>0</v>
      </c>
      <c r="AA39" s="24">
        <v>0</v>
      </c>
      <c r="AB39" s="23">
        <v>0</v>
      </c>
      <c r="AC39" s="143" t="s">
        <v>1209</v>
      </c>
      <c r="AD39" s="75" t="s">
        <v>1329</v>
      </c>
      <c r="AE39" s="379" t="s">
        <v>355</v>
      </c>
      <c r="AF39" s="74" t="s">
        <v>1283</v>
      </c>
      <c r="AG39" s="74" t="s">
        <v>1283</v>
      </c>
      <c r="AH39" s="79">
        <v>7</v>
      </c>
      <c r="AI39" s="722" t="s">
        <v>1447</v>
      </c>
      <c r="AJ39" s="2416">
        <v>9.5160000000760192E-2</v>
      </c>
      <c r="AK39" s="516">
        <v>0</v>
      </c>
      <c r="AL39" s="1937">
        <v>0</v>
      </c>
      <c r="AM39" s="1938">
        <v>0</v>
      </c>
      <c r="AN39" s="1939"/>
      <c r="AO39" s="1939"/>
      <c r="AP39" s="1940"/>
      <c r="AQ39" s="1941" t="s">
        <v>74</v>
      </c>
      <c r="AR39" s="1942">
        <v>4</v>
      </c>
      <c r="AS39" s="1942"/>
      <c r="AT39" s="674">
        <v>6</v>
      </c>
      <c r="AU39" s="1943"/>
      <c r="AV39" s="455"/>
      <c r="AW39" s="958"/>
      <c r="AX39" s="1926"/>
      <c r="AY39" s="1926"/>
      <c r="AZ39" s="143" t="s">
        <v>1209</v>
      </c>
      <c r="BA39" s="143"/>
      <c r="BB39" s="143" t="s">
        <v>1209</v>
      </c>
      <c r="BC39" s="75" t="s">
        <v>2136</v>
      </c>
      <c r="BD39" s="1944" t="s">
        <v>2136</v>
      </c>
      <c r="BE39" s="958" t="s">
        <v>1902</v>
      </c>
      <c r="BF39" s="784" t="s">
        <v>1181</v>
      </c>
      <c r="BG39" s="784" t="s">
        <v>1209</v>
      </c>
      <c r="BH39" s="1928">
        <v>1</v>
      </c>
      <c r="BI39" s="1928">
        <v>0</v>
      </c>
      <c r="BJ39" s="1348" t="s">
        <v>1288</v>
      </c>
      <c r="BK39" s="1945"/>
      <c r="BL39" s="439">
        <v>0</v>
      </c>
      <c r="BM39" s="1438">
        <v>10030.904839999999</v>
      </c>
      <c r="BN39" s="2105">
        <v>10031</v>
      </c>
      <c r="BO39" s="2105">
        <v>10031</v>
      </c>
      <c r="BP39" s="2314">
        <v>9.5160000000760192E-2</v>
      </c>
      <c r="BQ39" s="1486">
        <v>0</v>
      </c>
      <c r="BR39" s="27">
        <v>10030.904839999999</v>
      </c>
      <c r="BS39" s="134">
        <v>10030.904839999999</v>
      </c>
      <c r="BT39" s="54">
        <v>10030.904839999999</v>
      </c>
      <c r="BU39" s="43"/>
      <c r="BV39" s="1486">
        <v>0</v>
      </c>
      <c r="BW39" s="431">
        <v>0</v>
      </c>
      <c r="BX39" s="1946">
        <v>0</v>
      </c>
      <c r="BY39" s="1947"/>
      <c r="BZ39" s="1948">
        <v>0</v>
      </c>
      <c r="CA39" s="1948">
        <v>0</v>
      </c>
      <c r="CB39" s="1948">
        <v>0</v>
      </c>
      <c r="CC39" s="1948"/>
      <c r="CD39" s="1948">
        <v>0</v>
      </c>
      <c r="CE39" s="1949">
        <v>0</v>
      </c>
      <c r="CG39" s="1392">
        <v>0</v>
      </c>
      <c r="CH39" s="374">
        <v>0</v>
      </c>
      <c r="CI39" s="1037">
        <v>0</v>
      </c>
      <c r="CJ39" s="1037">
        <v>10031</v>
      </c>
    </row>
    <row r="40" spans="1:93" s="985" customFormat="1" ht="26.25" hidden="1" thickBot="1" x14ac:dyDescent="0.3">
      <c r="A40" s="2427" t="s">
        <v>120</v>
      </c>
      <c r="B40" s="2428" t="s">
        <v>1216</v>
      </c>
      <c r="C40" s="1352">
        <v>2018</v>
      </c>
      <c r="D40" s="1352" t="s">
        <v>101</v>
      </c>
      <c r="E40" s="1249" t="s">
        <v>80</v>
      </c>
      <c r="F40" s="1250" t="s">
        <v>80</v>
      </c>
      <c r="G40" s="1600" t="s">
        <v>121</v>
      </c>
      <c r="H40" s="1252">
        <v>26716.7876</v>
      </c>
      <c r="I40" s="2533">
        <f t="shared" si="5"/>
        <v>0</v>
      </c>
      <c r="J40" s="2643">
        <f t="shared" si="0"/>
        <v>26716.7876</v>
      </c>
      <c r="K40" s="2643">
        <f t="shared" si="1"/>
        <v>26716.7876</v>
      </c>
      <c r="L40" s="2643">
        <f t="shared" si="2"/>
        <v>0</v>
      </c>
      <c r="M40" s="1759"/>
      <c r="N40" s="2361">
        <v>0</v>
      </c>
      <c r="O40" s="1540">
        <v>0</v>
      </c>
      <c r="P40" s="1587">
        <v>0</v>
      </c>
      <c r="Q40" s="1261">
        <v>0</v>
      </c>
      <c r="R40" s="2341">
        <v>25.6724</v>
      </c>
      <c r="S40" s="1588">
        <v>-25.6724</v>
      </c>
      <c r="T40" s="1545">
        <v>0</v>
      </c>
      <c r="U40" s="3172"/>
      <c r="V40" s="3172"/>
      <c r="W40" s="3172"/>
      <c r="X40" s="3172"/>
      <c r="Y40" s="1586">
        <v>0</v>
      </c>
      <c r="Z40" s="1259">
        <v>0</v>
      </c>
      <c r="AA40" s="1259">
        <v>0</v>
      </c>
      <c r="AB40" s="1261">
        <v>0</v>
      </c>
      <c r="AC40" s="570" t="s">
        <v>2360</v>
      </c>
      <c r="AD40" s="979" t="s">
        <v>1329</v>
      </c>
      <c r="AE40" s="1590" t="s">
        <v>355</v>
      </c>
      <c r="AF40" s="1589" t="s">
        <v>1283</v>
      </c>
      <c r="AG40" s="1589" t="s">
        <v>1283</v>
      </c>
      <c r="AH40" s="1249">
        <v>9</v>
      </c>
      <c r="AI40" s="1319" t="s">
        <v>1230</v>
      </c>
      <c r="AJ40" s="2416">
        <v>25.67239999999947</v>
      </c>
      <c r="AK40" s="516">
        <v>0</v>
      </c>
      <c r="AL40" s="1320">
        <v>0</v>
      </c>
      <c r="AM40" s="512">
        <v>0</v>
      </c>
      <c r="AN40" s="1171"/>
      <c r="AO40" s="1171"/>
      <c r="AP40" s="1177"/>
      <c r="AQ40" s="674" t="s">
        <v>74</v>
      </c>
      <c r="AR40" s="367">
        <v>4</v>
      </c>
      <c r="AS40" s="367"/>
      <c r="AT40" s="674">
        <v>6</v>
      </c>
      <c r="AU40" s="1178"/>
      <c r="AV40" s="455"/>
      <c r="AW40" s="979"/>
      <c r="AX40" s="570"/>
      <c r="AY40" s="570"/>
      <c r="AZ40" s="570" t="s">
        <v>2360</v>
      </c>
      <c r="BA40" s="570"/>
      <c r="BB40" s="570" t="s">
        <v>2360</v>
      </c>
      <c r="BC40" s="979" t="s">
        <v>2135</v>
      </c>
      <c r="BD40" s="979" t="s">
        <v>2135</v>
      </c>
      <c r="BE40" s="979" t="s">
        <v>1209</v>
      </c>
      <c r="BF40" s="982" t="s">
        <v>1545</v>
      </c>
      <c r="BG40" s="982" t="s">
        <v>1290</v>
      </c>
      <c r="BH40" s="403">
        <v>1</v>
      </c>
      <c r="BI40" s="403">
        <v>0</v>
      </c>
      <c r="BJ40" s="463" t="s">
        <v>1288</v>
      </c>
      <c r="BK40" s="454"/>
      <c r="BL40" s="1252">
        <v>12055.275900000001</v>
      </c>
      <c r="BM40" s="1759">
        <v>14661.511699999999</v>
      </c>
      <c r="BN40" s="2112">
        <v>14687.184099999999</v>
      </c>
      <c r="BO40" s="2112">
        <v>14687.184099999999</v>
      </c>
      <c r="BP40" s="2315">
        <v>25.67239999999947</v>
      </c>
      <c r="BQ40" s="1584">
        <v>14585.898799999999</v>
      </c>
      <c r="BR40" s="1539">
        <v>0</v>
      </c>
      <c r="BS40" s="2126">
        <v>75.612899999999996</v>
      </c>
      <c r="BT40" s="54">
        <v>14661.511699999999</v>
      </c>
      <c r="BU40" s="1586"/>
      <c r="BV40" s="1584">
        <v>14585.898799999999</v>
      </c>
      <c r="BW40" s="2115">
        <v>82.981800000000007</v>
      </c>
      <c r="BX40" s="980">
        <v>14502.916999999999</v>
      </c>
      <c r="BY40" s="990">
        <v>0</v>
      </c>
      <c r="BZ40" s="1337">
        <v>14502.916999999999</v>
      </c>
      <c r="CA40" s="1337">
        <v>13747.43363</v>
      </c>
      <c r="CB40" s="990">
        <v>8081.0471699999998</v>
      </c>
      <c r="CC40" s="990"/>
      <c r="CD40" s="990">
        <v>175.18379999999999</v>
      </c>
      <c r="CE40" s="1252">
        <v>175.18379999999999</v>
      </c>
      <c r="CG40" s="2111">
        <v>175.18379999999999</v>
      </c>
      <c r="CH40" s="1541">
        <v>7905.86337</v>
      </c>
      <c r="CI40" s="1540">
        <v>6421.8698299999996</v>
      </c>
      <c r="CJ40" s="1548">
        <v>184.26710000000099</v>
      </c>
    </row>
    <row r="41" spans="1:93" s="961" customFormat="1" ht="26.25" hidden="1" thickBot="1" x14ac:dyDescent="0.3">
      <c r="A41" s="2425" t="s">
        <v>122</v>
      </c>
      <c r="B41" s="2426" t="s">
        <v>1170</v>
      </c>
      <c r="C41" s="78">
        <v>2018</v>
      </c>
      <c r="D41" s="78" t="s">
        <v>101</v>
      </c>
      <c r="E41" s="79" t="s">
        <v>80</v>
      </c>
      <c r="F41" s="88" t="s">
        <v>80</v>
      </c>
      <c r="G41" s="224" t="s">
        <v>123</v>
      </c>
      <c r="H41" s="42">
        <f>385-0.825</f>
        <v>384.17500000000001</v>
      </c>
      <c r="I41" s="590">
        <v>384.17500000000001</v>
      </c>
      <c r="J41" s="2779"/>
      <c r="K41" s="822">
        <v>0</v>
      </c>
      <c r="L41" s="2772">
        <v>0</v>
      </c>
      <c r="M41" s="2781"/>
      <c r="N41" s="374">
        <v>0</v>
      </c>
      <c r="O41" s="44">
        <v>0</v>
      </c>
      <c r="P41" s="1466">
        <v>0</v>
      </c>
      <c r="Q41" s="87">
        <v>0</v>
      </c>
      <c r="R41" s="2732">
        <v>0</v>
      </c>
      <c r="S41" s="1452">
        <v>0</v>
      </c>
      <c r="T41" s="2618">
        <f>R41+S41</f>
        <v>0</v>
      </c>
      <c r="U41" s="3177"/>
      <c r="V41" s="3177"/>
      <c r="W41" s="3177"/>
      <c r="X41" s="3177"/>
      <c r="Y41" s="43">
        <v>0</v>
      </c>
      <c r="Z41" s="24">
        <v>0</v>
      </c>
      <c r="AA41" s="24">
        <v>0</v>
      </c>
      <c r="AB41" s="23">
        <v>0</v>
      </c>
      <c r="AC41" s="143" t="s">
        <v>1209</v>
      </c>
      <c r="AD41" s="75" t="s">
        <v>1329</v>
      </c>
      <c r="AE41" s="379" t="s">
        <v>1352</v>
      </c>
      <c r="AF41" s="74" t="s">
        <v>1283</v>
      </c>
      <c r="AG41" s="74" t="s">
        <v>1283</v>
      </c>
      <c r="AH41" s="79">
        <v>6</v>
      </c>
      <c r="AI41" s="721"/>
      <c r="AJ41" s="363"/>
      <c r="AK41" s="516">
        <f>H41-I41-T41-Y41-Z41-AA41-AB41</f>
        <v>0</v>
      </c>
      <c r="AL41" s="1353">
        <f>T41-R41-S41</f>
        <v>0</v>
      </c>
      <c r="AM41" s="1217">
        <f>T41-N41-O41-P41-Q41</f>
        <v>0</v>
      </c>
      <c r="AN41" s="1295"/>
      <c r="AO41" s="1295"/>
      <c r="AP41" s="1218"/>
      <c r="AQ41" s="1225" t="s">
        <v>74</v>
      </c>
      <c r="AR41" s="1219">
        <v>4</v>
      </c>
      <c r="AS41" s="1219"/>
      <c r="AT41" s="2737">
        <v>7</v>
      </c>
      <c r="AU41" s="1296"/>
      <c r="AV41" s="484"/>
      <c r="AW41" s="919" t="s">
        <v>1806</v>
      </c>
      <c r="AX41" s="380"/>
      <c r="AY41" s="143" t="s">
        <v>1209</v>
      </c>
      <c r="AZ41" s="380" t="s">
        <v>2361</v>
      </c>
      <c r="BA41" s="380"/>
      <c r="BB41" s="380" t="s">
        <v>2361</v>
      </c>
      <c r="BC41" s="919" t="s">
        <v>1209</v>
      </c>
      <c r="BD41" s="919" t="s">
        <v>1209</v>
      </c>
      <c r="BE41" s="919" t="s">
        <v>1209</v>
      </c>
      <c r="BF41" s="380" t="s">
        <v>1209</v>
      </c>
      <c r="BG41" s="1212" t="s">
        <v>1209</v>
      </c>
      <c r="BH41" s="407">
        <v>1</v>
      </c>
      <c r="BI41" s="407">
        <v>0</v>
      </c>
      <c r="BJ41" s="1304" t="s">
        <v>1293</v>
      </c>
      <c r="BK41" s="707"/>
      <c r="BL41" s="28">
        <v>0</v>
      </c>
      <c r="BM41" s="364">
        <v>384.17500000000001</v>
      </c>
      <c r="BN41" s="364"/>
      <c r="BO41" s="2109">
        <v>385</v>
      </c>
      <c r="BP41" s="2317">
        <v>0.82499999999998863</v>
      </c>
      <c r="BQ41" s="1602">
        <v>384.17500000000001</v>
      </c>
      <c r="BR41" s="2136">
        <v>0</v>
      </c>
      <c r="BS41" s="2158">
        <v>0</v>
      </c>
      <c r="BT41" s="54">
        <f>BQ41+BS41</f>
        <v>384.17500000000001</v>
      </c>
      <c r="BU41" s="1604"/>
      <c r="BV41" s="1602">
        <v>384.17500000000001</v>
      </c>
      <c r="BW41" s="2159">
        <v>384.17500000000001</v>
      </c>
      <c r="BX41" s="965">
        <v>0</v>
      </c>
      <c r="BY41" s="1300"/>
      <c r="BZ41" s="1300">
        <v>0</v>
      </c>
      <c r="CA41" s="1300">
        <v>0</v>
      </c>
      <c r="CB41" s="1300">
        <v>0</v>
      </c>
      <c r="CC41" s="1300"/>
      <c r="CD41" s="1300">
        <v>0</v>
      </c>
      <c r="CE41" s="1301">
        <v>0</v>
      </c>
      <c r="CG41" s="2114">
        <v>0</v>
      </c>
      <c r="CH41" s="1753">
        <v>0</v>
      </c>
      <c r="CI41" s="2160">
        <v>0</v>
      </c>
      <c r="CJ41" s="2161">
        <v>385</v>
      </c>
      <c r="CK41" s="1552">
        <v>0</v>
      </c>
      <c r="CL41" s="85">
        <v>0</v>
      </c>
      <c r="CM41" s="1209">
        <v>0</v>
      </c>
      <c r="CN41" s="1209"/>
      <c r="CO41" s="2765"/>
    </row>
    <row r="42" spans="1:93" s="1013" customFormat="1" ht="30.75" hidden="1" thickBot="1" x14ac:dyDescent="0.3">
      <c r="A42" s="2425" t="s">
        <v>124</v>
      </c>
      <c r="B42" s="2426" t="s">
        <v>1171</v>
      </c>
      <c r="C42" s="78">
        <v>2018</v>
      </c>
      <c r="D42" s="78" t="s">
        <v>101</v>
      </c>
      <c r="E42" s="79" t="s">
        <v>80</v>
      </c>
      <c r="F42" s="88" t="s">
        <v>80</v>
      </c>
      <c r="G42" s="223" t="s">
        <v>125</v>
      </c>
      <c r="H42" s="42">
        <v>538.81299999999999</v>
      </c>
      <c r="I42" s="2533">
        <f t="shared" si="5"/>
        <v>0</v>
      </c>
      <c r="J42" s="2643">
        <f t="shared" si="0"/>
        <v>538.81299999999999</v>
      </c>
      <c r="K42" s="2643">
        <f t="shared" si="1"/>
        <v>538.81299999999999</v>
      </c>
      <c r="L42" s="2643">
        <f t="shared" si="2"/>
        <v>0</v>
      </c>
      <c r="M42" s="1438"/>
      <c r="N42" s="542">
        <v>0</v>
      </c>
      <c r="O42" s="44">
        <v>0</v>
      </c>
      <c r="P42" s="1466">
        <v>0</v>
      </c>
      <c r="Q42" s="23">
        <v>0</v>
      </c>
      <c r="R42" s="2339">
        <v>0.187</v>
      </c>
      <c r="S42" s="1448">
        <v>-0.187</v>
      </c>
      <c r="T42" s="1463">
        <v>0</v>
      </c>
      <c r="U42" s="2573"/>
      <c r="V42" s="2573"/>
      <c r="W42" s="2573"/>
      <c r="X42" s="2573"/>
      <c r="Y42" s="43">
        <v>0</v>
      </c>
      <c r="Z42" s="24">
        <v>0</v>
      </c>
      <c r="AA42" s="24">
        <v>0</v>
      </c>
      <c r="AB42" s="23">
        <v>0</v>
      </c>
      <c r="AC42" s="143" t="s">
        <v>1209</v>
      </c>
      <c r="AD42" s="75" t="s">
        <v>1329</v>
      </c>
      <c r="AE42" s="379" t="s">
        <v>845</v>
      </c>
      <c r="AF42" s="74" t="s">
        <v>1283</v>
      </c>
      <c r="AG42" s="74" t="s">
        <v>1283</v>
      </c>
      <c r="AH42" s="79">
        <v>6</v>
      </c>
      <c r="AI42" s="722"/>
      <c r="AJ42" s="2416">
        <v>0.18700000000001182</v>
      </c>
      <c r="AK42" s="516">
        <v>0</v>
      </c>
      <c r="AL42" s="452">
        <v>0</v>
      </c>
      <c r="AM42" s="513">
        <v>0</v>
      </c>
      <c r="AN42" s="1142"/>
      <c r="AO42" s="1142"/>
      <c r="AP42" s="496"/>
      <c r="AQ42" s="662" t="s">
        <v>74</v>
      </c>
      <c r="AR42" s="175">
        <v>4</v>
      </c>
      <c r="AS42" s="175"/>
      <c r="AT42" s="674">
        <v>6</v>
      </c>
      <c r="AU42" s="1148"/>
      <c r="AV42" s="435"/>
      <c r="AW42" s="75" t="s">
        <v>1806</v>
      </c>
      <c r="AX42" s="143"/>
      <c r="AY42" s="143"/>
      <c r="AZ42" s="143" t="s">
        <v>1209</v>
      </c>
      <c r="BA42" s="143"/>
      <c r="BB42" s="143" t="s">
        <v>1209</v>
      </c>
      <c r="BC42" s="75" t="s">
        <v>1209</v>
      </c>
      <c r="BD42" s="75" t="s">
        <v>1209</v>
      </c>
      <c r="BE42" s="75" t="s">
        <v>1209</v>
      </c>
      <c r="BF42" s="143" t="s">
        <v>1209</v>
      </c>
      <c r="BG42" s="150" t="s">
        <v>1181</v>
      </c>
      <c r="BH42" s="755">
        <v>1</v>
      </c>
      <c r="BI42" s="755">
        <v>0</v>
      </c>
      <c r="BJ42" s="462" t="s">
        <v>1293</v>
      </c>
      <c r="BK42" s="433"/>
      <c r="BL42" s="42">
        <v>0</v>
      </c>
      <c r="BM42" s="1438">
        <v>538.81299999999999</v>
      </c>
      <c r="BN42" s="2105">
        <v>539</v>
      </c>
      <c r="BO42" s="2105">
        <v>539</v>
      </c>
      <c r="BP42" s="2314">
        <v>0.18700000000001182</v>
      </c>
      <c r="BQ42" s="1486">
        <v>0</v>
      </c>
      <c r="BR42" s="132">
        <v>539</v>
      </c>
      <c r="BS42" s="134">
        <v>538.81299999999999</v>
      </c>
      <c r="BT42" s="54">
        <v>538.81299999999999</v>
      </c>
      <c r="BU42" s="1951"/>
      <c r="BV42" s="1486">
        <v>0</v>
      </c>
      <c r="BW42" s="1496">
        <v>0</v>
      </c>
      <c r="BX42" s="25">
        <v>0</v>
      </c>
      <c r="BY42" s="823"/>
      <c r="BZ42" s="655">
        <v>0</v>
      </c>
      <c r="CA42" s="655">
        <v>0</v>
      </c>
      <c r="CB42" s="655">
        <v>0</v>
      </c>
      <c r="CC42" s="823"/>
      <c r="CD42" s="823">
        <v>0</v>
      </c>
      <c r="CE42" s="42">
        <v>0</v>
      </c>
      <c r="CG42" s="1391">
        <v>0</v>
      </c>
      <c r="CH42" s="799">
        <v>0</v>
      </c>
      <c r="CI42" s="483">
        <v>0</v>
      </c>
      <c r="CJ42" s="1016">
        <v>539</v>
      </c>
    </row>
    <row r="43" spans="1:93" s="985" customFormat="1" ht="26.25" hidden="1" thickBot="1" x14ac:dyDescent="0.3">
      <c r="A43" s="2427" t="s">
        <v>129</v>
      </c>
      <c r="B43" s="2428" t="s">
        <v>1218</v>
      </c>
      <c r="C43" s="1352">
        <v>2018</v>
      </c>
      <c r="D43" s="1352" t="s">
        <v>101</v>
      </c>
      <c r="E43" s="1249" t="s">
        <v>80</v>
      </c>
      <c r="F43" s="1250" t="s">
        <v>80</v>
      </c>
      <c r="G43" s="1600" t="s">
        <v>130</v>
      </c>
      <c r="H43" s="1252">
        <v>6964.90535</v>
      </c>
      <c r="I43" s="2533">
        <f t="shared" si="5"/>
        <v>0</v>
      </c>
      <c r="J43" s="2643">
        <f t="shared" si="0"/>
        <v>6964.90535</v>
      </c>
      <c r="K43" s="2643">
        <f t="shared" si="1"/>
        <v>6964.90535</v>
      </c>
      <c r="L43" s="2643">
        <f t="shared" si="2"/>
        <v>0</v>
      </c>
      <c r="M43" s="1759"/>
      <c r="N43" s="2361">
        <v>0</v>
      </c>
      <c r="O43" s="1540">
        <v>0</v>
      </c>
      <c r="P43" s="1587">
        <v>0</v>
      </c>
      <c r="Q43" s="1261">
        <v>0</v>
      </c>
      <c r="R43" s="2340">
        <v>102.54465</v>
      </c>
      <c r="S43" s="1588">
        <v>-102.54465</v>
      </c>
      <c r="T43" s="1545">
        <v>0</v>
      </c>
      <c r="U43" s="3172"/>
      <c r="V43" s="3172"/>
      <c r="W43" s="3172"/>
      <c r="X43" s="3172"/>
      <c r="Y43" s="1586">
        <v>0</v>
      </c>
      <c r="Z43" s="1259">
        <v>0</v>
      </c>
      <c r="AA43" s="1259">
        <v>0</v>
      </c>
      <c r="AB43" s="1261">
        <v>0</v>
      </c>
      <c r="AC43" s="570" t="s">
        <v>2362</v>
      </c>
      <c r="AD43" s="979" t="s">
        <v>1329</v>
      </c>
      <c r="AE43" s="1590" t="s">
        <v>845</v>
      </c>
      <c r="AF43" s="1589" t="s">
        <v>1283</v>
      </c>
      <c r="AG43" s="1589" t="s">
        <v>1283</v>
      </c>
      <c r="AH43" s="1249">
        <v>8</v>
      </c>
      <c r="AI43" s="1319" t="s">
        <v>1230</v>
      </c>
      <c r="AJ43" s="2416">
        <v>102.54464999999982</v>
      </c>
      <c r="AK43" s="516">
        <v>0</v>
      </c>
      <c r="AL43" s="1320">
        <v>0</v>
      </c>
      <c r="AM43" s="512">
        <v>0</v>
      </c>
      <c r="AN43" s="1171"/>
      <c r="AO43" s="1171"/>
      <c r="AP43" s="1177"/>
      <c r="AQ43" s="674" t="s">
        <v>74</v>
      </c>
      <c r="AR43" s="367">
        <v>4</v>
      </c>
      <c r="AS43" s="367"/>
      <c r="AT43" s="674">
        <v>6</v>
      </c>
      <c r="AU43" s="1178"/>
      <c r="AV43" s="455"/>
      <c r="AW43" s="979"/>
      <c r="AX43" s="570"/>
      <c r="AY43" s="570"/>
      <c r="AZ43" s="570" t="s">
        <v>2362</v>
      </c>
      <c r="BA43" s="570"/>
      <c r="BB43" s="570" t="s">
        <v>2362</v>
      </c>
      <c r="BC43" s="1523" t="s">
        <v>1209</v>
      </c>
      <c r="BD43" s="1523" t="s">
        <v>1209</v>
      </c>
      <c r="BE43" s="1523" t="s">
        <v>1546</v>
      </c>
      <c r="BF43" s="570" t="s">
        <v>1546</v>
      </c>
      <c r="BG43" s="570" t="s">
        <v>1209</v>
      </c>
      <c r="BH43" s="403">
        <v>1</v>
      </c>
      <c r="BI43" s="403">
        <v>0</v>
      </c>
      <c r="BJ43" s="463" t="s">
        <v>1293</v>
      </c>
      <c r="BK43" s="454"/>
      <c r="BL43" s="1252">
        <v>1210</v>
      </c>
      <c r="BM43" s="1759">
        <v>5754.90535</v>
      </c>
      <c r="BN43" s="2112">
        <v>5857.45</v>
      </c>
      <c r="BO43" s="2112">
        <v>5857.45</v>
      </c>
      <c r="BP43" s="2315">
        <v>102.54464999999982</v>
      </c>
      <c r="BQ43" s="1584">
        <v>5754.90535</v>
      </c>
      <c r="BR43" s="1539">
        <v>0</v>
      </c>
      <c r="BS43" s="2126">
        <v>0</v>
      </c>
      <c r="BT43" s="54">
        <v>5754.90535</v>
      </c>
      <c r="BU43" s="1586"/>
      <c r="BV43" s="1584">
        <v>5754.90535</v>
      </c>
      <c r="BW43" s="2110">
        <v>0</v>
      </c>
      <c r="BX43" s="980">
        <v>5754.90535</v>
      </c>
      <c r="BY43" s="990">
        <v>0</v>
      </c>
      <c r="BZ43" s="1337">
        <v>5754.90535</v>
      </c>
      <c r="CA43" s="1337">
        <v>5537.4199500000004</v>
      </c>
      <c r="CB43" s="990">
        <v>1803.48831</v>
      </c>
      <c r="CC43" s="990"/>
      <c r="CD43" s="990">
        <v>267.02086000000003</v>
      </c>
      <c r="CE43" s="1252">
        <v>267.02086000000003</v>
      </c>
      <c r="CG43" s="2111">
        <v>267.02086000000003</v>
      </c>
      <c r="CH43" s="1825">
        <v>1536.4674499999999</v>
      </c>
      <c r="CI43" s="1548">
        <v>3951.4170400000003</v>
      </c>
      <c r="CJ43" s="1548">
        <v>102.54465</v>
      </c>
    </row>
    <row r="44" spans="1:93" s="1013" customFormat="1" ht="26.25" hidden="1" thickBot="1" x14ac:dyDescent="0.3">
      <c r="A44" s="2425" t="s">
        <v>131</v>
      </c>
      <c r="B44" s="2426" t="s">
        <v>1295</v>
      </c>
      <c r="C44" s="78">
        <v>2018</v>
      </c>
      <c r="D44" s="78" t="s">
        <v>101</v>
      </c>
      <c r="E44" s="79" t="s">
        <v>80</v>
      </c>
      <c r="F44" s="88" t="s">
        <v>80</v>
      </c>
      <c r="G44" s="224" t="s">
        <v>132</v>
      </c>
      <c r="H44" s="25">
        <v>3751</v>
      </c>
      <c r="I44" s="2533">
        <f t="shared" si="5"/>
        <v>0</v>
      </c>
      <c r="J44" s="2643">
        <f t="shared" si="0"/>
        <v>3751</v>
      </c>
      <c r="K44" s="2643">
        <f t="shared" si="1"/>
        <v>3751</v>
      </c>
      <c r="L44" s="2643">
        <f t="shared" si="2"/>
        <v>0</v>
      </c>
      <c r="M44" s="1438"/>
      <c r="N44" s="542">
        <v>0</v>
      </c>
      <c r="O44" s="44">
        <v>0</v>
      </c>
      <c r="P44" s="375">
        <v>0</v>
      </c>
      <c r="Q44" s="26">
        <v>0</v>
      </c>
      <c r="R44" s="2335">
        <v>0</v>
      </c>
      <c r="S44" s="1449">
        <v>0</v>
      </c>
      <c r="T44" s="1463">
        <v>0</v>
      </c>
      <c r="U44" s="3174"/>
      <c r="V44" s="3174"/>
      <c r="W44" s="3174"/>
      <c r="X44" s="3174"/>
      <c r="Y44" s="40">
        <v>0</v>
      </c>
      <c r="Z44" s="27">
        <v>0</v>
      </c>
      <c r="AA44" s="27">
        <v>0</v>
      </c>
      <c r="AB44" s="26">
        <v>0</v>
      </c>
      <c r="AC44" s="150" t="s">
        <v>1209</v>
      </c>
      <c r="AD44" s="75" t="s">
        <v>1329</v>
      </c>
      <c r="AE44" s="379" t="s">
        <v>34</v>
      </c>
      <c r="AF44" s="74" t="s">
        <v>1283</v>
      </c>
      <c r="AG44" s="74" t="s">
        <v>1283</v>
      </c>
      <c r="AH44" s="79">
        <v>12</v>
      </c>
      <c r="AI44" s="722" t="s">
        <v>1383</v>
      </c>
      <c r="AJ44" s="2416">
        <v>0</v>
      </c>
      <c r="AK44" s="516">
        <v>0</v>
      </c>
      <c r="AL44" s="452">
        <v>0</v>
      </c>
      <c r="AM44" s="513">
        <v>0</v>
      </c>
      <c r="AN44" s="1142"/>
      <c r="AO44" s="1142"/>
      <c r="AP44" s="496"/>
      <c r="AQ44" s="662" t="s">
        <v>74</v>
      </c>
      <c r="AR44" s="175">
        <v>4</v>
      </c>
      <c r="AS44" s="175"/>
      <c r="AT44" s="662">
        <v>2</v>
      </c>
      <c r="AU44" s="1148"/>
      <c r="AV44" s="435"/>
      <c r="AW44" s="75"/>
      <c r="AX44" s="150"/>
      <c r="AY44" s="150"/>
      <c r="AZ44" s="150" t="s">
        <v>1209</v>
      </c>
      <c r="BA44" s="150"/>
      <c r="BB44" s="150" t="s">
        <v>1209</v>
      </c>
      <c r="BC44" s="83" t="s">
        <v>1209</v>
      </c>
      <c r="BD44" s="83" t="s">
        <v>1209</v>
      </c>
      <c r="BE44" s="83" t="s">
        <v>1209</v>
      </c>
      <c r="BF44" s="150" t="s">
        <v>1209</v>
      </c>
      <c r="BG44" s="150" t="s">
        <v>1209</v>
      </c>
      <c r="BH44" s="755">
        <v>1</v>
      </c>
      <c r="BI44" s="755">
        <v>0</v>
      </c>
      <c r="BJ44" s="462" t="s">
        <v>1294</v>
      </c>
      <c r="BK44" s="433"/>
      <c r="BL44" s="439">
        <v>0</v>
      </c>
      <c r="BM44" s="1438">
        <v>3751</v>
      </c>
      <c r="BN44" s="2105">
        <v>3751</v>
      </c>
      <c r="BO44" s="2105">
        <v>3751</v>
      </c>
      <c r="BP44" s="2314">
        <v>0</v>
      </c>
      <c r="BQ44" s="1482">
        <v>3751</v>
      </c>
      <c r="BR44" s="27">
        <v>0</v>
      </c>
      <c r="BS44" s="172">
        <v>0</v>
      </c>
      <c r="BT44" s="54">
        <v>3751</v>
      </c>
      <c r="BU44" s="40"/>
      <c r="BV44" s="1482">
        <v>3751</v>
      </c>
      <c r="BW44" s="866">
        <v>0</v>
      </c>
      <c r="BX44" s="25">
        <v>3751</v>
      </c>
      <c r="BY44" s="824"/>
      <c r="BZ44" s="1196">
        <v>3751</v>
      </c>
      <c r="CA44" s="1131">
        <v>3751</v>
      </c>
      <c r="CB44" s="824">
        <v>3751</v>
      </c>
      <c r="CC44" s="824"/>
      <c r="CD44" s="824">
        <v>3751</v>
      </c>
      <c r="CE44" s="439">
        <v>3751</v>
      </c>
      <c r="CG44" s="799">
        <v>3751</v>
      </c>
      <c r="CH44" s="374">
        <v>0</v>
      </c>
      <c r="CI44" s="1037">
        <v>0</v>
      </c>
      <c r="CJ44" s="1037">
        <v>0</v>
      </c>
    </row>
    <row r="45" spans="1:93" s="1013" customFormat="1" ht="30.75" hidden="1" thickBot="1" x14ac:dyDescent="0.3">
      <c r="A45" s="2425" t="s">
        <v>133</v>
      </c>
      <c r="B45" s="2426" t="s">
        <v>2271</v>
      </c>
      <c r="C45" s="78">
        <v>2018</v>
      </c>
      <c r="D45" s="78" t="s">
        <v>101</v>
      </c>
      <c r="E45" s="79" t="s">
        <v>80</v>
      </c>
      <c r="F45" s="88" t="s">
        <v>80</v>
      </c>
      <c r="G45" s="1395" t="s">
        <v>134</v>
      </c>
      <c r="H45" s="25">
        <v>9636.2491800000007</v>
      </c>
      <c r="I45" s="2533">
        <f t="shared" si="5"/>
        <v>0</v>
      </c>
      <c r="J45" s="2643">
        <f t="shared" si="0"/>
        <v>9636.2491800000007</v>
      </c>
      <c r="K45" s="2643">
        <f t="shared" si="1"/>
        <v>9636.2491800000007</v>
      </c>
      <c r="L45" s="2643">
        <f t="shared" si="2"/>
        <v>0</v>
      </c>
      <c r="M45" s="1438"/>
      <c r="N45" s="542">
        <v>0</v>
      </c>
      <c r="O45" s="44">
        <v>0</v>
      </c>
      <c r="P45" s="1466">
        <v>0</v>
      </c>
      <c r="Q45" s="23">
        <v>0</v>
      </c>
      <c r="R45" s="2339">
        <v>0</v>
      </c>
      <c r="S45" s="1448">
        <v>0</v>
      </c>
      <c r="T45" s="1463">
        <v>0</v>
      </c>
      <c r="U45" s="2573"/>
      <c r="V45" s="2573"/>
      <c r="W45" s="2573"/>
      <c r="X45" s="2573"/>
      <c r="Y45" s="43">
        <v>0</v>
      </c>
      <c r="Z45" s="24">
        <v>0</v>
      </c>
      <c r="AA45" s="27">
        <v>0</v>
      </c>
      <c r="AB45" s="23">
        <v>0</v>
      </c>
      <c r="AC45" s="143" t="s">
        <v>1209</v>
      </c>
      <c r="AD45" s="75" t="s">
        <v>1329</v>
      </c>
      <c r="AE45" s="379" t="s">
        <v>37</v>
      </c>
      <c r="AF45" s="74" t="s">
        <v>1283</v>
      </c>
      <c r="AG45" s="74" t="s">
        <v>1283</v>
      </c>
      <c r="AH45" s="79">
        <v>11</v>
      </c>
      <c r="AI45" s="722" t="s">
        <v>1447</v>
      </c>
      <c r="AJ45" s="2416">
        <v>0</v>
      </c>
      <c r="AK45" s="516">
        <v>0</v>
      </c>
      <c r="AL45" s="452">
        <v>0</v>
      </c>
      <c r="AM45" s="513">
        <v>0</v>
      </c>
      <c r="AN45" s="1142"/>
      <c r="AO45" s="1142"/>
      <c r="AP45" s="496"/>
      <c r="AQ45" s="662" t="s">
        <v>74</v>
      </c>
      <c r="AR45" s="175">
        <v>4</v>
      </c>
      <c r="AS45" s="175"/>
      <c r="AT45" s="662">
        <v>5</v>
      </c>
      <c r="AU45" s="1943"/>
      <c r="AV45" s="435"/>
      <c r="AW45" s="75"/>
      <c r="AX45" s="143"/>
      <c r="AY45" s="143"/>
      <c r="AZ45" s="143" t="s">
        <v>1209</v>
      </c>
      <c r="BA45" s="143"/>
      <c r="BB45" s="143" t="s">
        <v>1209</v>
      </c>
      <c r="BC45" s="75" t="s">
        <v>1209</v>
      </c>
      <c r="BD45" s="75" t="s">
        <v>1209</v>
      </c>
      <c r="BE45" s="994" t="s">
        <v>1902</v>
      </c>
      <c r="BF45" s="150" t="s">
        <v>1281</v>
      </c>
      <c r="BG45" s="784" t="s">
        <v>972</v>
      </c>
      <c r="BH45" s="755">
        <v>1</v>
      </c>
      <c r="BI45" s="755">
        <v>0</v>
      </c>
      <c r="BJ45" s="462" t="s">
        <v>1294</v>
      </c>
      <c r="BK45" s="433"/>
      <c r="BL45" s="439">
        <v>0</v>
      </c>
      <c r="BM45" s="1438">
        <v>9636.2491800000007</v>
      </c>
      <c r="BN45" s="2105">
        <v>9636.2491800000007</v>
      </c>
      <c r="BO45" s="2105">
        <v>9636.2491800000007</v>
      </c>
      <c r="BP45" s="2314">
        <v>0</v>
      </c>
      <c r="BQ45" s="1486">
        <v>9636.2491800000007</v>
      </c>
      <c r="BR45" s="27">
        <v>0</v>
      </c>
      <c r="BS45" s="134">
        <v>0</v>
      </c>
      <c r="BT45" s="54">
        <v>9636.2491800000007</v>
      </c>
      <c r="BU45" s="43"/>
      <c r="BV45" s="1486">
        <v>9636.2491800000007</v>
      </c>
      <c r="BW45" s="1496">
        <v>9636.2491800000007</v>
      </c>
      <c r="BX45" s="25">
        <v>0</v>
      </c>
      <c r="BY45" s="1240"/>
      <c r="BZ45" s="1240">
        <v>0</v>
      </c>
      <c r="CA45" s="1240">
        <v>0</v>
      </c>
      <c r="CB45" s="1241">
        <v>0</v>
      </c>
      <c r="CC45" s="1241"/>
      <c r="CD45" s="1240">
        <v>0</v>
      </c>
      <c r="CE45" s="1242">
        <v>0</v>
      </c>
      <c r="CG45" s="1392">
        <v>0</v>
      </c>
      <c r="CH45" s="374">
        <v>0</v>
      </c>
      <c r="CI45" s="1037">
        <v>0</v>
      </c>
      <c r="CJ45" s="1037">
        <v>9636.2491800000007</v>
      </c>
    </row>
    <row r="46" spans="1:93" s="1013" customFormat="1" ht="26.25" hidden="1" thickBot="1" x14ac:dyDescent="0.3">
      <c r="A46" s="2425" t="s">
        <v>138</v>
      </c>
      <c r="B46" s="2426" t="s">
        <v>1220</v>
      </c>
      <c r="C46" s="78">
        <v>2018</v>
      </c>
      <c r="D46" s="78" t="s">
        <v>101</v>
      </c>
      <c r="E46" s="79" t="s">
        <v>80</v>
      </c>
      <c r="F46" s="88" t="s">
        <v>80</v>
      </c>
      <c r="G46" s="224" t="s">
        <v>139</v>
      </c>
      <c r="H46" s="42">
        <v>12010.77896</v>
      </c>
      <c r="I46" s="2533">
        <f t="shared" si="5"/>
        <v>0</v>
      </c>
      <c r="J46" s="2643">
        <f t="shared" si="0"/>
        <v>12010.77896</v>
      </c>
      <c r="K46" s="2643">
        <f t="shared" si="1"/>
        <v>12010.77896</v>
      </c>
      <c r="L46" s="2643">
        <f t="shared" si="2"/>
        <v>0</v>
      </c>
      <c r="M46" s="1438"/>
      <c r="N46" s="542">
        <v>0</v>
      </c>
      <c r="O46" s="44">
        <v>0</v>
      </c>
      <c r="P46" s="1466">
        <v>0</v>
      </c>
      <c r="Q46" s="23">
        <v>0</v>
      </c>
      <c r="R46" s="2339">
        <v>0</v>
      </c>
      <c r="S46" s="1448">
        <v>0</v>
      </c>
      <c r="T46" s="1463">
        <v>0</v>
      </c>
      <c r="U46" s="2573"/>
      <c r="V46" s="2573"/>
      <c r="W46" s="2573"/>
      <c r="X46" s="2573"/>
      <c r="Y46" s="43">
        <v>0</v>
      </c>
      <c r="Z46" s="24">
        <v>0</v>
      </c>
      <c r="AA46" s="24">
        <v>0</v>
      </c>
      <c r="AB46" s="23">
        <v>0</v>
      </c>
      <c r="AC46" s="150" t="s">
        <v>1209</v>
      </c>
      <c r="AD46" s="75" t="s">
        <v>1329</v>
      </c>
      <c r="AE46" s="379" t="s">
        <v>1178</v>
      </c>
      <c r="AF46" s="74" t="s">
        <v>1283</v>
      </c>
      <c r="AG46" s="74" t="s">
        <v>1283</v>
      </c>
      <c r="AH46" s="79">
        <v>2</v>
      </c>
      <c r="AI46" s="722" t="s">
        <v>1230</v>
      </c>
      <c r="AJ46" s="2416">
        <v>1.0400000010122312E-3</v>
      </c>
      <c r="AK46" s="516">
        <v>3.4106051316484809E-13</v>
      </c>
      <c r="AL46" s="452">
        <v>0</v>
      </c>
      <c r="AM46" s="513">
        <v>0</v>
      </c>
      <c r="AN46" s="1142"/>
      <c r="AO46" s="1142"/>
      <c r="AP46" s="496"/>
      <c r="AQ46" s="662" t="s">
        <v>74</v>
      </c>
      <c r="AR46" s="175">
        <v>4</v>
      </c>
      <c r="AS46" s="175"/>
      <c r="AT46" s="662">
        <v>4</v>
      </c>
      <c r="AU46" s="1148"/>
      <c r="AV46" s="435"/>
      <c r="AW46" s="75"/>
      <c r="AX46" s="150"/>
      <c r="AY46" s="150"/>
      <c r="AZ46" s="150" t="s">
        <v>1209</v>
      </c>
      <c r="BA46" s="150"/>
      <c r="BB46" s="150" t="s">
        <v>1209</v>
      </c>
      <c r="BC46" s="83" t="s">
        <v>1209</v>
      </c>
      <c r="BD46" s="83" t="s">
        <v>1209</v>
      </c>
      <c r="BE46" s="83" t="s">
        <v>1181</v>
      </c>
      <c r="BF46" s="150" t="s">
        <v>1181</v>
      </c>
      <c r="BG46" s="150" t="s">
        <v>1296</v>
      </c>
      <c r="BH46" s="755">
        <v>1</v>
      </c>
      <c r="BI46" s="755">
        <v>0</v>
      </c>
      <c r="BJ46" s="462"/>
      <c r="BK46" s="433"/>
      <c r="BL46" s="42">
        <v>11242.8</v>
      </c>
      <c r="BM46" s="1438">
        <v>767.97896000000003</v>
      </c>
      <c r="BN46" s="2105">
        <v>767.98000000000104</v>
      </c>
      <c r="BO46" s="2105">
        <v>767.98000000000104</v>
      </c>
      <c r="BP46" s="2314">
        <v>1.0400000010122312E-3</v>
      </c>
      <c r="BQ46" s="1486">
        <v>767.97896000000003</v>
      </c>
      <c r="BR46" s="27">
        <v>0</v>
      </c>
      <c r="BS46" s="134">
        <v>0</v>
      </c>
      <c r="BT46" s="54">
        <v>767.97896000000003</v>
      </c>
      <c r="BU46" s="43"/>
      <c r="BV46" s="1486">
        <v>767.97896000000003</v>
      </c>
      <c r="BW46" s="431">
        <v>0</v>
      </c>
      <c r="BX46" s="25">
        <v>767.97896000000003</v>
      </c>
      <c r="BY46" s="823"/>
      <c r="BZ46" s="999">
        <v>767.97896000000003</v>
      </c>
      <c r="CA46" s="1128">
        <v>767.97896000000003</v>
      </c>
      <c r="CB46" s="823">
        <v>767.97896000000003</v>
      </c>
      <c r="CC46" s="823"/>
      <c r="CD46" s="823">
        <v>767.97896000000003</v>
      </c>
      <c r="CE46" s="42">
        <v>0</v>
      </c>
      <c r="CG46" s="1391">
        <v>0</v>
      </c>
      <c r="CH46" s="374">
        <v>767.97896000000003</v>
      </c>
      <c r="CI46" s="1037">
        <v>1.0399999999999999E-3</v>
      </c>
      <c r="CJ46" s="1037">
        <v>0</v>
      </c>
    </row>
    <row r="47" spans="1:93" s="1013" customFormat="1" ht="26.25" hidden="1" thickBot="1" x14ac:dyDescent="0.3">
      <c r="A47" s="2425" t="s">
        <v>140</v>
      </c>
      <c r="B47" s="2426" t="s">
        <v>1298</v>
      </c>
      <c r="C47" s="78">
        <v>2018</v>
      </c>
      <c r="D47" s="78" t="s">
        <v>101</v>
      </c>
      <c r="E47" s="79" t="s">
        <v>80</v>
      </c>
      <c r="F47" s="88" t="s">
        <v>80</v>
      </c>
      <c r="G47" s="224" t="s">
        <v>141</v>
      </c>
      <c r="H47" s="42">
        <v>7422.8696300000001</v>
      </c>
      <c r="I47" s="2533">
        <f t="shared" si="5"/>
        <v>0</v>
      </c>
      <c r="J47" s="2643">
        <f t="shared" si="0"/>
        <v>7422.8696300000001</v>
      </c>
      <c r="K47" s="2643">
        <f t="shared" si="1"/>
        <v>7422.8696300000001</v>
      </c>
      <c r="L47" s="2643">
        <f t="shared" si="2"/>
        <v>0</v>
      </c>
      <c r="M47" s="1438"/>
      <c r="N47" s="542">
        <v>0</v>
      </c>
      <c r="O47" s="44">
        <v>0</v>
      </c>
      <c r="P47" s="1466">
        <v>0</v>
      </c>
      <c r="Q47" s="23">
        <v>0</v>
      </c>
      <c r="R47" s="2339">
        <v>0</v>
      </c>
      <c r="S47" s="1448">
        <v>0</v>
      </c>
      <c r="T47" s="1463">
        <v>0</v>
      </c>
      <c r="U47" s="2573"/>
      <c r="V47" s="2573"/>
      <c r="W47" s="2573"/>
      <c r="X47" s="2573"/>
      <c r="Y47" s="43">
        <v>0</v>
      </c>
      <c r="Z47" s="24">
        <v>0</v>
      </c>
      <c r="AA47" s="24">
        <v>0</v>
      </c>
      <c r="AB47" s="23">
        <v>0</v>
      </c>
      <c r="AC47" s="150" t="s">
        <v>1209</v>
      </c>
      <c r="AD47" s="75" t="s">
        <v>1329</v>
      </c>
      <c r="AE47" s="379" t="s">
        <v>846</v>
      </c>
      <c r="AF47" s="74" t="s">
        <v>1283</v>
      </c>
      <c r="AG47" s="74" t="s">
        <v>1283</v>
      </c>
      <c r="AH47" s="79">
        <v>12</v>
      </c>
      <c r="AI47" s="722" t="s">
        <v>1230</v>
      </c>
      <c r="AJ47" s="2416">
        <v>3.6999999974796083E-4</v>
      </c>
      <c r="AK47" s="516">
        <v>0</v>
      </c>
      <c r="AL47" s="452">
        <v>0</v>
      </c>
      <c r="AM47" s="513">
        <v>0</v>
      </c>
      <c r="AN47" s="1142"/>
      <c r="AO47" s="1142"/>
      <c r="AP47" s="496"/>
      <c r="AQ47" s="662" t="s">
        <v>74</v>
      </c>
      <c r="AR47" s="175">
        <v>4</v>
      </c>
      <c r="AS47" s="175"/>
      <c r="AT47" s="662">
        <v>5</v>
      </c>
      <c r="AU47" s="1148"/>
      <c r="AV47" s="435"/>
      <c r="AW47" s="75"/>
      <c r="AX47" s="150"/>
      <c r="AY47" s="150"/>
      <c r="AZ47" s="150" t="s">
        <v>1209</v>
      </c>
      <c r="BA47" s="150"/>
      <c r="BB47" s="150" t="s">
        <v>1209</v>
      </c>
      <c r="BC47" s="83" t="s">
        <v>1209</v>
      </c>
      <c r="BD47" s="83" t="s">
        <v>1209</v>
      </c>
      <c r="BE47" s="83" t="s">
        <v>1209</v>
      </c>
      <c r="BF47" s="150" t="s">
        <v>1209</v>
      </c>
      <c r="BG47" s="150" t="s">
        <v>1296</v>
      </c>
      <c r="BH47" s="755">
        <v>1</v>
      </c>
      <c r="BI47" s="755">
        <v>0</v>
      </c>
      <c r="BJ47" s="462" t="s">
        <v>1293</v>
      </c>
      <c r="BK47" s="433"/>
      <c r="BL47" s="42">
        <v>0</v>
      </c>
      <c r="BM47" s="1438">
        <v>7422.8696300000001</v>
      </c>
      <c r="BN47" s="2105">
        <v>7422.87</v>
      </c>
      <c r="BO47" s="2105">
        <v>7422.87</v>
      </c>
      <c r="BP47" s="2314">
        <v>3.6999999974796083E-4</v>
      </c>
      <c r="BQ47" s="1486">
        <v>7422.8696300000001</v>
      </c>
      <c r="BR47" s="27">
        <v>0</v>
      </c>
      <c r="BS47" s="134">
        <v>0</v>
      </c>
      <c r="BT47" s="54">
        <v>7422.8696300000001</v>
      </c>
      <c r="BU47" s="43"/>
      <c r="BV47" s="1486">
        <v>7422.8696300000001</v>
      </c>
      <c r="BW47" s="431">
        <v>0</v>
      </c>
      <c r="BX47" s="25">
        <v>7422.8696300000001</v>
      </c>
      <c r="BY47" s="823"/>
      <c r="BZ47" s="999">
        <v>7422.8696300000001</v>
      </c>
      <c r="CA47" s="1128">
        <v>7422.8696300000001</v>
      </c>
      <c r="CB47" s="823">
        <v>5382.6668499999996</v>
      </c>
      <c r="CC47" s="823"/>
      <c r="CD47" s="823">
        <v>5382.6668499999996</v>
      </c>
      <c r="CE47" s="42">
        <v>5382.6668499999996</v>
      </c>
      <c r="CG47" s="1391">
        <v>5382.6668499999996</v>
      </c>
      <c r="CH47" s="799">
        <v>0</v>
      </c>
      <c r="CI47" s="483">
        <v>2040.2031500000001</v>
      </c>
      <c r="CJ47" s="1037">
        <v>0</v>
      </c>
    </row>
    <row r="48" spans="1:93" s="1013" customFormat="1" ht="26.25" hidden="1" thickBot="1" x14ac:dyDescent="0.3">
      <c r="A48" s="2425" t="s">
        <v>142</v>
      </c>
      <c r="B48" s="2426" t="s">
        <v>1299</v>
      </c>
      <c r="C48" s="78">
        <v>2018</v>
      </c>
      <c r="D48" s="78" t="s">
        <v>101</v>
      </c>
      <c r="E48" s="79" t="s">
        <v>80</v>
      </c>
      <c r="F48" s="88" t="s">
        <v>80</v>
      </c>
      <c r="G48" s="1229" t="s">
        <v>143</v>
      </c>
      <c r="H48" s="42">
        <v>7177.6926699999995</v>
      </c>
      <c r="I48" s="2533">
        <f t="shared" si="5"/>
        <v>0</v>
      </c>
      <c r="J48" s="2643">
        <f t="shared" si="0"/>
        <v>7177.6926700000004</v>
      </c>
      <c r="K48" s="2643">
        <f t="shared" si="1"/>
        <v>7177.6926700000004</v>
      </c>
      <c r="L48" s="2643">
        <f t="shared" si="2"/>
        <v>0</v>
      </c>
      <c r="M48" s="1438"/>
      <c r="N48" s="542">
        <v>0</v>
      </c>
      <c r="O48" s="44">
        <v>0</v>
      </c>
      <c r="P48" s="375">
        <v>0</v>
      </c>
      <c r="Q48" s="26">
        <v>0</v>
      </c>
      <c r="R48" s="2335">
        <v>0</v>
      </c>
      <c r="S48" s="1448">
        <v>0</v>
      </c>
      <c r="T48" s="1463">
        <v>0</v>
      </c>
      <c r="U48" s="2573"/>
      <c r="V48" s="2573"/>
      <c r="W48" s="2573"/>
      <c r="X48" s="2573"/>
      <c r="Y48" s="43">
        <v>0</v>
      </c>
      <c r="Z48" s="24">
        <v>0</v>
      </c>
      <c r="AA48" s="24">
        <v>0</v>
      </c>
      <c r="AB48" s="23">
        <v>0</v>
      </c>
      <c r="AC48" s="150" t="s">
        <v>1209</v>
      </c>
      <c r="AD48" s="75" t="s">
        <v>1329</v>
      </c>
      <c r="AE48" s="379" t="s">
        <v>369</v>
      </c>
      <c r="AF48" s="74" t="s">
        <v>1283</v>
      </c>
      <c r="AG48" s="74" t="s">
        <v>1283</v>
      </c>
      <c r="AH48" s="79">
        <v>9</v>
      </c>
      <c r="AI48" s="722" t="s">
        <v>1230</v>
      </c>
      <c r="AJ48" s="2416">
        <v>0</v>
      </c>
      <c r="AK48" s="516">
        <v>-9.0949470177292824E-13</v>
      </c>
      <c r="AL48" s="452">
        <v>0</v>
      </c>
      <c r="AM48" s="513">
        <v>0</v>
      </c>
      <c r="AN48" s="1142"/>
      <c r="AO48" s="1142"/>
      <c r="AP48" s="496"/>
      <c r="AQ48" s="662" t="s">
        <v>74</v>
      </c>
      <c r="AR48" s="175">
        <v>4</v>
      </c>
      <c r="AS48" s="175"/>
      <c r="AT48" s="662">
        <v>4</v>
      </c>
      <c r="AU48" s="1148"/>
      <c r="AV48" s="455"/>
      <c r="AW48" s="979"/>
      <c r="AX48" s="570"/>
      <c r="AY48" s="570"/>
      <c r="AZ48" s="150" t="s">
        <v>1209</v>
      </c>
      <c r="BA48" s="150"/>
      <c r="BB48" s="150" t="s">
        <v>1209</v>
      </c>
      <c r="BC48" s="83" t="s">
        <v>1209</v>
      </c>
      <c r="BD48" s="83" t="s">
        <v>1209</v>
      </c>
      <c r="BE48" s="83" t="s">
        <v>1181</v>
      </c>
      <c r="BF48" s="150" t="s">
        <v>1181</v>
      </c>
      <c r="BG48" s="570" t="s">
        <v>1297</v>
      </c>
      <c r="BH48" s="403">
        <v>1</v>
      </c>
      <c r="BI48" s="403">
        <v>0</v>
      </c>
      <c r="BJ48" s="463" t="s">
        <v>1286</v>
      </c>
      <c r="BK48" s="433"/>
      <c r="BL48" s="42">
        <v>0</v>
      </c>
      <c r="BM48" s="1438">
        <v>7177.6926700000004</v>
      </c>
      <c r="BN48" s="2105">
        <v>7177.6926699999995</v>
      </c>
      <c r="BO48" s="2105">
        <v>7177.6926699999995</v>
      </c>
      <c r="BP48" s="2314">
        <v>0</v>
      </c>
      <c r="BQ48" s="1486">
        <v>7177.6926700000004</v>
      </c>
      <c r="BR48" s="27">
        <v>0</v>
      </c>
      <c r="BS48" s="134">
        <v>0</v>
      </c>
      <c r="BT48" s="54">
        <v>7177.6926700000004</v>
      </c>
      <c r="BU48" s="43"/>
      <c r="BV48" s="1486">
        <v>7177.6926700000004</v>
      </c>
      <c r="BW48" s="431">
        <v>0</v>
      </c>
      <c r="BX48" s="25">
        <v>7177.6926700000004</v>
      </c>
      <c r="BY48" s="823"/>
      <c r="BZ48" s="999">
        <v>7177.6926700000004</v>
      </c>
      <c r="CA48" s="1128">
        <v>7177.6926700000004</v>
      </c>
      <c r="CB48" s="823">
        <v>7177.6926700000004</v>
      </c>
      <c r="CC48" s="823"/>
      <c r="CD48" s="823">
        <v>7177.6926700000004</v>
      </c>
      <c r="CE48" s="42">
        <v>7177.6926700000004</v>
      </c>
      <c r="CG48" s="1391">
        <v>7177.6926700000004</v>
      </c>
      <c r="CH48" s="799">
        <v>0</v>
      </c>
      <c r="CI48" s="1037">
        <v>0</v>
      </c>
      <c r="CJ48" s="1037">
        <v>0</v>
      </c>
    </row>
    <row r="49" spans="1:88" s="985" customFormat="1" ht="51.75" hidden="1" thickBot="1" x14ac:dyDescent="0.3">
      <c r="A49" s="2649" t="s">
        <v>158</v>
      </c>
      <c r="B49" s="2650" t="s">
        <v>2274</v>
      </c>
      <c r="C49" s="2651">
        <v>2018</v>
      </c>
      <c r="D49" s="2666" t="s">
        <v>1268</v>
      </c>
      <c r="E49" s="2652" t="s">
        <v>80</v>
      </c>
      <c r="F49" s="2653" t="s">
        <v>80</v>
      </c>
      <c r="G49" s="2708" t="s">
        <v>159</v>
      </c>
      <c r="H49" s="2655">
        <v>10932.58835</v>
      </c>
      <c r="I49" s="2700">
        <f t="shared" si="5"/>
        <v>0</v>
      </c>
      <c r="J49" s="2648">
        <f t="shared" si="0"/>
        <v>10932.58835</v>
      </c>
      <c r="K49" s="2648">
        <f t="shared" si="1"/>
        <v>10932.58835</v>
      </c>
      <c r="L49" s="2648">
        <f t="shared" si="2"/>
        <v>0</v>
      </c>
      <c r="M49" s="2668"/>
      <c r="N49" s="2656">
        <v>0</v>
      </c>
      <c r="O49" s="2657">
        <v>0</v>
      </c>
      <c r="P49" s="2658">
        <v>0</v>
      </c>
      <c r="Q49" s="2659">
        <v>0</v>
      </c>
      <c r="R49" s="2660">
        <v>426.10165000000001</v>
      </c>
      <c r="S49" s="2662">
        <v>-426.10165000000001</v>
      </c>
      <c r="T49" s="2661">
        <v>0</v>
      </c>
      <c r="U49" s="3176"/>
      <c r="V49" s="3176"/>
      <c r="W49" s="3176"/>
      <c r="X49" s="3176"/>
      <c r="Y49" s="2662">
        <v>0</v>
      </c>
      <c r="Z49" s="2663">
        <v>0</v>
      </c>
      <c r="AA49" s="2663">
        <v>0</v>
      </c>
      <c r="AB49" s="2659">
        <v>0</v>
      </c>
      <c r="AC49" s="2667" t="s">
        <v>2363</v>
      </c>
      <c r="AD49" s="933" t="s">
        <v>2606</v>
      </c>
      <c r="AE49" s="2665" t="s">
        <v>355</v>
      </c>
      <c r="AF49" s="2709" t="s">
        <v>1283</v>
      </c>
      <c r="AG49" s="2709" t="s">
        <v>1283</v>
      </c>
      <c r="AH49" s="2176">
        <v>11</v>
      </c>
      <c r="AI49" s="1213" t="s">
        <v>1447</v>
      </c>
      <c r="AJ49" s="2416">
        <v>426.10165000000052</v>
      </c>
      <c r="AK49" s="516">
        <v>0</v>
      </c>
      <c r="AL49" s="1320">
        <v>0</v>
      </c>
      <c r="AM49" s="512">
        <v>0</v>
      </c>
      <c r="AN49" s="1171"/>
      <c r="AO49" s="1171"/>
      <c r="AP49" s="1177"/>
      <c r="AQ49" s="674" t="s">
        <v>74</v>
      </c>
      <c r="AR49" s="367">
        <v>4</v>
      </c>
      <c r="AS49" s="367"/>
      <c r="AT49" s="674">
        <v>6</v>
      </c>
      <c r="AU49" s="1178"/>
      <c r="AV49" s="455"/>
      <c r="AW49" s="979"/>
      <c r="AX49" s="570"/>
      <c r="AY49" s="570"/>
      <c r="AZ49" s="570" t="s">
        <v>2363</v>
      </c>
      <c r="BA49" s="570"/>
      <c r="BB49" s="570" t="s">
        <v>2363</v>
      </c>
      <c r="BC49" s="979" t="s">
        <v>1209</v>
      </c>
      <c r="BD49" s="979" t="s">
        <v>1209</v>
      </c>
      <c r="BE49" s="2153" t="s">
        <v>1902</v>
      </c>
      <c r="BF49" s="570" t="s">
        <v>1281</v>
      </c>
      <c r="BG49" s="570" t="s">
        <v>1296</v>
      </c>
      <c r="BH49" s="403">
        <v>1</v>
      </c>
      <c r="BI49" s="403">
        <v>0</v>
      </c>
      <c r="BJ49" s="463"/>
      <c r="BK49" s="454"/>
      <c r="BL49" s="1252">
        <v>0</v>
      </c>
      <c r="BM49" s="1759">
        <v>10932.58835</v>
      </c>
      <c r="BN49" s="2112">
        <v>11358.69</v>
      </c>
      <c r="BO49" s="2112">
        <v>11358.69</v>
      </c>
      <c r="BP49" s="2315">
        <v>426.10165000000052</v>
      </c>
      <c r="BQ49" s="1584">
        <v>10495.41418</v>
      </c>
      <c r="BR49" s="1661">
        <v>863.27582000000098</v>
      </c>
      <c r="BS49" s="2126">
        <v>437.17417</v>
      </c>
      <c r="BT49" s="54">
        <v>10932.58835</v>
      </c>
      <c r="BU49" s="1608"/>
      <c r="BV49" s="1584">
        <v>10495.41418</v>
      </c>
      <c r="BW49" s="2115">
        <v>10495.41418</v>
      </c>
      <c r="BX49" s="980">
        <v>0</v>
      </c>
      <c r="BY49" s="990"/>
      <c r="BZ49" s="990">
        <v>0</v>
      </c>
      <c r="CA49" s="990">
        <v>0</v>
      </c>
      <c r="CB49" s="1335">
        <v>0</v>
      </c>
      <c r="CC49" s="1335"/>
      <c r="CD49" s="990">
        <v>0</v>
      </c>
      <c r="CE49" s="1252">
        <v>0</v>
      </c>
      <c r="CG49" s="2111">
        <v>0</v>
      </c>
      <c r="CH49" s="1825">
        <v>0</v>
      </c>
      <c r="CI49" s="1548">
        <v>0</v>
      </c>
      <c r="CJ49" s="2072">
        <v>11358.69</v>
      </c>
    </row>
    <row r="50" spans="1:88" s="985" customFormat="1" ht="51.75" hidden="1" thickBot="1" x14ac:dyDescent="0.3">
      <c r="A50" s="2649" t="s">
        <v>163</v>
      </c>
      <c r="B50" s="2650" t="s">
        <v>1224</v>
      </c>
      <c r="C50" s="2651">
        <v>2018</v>
      </c>
      <c r="D50" s="2666" t="s">
        <v>1268</v>
      </c>
      <c r="E50" s="2652" t="s">
        <v>80</v>
      </c>
      <c r="F50" s="2653" t="s">
        <v>80</v>
      </c>
      <c r="G50" s="2710" t="s">
        <v>164</v>
      </c>
      <c r="H50" s="2655">
        <v>3413.5256100000001</v>
      </c>
      <c r="I50" s="2700">
        <f t="shared" si="5"/>
        <v>0</v>
      </c>
      <c r="J50" s="2648">
        <f t="shared" si="0"/>
        <v>3413.5256099999997</v>
      </c>
      <c r="K50" s="2648">
        <f t="shared" si="1"/>
        <v>3413.5256099999997</v>
      </c>
      <c r="L50" s="2648">
        <f t="shared" si="2"/>
        <v>0</v>
      </c>
      <c r="M50" s="2668"/>
      <c r="N50" s="2656">
        <v>0</v>
      </c>
      <c r="O50" s="2657">
        <v>0</v>
      </c>
      <c r="P50" s="2658">
        <v>0</v>
      </c>
      <c r="Q50" s="2659">
        <v>0</v>
      </c>
      <c r="R50" s="2659">
        <v>39.663229999999999</v>
      </c>
      <c r="S50" s="2662">
        <v>-39.663229999999999</v>
      </c>
      <c r="T50" s="2661">
        <v>0</v>
      </c>
      <c r="U50" s="3176"/>
      <c r="V50" s="3176"/>
      <c r="W50" s="3176"/>
      <c r="X50" s="3176"/>
      <c r="Y50" s="2662">
        <v>0</v>
      </c>
      <c r="Z50" s="2663">
        <v>0</v>
      </c>
      <c r="AA50" s="2663">
        <v>0</v>
      </c>
      <c r="AB50" s="2659">
        <v>0</v>
      </c>
      <c r="AC50" s="2667" t="s">
        <v>2364</v>
      </c>
      <c r="AD50" s="933" t="s">
        <v>2606</v>
      </c>
      <c r="AE50" s="2665" t="s">
        <v>37</v>
      </c>
      <c r="AF50" s="2709" t="s">
        <v>1283</v>
      </c>
      <c r="AG50" s="2709" t="s">
        <v>1283</v>
      </c>
      <c r="AH50" s="1302">
        <v>4</v>
      </c>
      <c r="AI50" s="1213" t="s">
        <v>1230</v>
      </c>
      <c r="AJ50" s="2416">
        <v>39.663230000000112</v>
      </c>
      <c r="AK50" s="516">
        <v>0</v>
      </c>
      <c r="AL50" s="1320">
        <v>0</v>
      </c>
      <c r="AM50" s="512">
        <v>0</v>
      </c>
      <c r="AN50" s="1171"/>
      <c r="AO50" s="1171"/>
      <c r="AP50" s="1177"/>
      <c r="AQ50" s="674" t="s">
        <v>74</v>
      </c>
      <c r="AR50" s="367">
        <v>4</v>
      </c>
      <c r="AS50" s="367"/>
      <c r="AT50" s="674">
        <v>6</v>
      </c>
      <c r="AU50" s="1178"/>
      <c r="AV50" s="455"/>
      <c r="AW50" s="979"/>
      <c r="AX50" s="570"/>
      <c r="AY50" s="570"/>
      <c r="AZ50" s="570" t="s">
        <v>2364</v>
      </c>
      <c r="BA50" s="570"/>
      <c r="BB50" s="570" t="s">
        <v>2364</v>
      </c>
      <c r="BC50" s="1523" t="s">
        <v>1209</v>
      </c>
      <c r="BD50" s="1523" t="s">
        <v>1209</v>
      </c>
      <c r="BE50" s="1523" t="s">
        <v>1209</v>
      </c>
      <c r="BF50" s="570" t="s">
        <v>1209</v>
      </c>
      <c r="BG50" s="570" t="s">
        <v>1181</v>
      </c>
      <c r="BH50" s="403">
        <v>1</v>
      </c>
      <c r="BI50" s="403">
        <v>0</v>
      </c>
      <c r="BJ50" s="463" t="s">
        <v>1286</v>
      </c>
      <c r="BK50" s="454"/>
      <c r="BL50" s="1252">
        <v>800.34458999999993</v>
      </c>
      <c r="BM50" s="1759">
        <v>2613.18102</v>
      </c>
      <c r="BN50" s="2112">
        <v>2652.8442500000001</v>
      </c>
      <c r="BO50" s="2112">
        <v>2652.8442500000001</v>
      </c>
      <c r="BP50" s="2315">
        <v>39.663230000000112</v>
      </c>
      <c r="BQ50" s="1584">
        <v>2613.18102</v>
      </c>
      <c r="BR50" s="1539">
        <v>0</v>
      </c>
      <c r="BS50" s="2126">
        <v>0</v>
      </c>
      <c r="BT50" s="54">
        <v>2613.18102</v>
      </c>
      <c r="BU50" s="1586"/>
      <c r="BV50" s="1584">
        <v>2613.18102</v>
      </c>
      <c r="BW50" s="2110">
        <v>0</v>
      </c>
      <c r="BX50" s="980">
        <v>2613.18102</v>
      </c>
      <c r="BY50" s="990"/>
      <c r="BZ50" s="1335">
        <v>2613.18102</v>
      </c>
      <c r="CA50" s="1337">
        <v>2613.18102</v>
      </c>
      <c r="CB50" s="990">
        <v>2613.18102</v>
      </c>
      <c r="CC50" s="990"/>
      <c r="CD50" s="990">
        <v>1920.7338999999999</v>
      </c>
      <c r="CE50" s="1252">
        <v>1920.7338999999999</v>
      </c>
      <c r="CG50" s="2111">
        <v>1920.7338999999999</v>
      </c>
      <c r="CH50" s="1253">
        <v>692.44712000000004</v>
      </c>
      <c r="CI50" s="1548">
        <v>0</v>
      </c>
      <c r="CJ50" s="1548">
        <v>39.663229999999999</v>
      </c>
    </row>
    <row r="51" spans="1:88" s="985" customFormat="1" ht="30.75" hidden="1" thickBot="1" x14ac:dyDescent="0.3">
      <c r="A51" s="2429" t="s">
        <v>165</v>
      </c>
      <c r="B51" s="2430" t="s">
        <v>1225</v>
      </c>
      <c r="C51" s="979">
        <v>2018</v>
      </c>
      <c r="D51" s="979" t="s">
        <v>1268</v>
      </c>
      <c r="E51" s="1536" t="s">
        <v>80</v>
      </c>
      <c r="F51" s="1536" t="s">
        <v>80</v>
      </c>
      <c r="G51" s="1592" t="s">
        <v>166</v>
      </c>
      <c r="H51" s="980">
        <v>6146.93055</v>
      </c>
      <c r="I51" s="2533">
        <f t="shared" si="5"/>
        <v>0</v>
      </c>
      <c r="J51" s="2643">
        <f t="shared" si="0"/>
        <v>6146.93055</v>
      </c>
      <c r="K51" s="2643">
        <f t="shared" si="1"/>
        <v>6146.93055</v>
      </c>
      <c r="L51" s="2643">
        <f t="shared" si="2"/>
        <v>0</v>
      </c>
      <c r="M51" s="1759"/>
      <c r="N51" s="2361">
        <v>0</v>
      </c>
      <c r="O51" s="1540">
        <v>0</v>
      </c>
      <c r="P51" s="1541">
        <v>0</v>
      </c>
      <c r="Q51" s="1542">
        <v>0</v>
      </c>
      <c r="R51" s="1543">
        <v>8.0645000000000007</v>
      </c>
      <c r="S51" s="1610">
        <v>-8.0645000000000007</v>
      </c>
      <c r="T51" s="1543">
        <v>0</v>
      </c>
      <c r="U51" s="3178"/>
      <c r="V51" s="3178"/>
      <c r="W51" s="3178"/>
      <c r="X51" s="3178"/>
      <c r="Y51" s="1585">
        <v>0</v>
      </c>
      <c r="Z51" s="1539">
        <v>0</v>
      </c>
      <c r="AA51" s="1539">
        <v>0</v>
      </c>
      <c r="AB51" s="1542">
        <v>0</v>
      </c>
      <c r="AC51" s="570" t="s">
        <v>2365</v>
      </c>
      <c r="AD51" s="979" t="s">
        <v>1329</v>
      </c>
      <c r="AE51" s="1590" t="s">
        <v>355</v>
      </c>
      <c r="AF51" s="1589" t="s">
        <v>1283</v>
      </c>
      <c r="AG51" s="1589" t="s">
        <v>1283</v>
      </c>
      <c r="AH51" s="1249">
        <v>9</v>
      </c>
      <c r="AI51" s="1319" t="s">
        <v>1230</v>
      </c>
      <c r="AJ51" s="2416">
        <v>8.0694499999999607</v>
      </c>
      <c r="AK51" s="516">
        <v>0</v>
      </c>
      <c r="AL51" s="1320">
        <v>0</v>
      </c>
      <c r="AM51" s="512">
        <v>0</v>
      </c>
      <c r="AN51" s="1171"/>
      <c r="AO51" s="1171"/>
      <c r="AP51" s="1177"/>
      <c r="AQ51" s="674" t="s">
        <v>74</v>
      </c>
      <c r="AR51" s="367">
        <v>4</v>
      </c>
      <c r="AS51" s="367"/>
      <c r="AT51" s="674">
        <v>6</v>
      </c>
      <c r="AU51" s="1178"/>
      <c r="AV51" s="455"/>
      <c r="AW51" s="979"/>
      <c r="AX51" s="570"/>
      <c r="AY51" s="570"/>
      <c r="AZ51" s="570" t="s">
        <v>2365</v>
      </c>
      <c r="BA51" s="570"/>
      <c r="BB51" s="570" t="s">
        <v>2365</v>
      </c>
      <c r="BC51" s="979" t="s">
        <v>2154</v>
      </c>
      <c r="BD51" s="979" t="s">
        <v>2154</v>
      </c>
      <c r="BE51" s="979" t="s">
        <v>1209</v>
      </c>
      <c r="BF51" s="982" t="s">
        <v>1209</v>
      </c>
      <c r="BG51" s="570" t="s">
        <v>1296</v>
      </c>
      <c r="BH51" s="403">
        <v>1</v>
      </c>
      <c r="BI51" s="403">
        <v>0</v>
      </c>
      <c r="BJ51" s="463" t="s">
        <v>1284</v>
      </c>
      <c r="BK51" s="454"/>
      <c r="BL51" s="980">
        <v>1693.96892</v>
      </c>
      <c r="BM51" s="1759">
        <v>4452.9616299999998</v>
      </c>
      <c r="BN51" s="2112">
        <v>4461.0310799999997</v>
      </c>
      <c r="BO51" s="2112">
        <v>4461.0310799999997</v>
      </c>
      <c r="BP51" s="2315">
        <v>8.0694499999999607</v>
      </c>
      <c r="BQ51" s="1538">
        <v>2395.9220399999999</v>
      </c>
      <c r="BR51" s="1539">
        <v>2065.1090399999998</v>
      </c>
      <c r="BS51" s="2127">
        <v>2057.0395899999999</v>
      </c>
      <c r="BT51" s="54">
        <v>4452.9616299999998</v>
      </c>
      <c r="BU51" s="1585"/>
      <c r="BV51" s="1584">
        <v>2395.9220399999999</v>
      </c>
      <c r="BW51" s="2110">
        <v>0</v>
      </c>
      <c r="BX51" s="980">
        <v>2395.9220399999999</v>
      </c>
      <c r="BY51" s="990"/>
      <c r="BZ51" s="1335">
        <v>2395.9220399999999</v>
      </c>
      <c r="CA51" s="1337">
        <v>2395.9220399999999</v>
      </c>
      <c r="CB51" s="990">
        <v>2395.9220399999999</v>
      </c>
      <c r="CC51" s="990"/>
      <c r="CD51" s="990">
        <v>632.67544999999996</v>
      </c>
      <c r="CE51" s="1252">
        <v>632.67544999999996</v>
      </c>
      <c r="CG51" s="2111">
        <v>632.67544999999996</v>
      </c>
      <c r="CH51" s="1253">
        <v>1763.24659</v>
      </c>
      <c r="CI51" s="1548">
        <v>0</v>
      </c>
      <c r="CJ51" s="1548">
        <v>2065.1090399999998</v>
      </c>
    </row>
    <row r="52" spans="1:88" s="1013" customFormat="1" ht="30.75" thickBot="1" x14ac:dyDescent="0.3">
      <c r="A52" s="2431" t="s">
        <v>167</v>
      </c>
      <c r="B52" s="2432" t="s">
        <v>1302</v>
      </c>
      <c r="C52" s="75">
        <v>2018</v>
      </c>
      <c r="D52" s="275" t="s">
        <v>1268</v>
      </c>
      <c r="E52" s="76" t="s">
        <v>80</v>
      </c>
      <c r="F52" s="84" t="s">
        <v>80</v>
      </c>
      <c r="G52" s="1014" t="s">
        <v>168</v>
      </c>
      <c r="H52" s="25">
        <v>7132.7620999999999</v>
      </c>
      <c r="I52" s="2533">
        <f t="shared" si="5"/>
        <v>0</v>
      </c>
      <c r="J52" s="2643">
        <f t="shared" si="0"/>
        <v>7132.7620999999999</v>
      </c>
      <c r="K52" s="2643">
        <f t="shared" si="1"/>
        <v>7132.7620999999999</v>
      </c>
      <c r="L52" s="2643">
        <f t="shared" si="2"/>
        <v>0</v>
      </c>
      <c r="M52" s="25"/>
      <c r="N52" s="542">
        <v>0</v>
      </c>
      <c r="O52" s="44">
        <v>0</v>
      </c>
      <c r="P52" s="667">
        <v>0</v>
      </c>
      <c r="Q52" s="26">
        <v>0</v>
      </c>
      <c r="R52" s="2335">
        <v>0</v>
      </c>
      <c r="S52" s="1448">
        <v>0</v>
      </c>
      <c r="T52" s="1464">
        <v>0</v>
      </c>
      <c r="U52" s="3179"/>
      <c r="V52" s="3179"/>
      <c r="W52" s="3179"/>
      <c r="X52" s="3179"/>
      <c r="Y52" s="43">
        <v>0</v>
      </c>
      <c r="Z52" s="294">
        <v>0</v>
      </c>
      <c r="AA52" s="24">
        <v>0</v>
      </c>
      <c r="AB52" s="23">
        <v>0</v>
      </c>
      <c r="AC52" s="150" t="s">
        <v>1209</v>
      </c>
      <c r="AD52" s="275" t="s">
        <v>1329</v>
      </c>
      <c r="AE52" s="379" t="s">
        <v>37</v>
      </c>
      <c r="AF52" s="74" t="s">
        <v>1283</v>
      </c>
      <c r="AG52" s="74" t="s">
        <v>1283</v>
      </c>
      <c r="AH52" s="76">
        <v>5</v>
      </c>
      <c r="AI52" s="722" t="s">
        <v>2957</v>
      </c>
      <c r="AJ52" s="2416">
        <v>-2.0999999997002305E-3</v>
      </c>
      <c r="AK52" s="516">
        <v>0</v>
      </c>
      <c r="AL52" s="1054">
        <v>0</v>
      </c>
      <c r="AM52" s="1056">
        <v>0</v>
      </c>
      <c r="AN52" s="1143"/>
      <c r="AO52" s="1143"/>
      <c r="AP52" s="758"/>
      <c r="AQ52" s="675" t="s">
        <v>74</v>
      </c>
      <c r="AR52" s="673">
        <v>4</v>
      </c>
      <c r="AS52" s="673"/>
      <c r="AT52" s="674">
        <v>6</v>
      </c>
      <c r="AU52" s="1149"/>
      <c r="AV52" s="435"/>
      <c r="AW52" s="75"/>
      <c r="AX52" s="150"/>
      <c r="AY52" s="150"/>
      <c r="AZ52" s="150" t="s">
        <v>1209</v>
      </c>
      <c r="BA52" s="150"/>
      <c r="BB52" s="150" t="s">
        <v>1209</v>
      </c>
      <c r="BC52" s="83" t="s">
        <v>1209</v>
      </c>
      <c r="BD52" s="83" t="s">
        <v>1209</v>
      </c>
      <c r="BE52" s="83" t="s">
        <v>1209</v>
      </c>
      <c r="BF52" s="150" t="s">
        <v>1209</v>
      </c>
      <c r="BG52" s="150" t="s">
        <v>1296</v>
      </c>
      <c r="BH52" s="755">
        <v>1</v>
      </c>
      <c r="BI52" s="755">
        <v>0</v>
      </c>
      <c r="BJ52" s="462" t="s">
        <v>1284</v>
      </c>
      <c r="BK52" s="433"/>
      <c r="BL52" s="25">
        <v>0</v>
      </c>
      <c r="BM52" s="1439">
        <v>7132.7620999999999</v>
      </c>
      <c r="BN52" s="2122">
        <v>7132.76</v>
      </c>
      <c r="BO52" s="2122">
        <v>7132.76</v>
      </c>
      <c r="BP52" s="2314">
        <v>-2.0999999997002305E-3</v>
      </c>
      <c r="BQ52" s="1484">
        <v>7132.7620999999999</v>
      </c>
      <c r="BR52" s="952">
        <v>0</v>
      </c>
      <c r="BS52" s="2131">
        <v>0</v>
      </c>
      <c r="BT52" s="54">
        <v>7132.7620999999999</v>
      </c>
      <c r="BU52" s="1502"/>
      <c r="BV52" s="1484">
        <v>7132.7620999999999</v>
      </c>
      <c r="BW52" s="1439">
        <v>0</v>
      </c>
      <c r="BX52" s="25">
        <v>7132.7620999999999</v>
      </c>
      <c r="BY52" s="655"/>
      <c r="BZ52" s="1195">
        <v>7132.7620999999999</v>
      </c>
      <c r="CA52" s="1119">
        <v>7132.7620999999999</v>
      </c>
      <c r="CB52" s="655">
        <v>5371.8332300000002</v>
      </c>
      <c r="CC52" s="655"/>
      <c r="CD52" s="655">
        <v>4564.6401599999999</v>
      </c>
      <c r="CE52" s="25">
        <v>4564.6401599999999</v>
      </c>
      <c r="CG52" s="1393">
        <v>4564.6401599999999</v>
      </c>
      <c r="CH52" s="792">
        <v>807.19307000000026</v>
      </c>
      <c r="CI52" s="1362">
        <v>1760.92677</v>
      </c>
      <c r="CJ52" s="1362">
        <v>0</v>
      </c>
    </row>
    <row r="53" spans="1:88" s="1013" customFormat="1" ht="26.25" hidden="1" thickBot="1" x14ac:dyDescent="0.3">
      <c r="A53" s="173" t="s">
        <v>977</v>
      </c>
      <c r="B53" s="144" t="s">
        <v>1230</v>
      </c>
      <c r="C53" s="75">
        <v>2019</v>
      </c>
      <c r="D53" s="75" t="s">
        <v>1265</v>
      </c>
      <c r="E53" s="76" t="s">
        <v>80</v>
      </c>
      <c r="F53" s="76" t="s">
        <v>80</v>
      </c>
      <c r="G53" s="226" t="s">
        <v>913</v>
      </c>
      <c r="H53" s="25">
        <v>0</v>
      </c>
      <c r="I53" s="2533">
        <f t="shared" si="5"/>
        <v>0</v>
      </c>
      <c r="J53" s="2643">
        <f t="shared" si="0"/>
        <v>0</v>
      </c>
      <c r="K53" s="2643">
        <f t="shared" si="1"/>
        <v>0</v>
      </c>
      <c r="L53" s="2643">
        <f t="shared" si="2"/>
        <v>0</v>
      </c>
      <c r="M53" s="1438"/>
      <c r="N53" s="542">
        <v>0</v>
      </c>
      <c r="O53" s="44">
        <v>0</v>
      </c>
      <c r="P53" s="375">
        <v>0</v>
      </c>
      <c r="Q53" s="26">
        <v>0</v>
      </c>
      <c r="R53" s="2335">
        <v>2560</v>
      </c>
      <c r="S53" s="1448">
        <v>-2560</v>
      </c>
      <c r="T53" s="1463">
        <v>0</v>
      </c>
      <c r="U53" s="1463"/>
      <c r="V53" s="1463"/>
      <c r="W53" s="1463"/>
      <c r="X53" s="1463"/>
      <c r="Y53" s="27">
        <v>0</v>
      </c>
      <c r="Z53" s="45">
        <v>0</v>
      </c>
      <c r="AA53" s="45">
        <v>0</v>
      </c>
      <c r="AB53" s="26">
        <v>0</v>
      </c>
      <c r="AC53" s="150" t="s">
        <v>2575</v>
      </c>
      <c r="AD53" s="75" t="s">
        <v>1300</v>
      </c>
      <c r="AE53" s="379" t="s">
        <v>1888</v>
      </c>
      <c r="AF53" s="74" t="s">
        <v>1282</v>
      </c>
      <c r="AG53" s="74" t="s">
        <v>1282</v>
      </c>
      <c r="AH53" s="76">
        <v>6</v>
      </c>
      <c r="AI53" s="722" t="s">
        <v>1383</v>
      </c>
      <c r="AJ53" s="2416">
        <v>0</v>
      </c>
      <c r="AK53" s="516">
        <v>0</v>
      </c>
      <c r="AL53" s="452">
        <v>0</v>
      </c>
      <c r="AM53" s="513">
        <v>0</v>
      </c>
      <c r="AN53" s="1142"/>
      <c r="AO53" s="1142"/>
      <c r="AP53" s="496"/>
      <c r="AQ53" s="662" t="s">
        <v>74</v>
      </c>
      <c r="AR53" s="175">
        <v>4</v>
      </c>
      <c r="AS53" s="175">
        <v>1</v>
      </c>
      <c r="AT53" s="2120">
        <v>6</v>
      </c>
      <c r="AU53" s="1148"/>
      <c r="AV53" s="435"/>
      <c r="AW53" s="75"/>
      <c r="AX53" s="150"/>
      <c r="AY53" s="150"/>
      <c r="AZ53" s="150" t="s">
        <v>2575</v>
      </c>
      <c r="BA53" s="150"/>
      <c r="BB53" s="2119" t="s">
        <v>2496</v>
      </c>
      <c r="BC53" s="150" t="s">
        <v>1209</v>
      </c>
      <c r="BD53" s="150" t="s">
        <v>1209</v>
      </c>
      <c r="BE53" s="150" t="s">
        <v>1209</v>
      </c>
      <c r="BF53" s="857" t="s">
        <v>1209</v>
      </c>
      <c r="BG53" s="83" t="s">
        <v>1296</v>
      </c>
      <c r="BH53" s="755">
        <v>1</v>
      </c>
      <c r="BI53" s="755">
        <v>0</v>
      </c>
      <c r="BJ53" s="462" t="s">
        <v>1284</v>
      </c>
      <c r="BK53" s="433"/>
      <c r="BL53" s="25">
        <v>0</v>
      </c>
      <c r="BM53" s="1438">
        <v>0</v>
      </c>
      <c r="BN53" s="25">
        <v>0</v>
      </c>
      <c r="BO53" s="1734">
        <v>0</v>
      </c>
      <c r="BP53" s="2314">
        <v>0</v>
      </c>
      <c r="BQ53" s="2118">
        <v>0</v>
      </c>
      <c r="BR53" s="1667">
        <v>0</v>
      </c>
      <c r="BS53" s="2118">
        <v>0</v>
      </c>
      <c r="BT53" s="54">
        <v>0</v>
      </c>
      <c r="BU53" s="841"/>
      <c r="BV53" s="1482">
        <v>0</v>
      </c>
      <c r="BW53" s="866">
        <v>0</v>
      </c>
      <c r="BX53" s="25">
        <v>0</v>
      </c>
      <c r="BY53" s="655"/>
      <c r="BZ53" s="655">
        <v>0</v>
      </c>
      <c r="CA53" s="655">
        <v>0</v>
      </c>
      <c r="CB53" s="655">
        <v>0</v>
      </c>
      <c r="CC53" s="655"/>
      <c r="CD53" s="655">
        <v>0</v>
      </c>
      <c r="CE53" s="25">
        <v>0</v>
      </c>
      <c r="CG53" s="1911">
        <v>0</v>
      </c>
      <c r="CH53" s="374">
        <v>0</v>
      </c>
      <c r="CI53" s="1037">
        <v>0</v>
      </c>
      <c r="CJ53" s="1016">
        <v>0</v>
      </c>
    </row>
    <row r="54" spans="1:88" s="985" customFormat="1" ht="26.25" hidden="1" thickBot="1" x14ac:dyDescent="0.3">
      <c r="A54" s="2429" t="s">
        <v>982</v>
      </c>
      <c r="B54" s="2430" t="s">
        <v>2270</v>
      </c>
      <c r="C54" s="979">
        <v>2019</v>
      </c>
      <c r="D54" s="979" t="s">
        <v>1265</v>
      </c>
      <c r="E54" s="1536" t="s">
        <v>80</v>
      </c>
      <c r="F54" s="1536" t="s">
        <v>80</v>
      </c>
      <c r="G54" s="1618" t="s">
        <v>918</v>
      </c>
      <c r="H54" s="980">
        <v>13204.718570000001</v>
      </c>
      <c r="I54" s="2533">
        <f t="shared" si="5"/>
        <v>0</v>
      </c>
      <c r="J54" s="2643">
        <f t="shared" si="0"/>
        <v>13204.718570000001</v>
      </c>
      <c r="K54" s="2643">
        <f t="shared" si="1"/>
        <v>13204.718570000001</v>
      </c>
      <c r="L54" s="2643">
        <f t="shared" si="2"/>
        <v>0</v>
      </c>
      <c r="M54" s="1759"/>
      <c r="N54" s="2361">
        <v>0</v>
      </c>
      <c r="O54" s="1540">
        <v>0</v>
      </c>
      <c r="P54" s="1541">
        <v>0</v>
      </c>
      <c r="Q54" s="1542">
        <v>0</v>
      </c>
      <c r="R54" s="2338">
        <v>1245.28143</v>
      </c>
      <c r="S54" s="1593">
        <v>-1245.28143</v>
      </c>
      <c r="T54" s="1545">
        <v>0</v>
      </c>
      <c r="U54" s="1545"/>
      <c r="V54" s="1545"/>
      <c r="W54" s="1545"/>
      <c r="X54" s="1545"/>
      <c r="Y54" s="1539">
        <v>0</v>
      </c>
      <c r="Z54" s="1539">
        <v>0</v>
      </c>
      <c r="AA54" s="1619">
        <v>0</v>
      </c>
      <c r="AB54" s="1542">
        <v>0</v>
      </c>
      <c r="AC54" s="570" t="s">
        <v>2367</v>
      </c>
      <c r="AD54" s="979" t="s">
        <v>1329</v>
      </c>
      <c r="AE54" s="1590" t="s">
        <v>845</v>
      </c>
      <c r="AF54" s="1589" t="s">
        <v>1283</v>
      </c>
      <c r="AG54" s="1589" t="s">
        <v>1283</v>
      </c>
      <c r="AH54" s="1536">
        <v>10</v>
      </c>
      <c r="AI54" s="1319" t="s">
        <v>1447</v>
      </c>
      <c r="AJ54" s="2416">
        <v>1245.2814299999991</v>
      </c>
      <c r="AK54" s="516">
        <v>0</v>
      </c>
      <c r="AL54" s="1320">
        <v>0</v>
      </c>
      <c r="AM54" s="512">
        <v>0</v>
      </c>
      <c r="AN54" s="1171"/>
      <c r="AO54" s="1171"/>
      <c r="AP54" s="1177"/>
      <c r="AQ54" s="674" t="s">
        <v>74</v>
      </c>
      <c r="AR54" s="367">
        <v>4</v>
      </c>
      <c r="AS54" s="367">
        <v>1</v>
      </c>
      <c r="AT54" s="674">
        <v>6</v>
      </c>
      <c r="AU54" s="1178"/>
      <c r="AV54" s="455"/>
      <c r="AW54" s="979" t="s">
        <v>1807</v>
      </c>
      <c r="AX54" s="570"/>
      <c r="AY54" s="570"/>
      <c r="AZ54" s="570" t="s">
        <v>2367</v>
      </c>
      <c r="BA54" s="570"/>
      <c r="BB54" s="570" t="s">
        <v>2367</v>
      </c>
      <c r="BC54" s="979" t="s">
        <v>1209</v>
      </c>
      <c r="BD54" s="979" t="s">
        <v>1209</v>
      </c>
      <c r="BE54" s="2153" t="s">
        <v>1902</v>
      </c>
      <c r="BF54" s="2162" t="s">
        <v>1281</v>
      </c>
      <c r="BG54" s="1523" t="s">
        <v>1296</v>
      </c>
      <c r="BH54" s="403">
        <v>1</v>
      </c>
      <c r="BI54" s="403">
        <v>0</v>
      </c>
      <c r="BJ54" s="463" t="s">
        <v>1293</v>
      </c>
      <c r="BK54" s="454"/>
      <c r="BL54" s="980">
        <v>0</v>
      </c>
      <c r="BM54" s="1759">
        <v>13204.718570000001</v>
      </c>
      <c r="BN54" s="2112">
        <v>14450</v>
      </c>
      <c r="BO54" s="2112">
        <v>14450</v>
      </c>
      <c r="BP54" s="2315">
        <v>1245.2814299999991</v>
      </c>
      <c r="BQ54" s="1538">
        <v>8241.1575400000002</v>
      </c>
      <c r="BR54" s="1661">
        <v>4964</v>
      </c>
      <c r="BS54" s="2127">
        <v>4963.5610299999998</v>
      </c>
      <c r="BT54" s="54">
        <v>13204.718570000001</v>
      </c>
      <c r="BU54" s="1607"/>
      <c r="BV54" s="1538">
        <v>8241.1575400000002</v>
      </c>
      <c r="BW54" s="1377">
        <v>8241.1575400000002</v>
      </c>
      <c r="BX54" s="980">
        <v>0</v>
      </c>
      <c r="BY54" s="984"/>
      <c r="BZ54" s="984">
        <v>0</v>
      </c>
      <c r="CA54" s="984">
        <v>0</v>
      </c>
      <c r="CB54" s="2163">
        <v>0</v>
      </c>
      <c r="CC54" s="2163"/>
      <c r="CD54" s="984">
        <v>0</v>
      </c>
      <c r="CE54" s="980">
        <v>0</v>
      </c>
      <c r="CG54" s="2116">
        <v>0</v>
      </c>
      <c r="CH54" s="1253">
        <v>0</v>
      </c>
      <c r="CI54" s="1548">
        <v>0</v>
      </c>
      <c r="CJ54" s="2072">
        <v>14450</v>
      </c>
    </row>
    <row r="55" spans="1:88" s="2080" customFormat="1" ht="51.75" hidden="1" thickBot="1" x14ac:dyDescent="0.3">
      <c r="A55" s="2711" t="s">
        <v>984</v>
      </c>
      <c r="B55" s="2712" t="s">
        <v>2322</v>
      </c>
      <c r="C55" s="2666">
        <v>2019</v>
      </c>
      <c r="D55" s="2666" t="s">
        <v>1265</v>
      </c>
      <c r="E55" s="2713" t="s">
        <v>80</v>
      </c>
      <c r="F55" s="2713" t="s">
        <v>80</v>
      </c>
      <c r="G55" s="2714" t="s">
        <v>920</v>
      </c>
      <c r="H55" s="2669">
        <v>6618.7232100000001</v>
      </c>
      <c r="I55" s="2700">
        <f t="shared" si="5"/>
        <v>0</v>
      </c>
      <c r="J55" s="2648">
        <f t="shared" si="0"/>
        <v>6618.7232100000001</v>
      </c>
      <c r="K55" s="2648">
        <f t="shared" si="1"/>
        <v>6618.7232100000001</v>
      </c>
      <c r="L55" s="2648">
        <f t="shared" si="2"/>
        <v>0</v>
      </c>
      <c r="M55" s="2668"/>
      <c r="N55" s="2656">
        <v>0</v>
      </c>
      <c r="O55" s="2657">
        <v>0</v>
      </c>
      <c r="P55" s="2715">
        <v>0</v>
      </c>
      <c r="Q55" s="2716">
        <v>0</v>
      </c>
      <c r="R55" s="2670">
        <v>11.276789999999892</v>
      </c>
      <c r="S55" s="2670">
        <v>-11.276789999999892</v>
      </c>
      <c r="T55" s="2661">
        <v>0</v>
      </c>
      <c r="U55" s="2661"/>
      <c r="V55" s="2661"/>
      <c r="W55" s="2661"/>
      <c r="X55" s="2661"/>
      <c r="Y55" s="2670">
        <v>0</v>
      </c>
      <c r="Z55" s="2670">
        <v>0</v>
      </c>
      <c r="AA55" s="2661">
        <v>0</v>
      </c>
      <c r="AB55" s="2716">
        <v>0</v>
      </c>
      <c r="AC55" s="2717" t="s">
        <v>2368</v>
      </c>
      <c r="AD55" s="933" t="s">
        <v>2606</v>
      </c>
      <c r="AE55" s="2665" t="s">
        <v>355</v>
      </c>
      <c r="AF55" s="2709" t="s">
        <v>1283</v>
      </c>
      <c r="AG55" s="2709" t="s">
        <v>1283</v>
      </c>
      <c r="AH55" s="2738">
        <v>7</v>
      </c>
      <c r="AI55" s="1213" t="s">
        <v>1447</v>
      </c>
      <c r="AJ55" s="2416">
        <v>11.276789999999892</v>
      </c>
      <c r="AK55" s="516">
        <v>0</v>
      </c>
      <c r="AL55" s="1320">
        <v>0</v>
      </c>
      <c r="AM55" s="512">
        <v>0</v>
      </c>
      <c r="AN55" s="1171"/>
      <c r="AO55" s="1171"/>
      <c r="AP55" s="1177"/>
      <c r="AQ55" s="674" t="s">
        <v>74</v>
      </c>
      <c r="AR55" s="367">
        <v>4</v>
      </c>
      <c r="AS55" s="367">
        <v>1</v>
      </c>
      <c r="AT55" s="674">
        <v>6</v>
      </c>
      <c r="AU55" s="1178"/>
      <c r="AV55" s="455"/>
      <c r="AW55" s="979" t="s">
        <v>1807</v>
      </c>
      <c r="AX55" s="1523"/>
      <c r="AY55" s="1523"/>
      <c r="AZ55" s="1523" t="s">
        <v>2368</v>
      </c>
      <c r="BA55" s="1523"/>
      <c r="BB55" s="1523" t="s">
        <v>2368</v>
      </c>
      <c r="BC55" s="1523" t="s">
        <v>2134</v>
      </c>
      <c r="BD55" s="2164" t="s">
        <v>2134</v>
      </c>
      <c r="BE55" s="1523" t="s">
        <v>1209</v>
      </c>
      <c r="BF55" s="2162" t="s">
        <v>1281</v>
      </c>
      <c r="BG55" s="1523" t="s">
        <v>1296</v>
      </c>
      <c r="BH55" s="403">
        <v>1</v>
      </c>
      <c r="BI55" s="403">
        <v>0</v>
      </c>
      <c r="BJ55" s="2165" t="s">
        <v>1284</v>
      </c>
      <c r="BK55" s="366"/>
      <c r="BL55" s="980">
        <v>0</v>
      </c>
      <c r="BM55" s="1759">
        <v>6618.7232100000001</v>
      </c>
      <c r="BN55" s="2112">
        <v>6630</v>
      </c>
      <c r="BO55" s="2112">
        <v>6630</v>
      </c>
      <c r="BP55" s="2315">
        <v>11.276789999999892</v>
      </c>
      <c r="BQ55" s="1538">
        <v>0</v>
      </c>
      <c r="BR55" s="1661">
        <v>6619</v>
      </c>
      <c r="BS55" s="2127">
        <v>6618.7232100000001</v>
      </c>
      <c r="BT55" s="54">
        <v>6618.7232100000001</v>
      </c>
      <c r="BU55" s="1607"/>
      <c r="BV55" s="1538">
        <v>0</v>
      </c>
      <c r="BW55" s="1376">
        <v>0</v>
      </c>
      <c r="BX55" s="1952">
        <v>0</v>
      </c>
      <c r="BY55" s="2163"/>
      <c r="BZ55" s="984">
        <v>0</v>
      </c>
      <c r="CA55" s="984">
        <v>0</v>
      </c>
      <c r="CB55" s="984">
        <v>0</v>
      </c>
      <c r="CC55" s="984"/>
      <c r="CD55" s="984">
        <v>0</v>
      </c>
      <c r="CE55" s="980">
        <v>0</v>
      </c>
      <c r="CG55" s="2116">
        <v>0</v>
      </c>
      <c r="CH55" s="1253">
        <v>0</v>
      </c>
      <c r="CI55" s="1548">
        <v>0</v>
      </c>
      <c r="CJ55" s="2072">
        <v>6630</v>
      </c>
    </row>
    <row r="56" spans="1:88" s="1013" customFormat="1" ht="26.25" hidden="1" thickBot="1" x14ac:dyDescent="0.3">
      <c r="A56" s="2433" t="s">
        <v>1385</v>
      </c>
      <c r="B56" s="2434" t="s">
        <v>1794</v>
      </c>
      <c r="C56" s="618">
        <v>2019</v>
      </c>
      <c r="D56" s="275" t="s">
        <v>1485</v>
      </c>
      <c r="E56" s="664" t="s">
        <v>80</v>
      </c>
      <c r="F56" s="664" t="s">
        <v>80</v>
      </c>
      <c r="G56" s="665" t="s">
        <v>1386</v>
      </c>
      <c r="H56" s="621">
        <v>1</v>
      </c>
      <c r="I56" s="2533">
        <f t="shared" si="5"/>
        <v>0</v>
      </c>
      <c r="J56" s="2643">
        <f t="shared" si="0"/>
        <v>1</v>
      </c>
      <c r="K56" s="2643">
        <f t="shared" si="1"/>
        <v>1</v>
      </c>
      <c r="L56" s="2643">
        <f t="shared" si="2"/>
        <v>0</v>
      </c>
      <c r="M56" s="1439"/>
      <c r="N56" s="738">
        <v>0</v>
      </c>
      <c r="O56" s="742">
        <v>0</v>
      </c>
      <c r="P56" s="1208">
        <v>0</v>
      </c>
      <c r="Q56" s="624">
        <v>0</v>
      </c>
      <c r="R56" s="2342">
        <v>0</v>
      </c>
      <c r="S56" s="1454">
        <v>0</v>
      </c>
      <c r="T56" s="1464">
        <v>0</v>
      </c>
      <c r="U56" s="3180"/>
      <c r="V56" s="3180"/>
      <c r="W56" s="3180"/>
      <c r="X56" s="3180"/>
      <c r="Y56" s="622">
        <v>0</v>
      </c>
      <c r="Z56" s="622">
        <v>0</v>
      </c>
      <c r="AA56" s="622">
        <v>0</v>
      </c>
      <c r="AB56" s="624">
        <v>0</v>
      </c>
      <c r="AC56" s="275" t="s">
        <v>1454</v>
      </c>
      <c r="AD56" s="78" t="s">
        <v>1329</v>
      </c>
      <c r="AE56" s="584" t="s">
        <v>847</v>
      </c>
      <c r="AF56" s="797" t="s">
        <v>1283</v>
      </c>
      <c r="AG56" s="797" t="s">
        <v>1283</v>
      </c>
      <c r="AH56" s="905">
        <v>8</v>
      </c>
      <c r="AI56" s="728"/>
      <c r="AJ56" s="2416">
        <v>0</v>
      </c>
      <c r="AK56" s="516">
        <v>0</v>
      </c>
      <c r="AL56" s="1054">
        <v>0</v>
      </c>
      <c r="AM56" s="1056">
        <v>0</v>
      </c>
      <c r="AN56" s="1143"/>
      <c r="AO56" s="1143"/>
      <c r="AP56" s="758"/>
      <c r="AQ56" s="675" t="s">
        <v>74</v>
      </c>
      <c r="AR56" s="673">
        <v>4</v>
      </c>
      <c r="AS56" s="673">
        <v>2</v>
      </c>
      <c r="AT56" s="675">
        <v>3</v>
      </c>
      <c r="AU56" s="1149"/>
      <c r="AV56" s="759"/>
      <c r="AW56" s="275"/>
      <c r="AX56" s="275"/>
      <c r="AY56" s="275"/>
      <c r="AZ56" s="275" t="s">
        <v>1454</v>
      </c>
      <c r="BA56" s="275"/>
      <c r="BB56" s="275" t="s">
        <v>1454</v>
      </c>
      <c r="BC56" s="275" t="s">
        <v>1454</v>
      </c>
      <c r="BD56" s="275" t="s">
        <v>1454</v>
      </c>
      <c r="BE56" s="670" t="s">
        <v>1454</v>
      </c>
      <c r="BF56" s="912" t="s">
        <v>1454</v>
      </c>
      <c r="BG56" s="760" t="s">
        <v>1296</v>
      </c>
      <c r="BH56" s="1057">
        <v>1</v>
      </c>
      <c r="BI56" s="1057">
        <v>0</v>
      </c>
      <c r="BJ56" s="761" t="s">
        <v>1293</v>
      </c>
      <c r="BK56" s="672"/>
      <c r="BL56" s="293">
        <v>0</v>
      </c>
      <c r="BM56" s="1439">
        <v>1</v>
      </c>
      <c r="BN56" s="2122">
        <v>1</v>
      </c>
      <c r="BO56" s="2122">
        <v>1</v>
      </c>
      <c r="BP56" s="2314">
        <v>0</v>
      </c>
      <c r="BQ56" s="1487">
        <v>1</v>
      </c>
      <c r="BR56" s="2137">
        <v>0</v>
      </c>
      <c r="BS56" s="2132">
        <v>0</v>
      </c>
      <c r="BT56" s="54">
        <v>1</v>
      </c>
      <c r="BU56" s="1626"/>
      <c r="BV56" s="1487">
        <v>1</v>
      </c>
      <c r="BW56" s="1440">
        <v>0</v>
      </c>
      <c r="BX56" s="293">
        <v>1</v>
      </c>
      <c r="BY56" s="666"/>
      <c r="BZ56" s="1197">
        <v>1</v>
      </c>
      <c r="CA56" s="1132">
        <v>1</v>
      </c>
      <c r="CB56" s="666">
        <v>1</v>
      </c>
      <c r="CC56" s="666"/>
      <c r="CD56" s="666">
        <v>0</v>
      </c>
      <c r="CE56" s="621">
        <v>0</v>
      </c>
      <c r="CG56" s="1394">
        <v>0</v>
      </c>
      <c r="CH56" s="792">
        <v>1</v>
      </c>
      <c r="CI56" s="1362">
        <v>0</v>
      </c>
      <c r="CJ56" s="1362">
        <v>0</v>
      </c>
    </row>
    <row r="57" spans="1:88" s="1013" customFormat="1" ht="26.25" hidden="1" thickBot="1" x14ac:dyDescent="0.3">
      <c r="A57" s="173" t="s">
        <v>1919</v>
      </c>
      <c r="B57" s="144" t="s">
        <v>1230</v>
      </c>
      <c r="C57" s="75">
        <v>2019</v>
      </c>
      <c r="D57" s="83" t="s">
        <v>2578</v>
      </c>
      <c r="E57" s="76" t="s">
        <v>80</v>
      </c>
      <c r="F57" s="76" t="s">
        <v>80</v>
      </c>
      <c r="G57" s="221" t="s">
        <v>1892</v>
      </c>
      <c r="H57" s="655">
        <v>0</v>
      </c>
      <c r="I57" s="2533">
        <f t="shared" si="5"/>
        <v>0</v>
      </c>
      <c r="J57" s="2643">
        <f t="shared" si="0"/>
        <v>0</v>
      </c>
      <c r="K57" s="2643">
        <f t="shared" si="1"/>
        <v>0</v>
      </c>
      <c r="L57" s="2643">
        <f t="shared" si="2"/>
        <v>0</v>
      </c>
      <c r="M57" s="1438"/>
      <c r="N57" s="542">
        <v>0</v>
      </c>
      <c r="O57" s="44">
        <v>0</v>
      </c>
      <c r="P57" s="375">
        <v>0</v>
      </c>
      <c r="Q57" s="26">
        <v>0</v>
      </c>
      <c r="R57" s="2343">
        <v>33844.945160000003</v>
      </c>
      <c r="S57" s="1627">
        <v>-33844.945160000003</v>
      </c>
      <c r="T57" s="1463">
        <v>0</v>
      </c>
      <c r="U57" s="1463"/>
      <c r="V57" s="1463"/>
      <c r="W57" s="1463"/>
      <c r="X57" s="1463"/>
      <c r="Y57" s="27">
        <v>0</v>
      </c>
      <c r="Z57" s="27">
        <v>0</v>
      </c>
      <c r="AA57" s="27">
        <v>0</v>
      </c>
      <c r="AB57" s="44">
        <v>0</v>
      </c>
      <c r="AC57" s="432" t="s">
        <v>2573</v>
      </c>
      <c r="AD57" s="75" t="s">
        <v>1300</v>
      </c>
      <c r="AE57" s="713" t="s">
        <v>355</v>
      </c>
      <c r="AF57" s="74" t="s">
        <v>1283</v>
      </c>
      <c r="AG57" s="74" t="s">
        <v>1282</v>
      </c>
      <c r="AH57" s="76">
        <v>3</v>
      </c>
      <c r="AI57" s="722"/>
      <c r="AJ57" s="2416">
        <v>0</v>
      </c>
      <c r="AK57" s="516">
        <v>0</v>
      </c>
      <c r="AL57" s="452">
        <v>0</v>
      </c>
      <c r="AM57" s="513">
        <v>0</v>
      </c>
      <c r="AN57" s="1142"/>
      <c r="AO57" s="1142"/>
      <c r="AP57" s="496"/>
      <c r="AQ57" s="662" t="s">
        <v>74</v>
      </c>
      <c r="AR57" s="175">
        <v>4</v>
      </c>
      <c r="AS57" s="175">
        <v>4</v>
      </c>
      <c r="AT57" s="2120">
        <v>6</v>
      </c>
      <c r="AU57" s="1148"/>
      <c r="AV57" s="435"/>
      <c r="AW57" s="432"/>
      <c r="AX57" s="432"/>
      <c r="AY57" s="432"/>
      <c r="AZ57" s="432" t="s">
        <v>2573</v>
      </c>
      <c r="BA57" s="432"/>
      <c r="BB57" s="432" t="s">
        <v>2369</v>
      </c>
      <c r="BC57" s="191" t="s">
        <v>1209</v>
      </c>
      <c r="BD57" s="191" t="s">
        <v>1209</v>
      </c>
      <c r="BE57" s="1912"/>
      <c r="BF57" s="773"/>
      <c r="BG57" s="582"/>
      <c r="BH57" s="755"/>
      <c r="BI57" s="899"/>
      <c r="BJ57" s="925"/>
      <c r="BK57" s="433"/>
      <c r="BL57" s="25">
        <v>0</v>
      </c>
      <c r="BM57" s="1438">
        <v>0</v>
      </c>
      <c r="BN57" s="2105">
        <v>0</v>
      </c>
      <c r="BO57" s="2105">
        <v>0</v>
      </c>
      <c r="BP57" s="2314">
        <v>0</v>
      </c>
      <c r="BQ57" s="1482">
        <v>0</v>
      </c>
      <c r="BR57" s="132">
        <v>0</v>
      </c>
      <c r="BS57" s="172">
        <v>0</v>
      </c>
      <c r="BT57" s="54">
        <v>0</v>
      </c>
      <c r="BU57" s="841"/>
      <c r="BV57" s="1482">
        <v>0</v>
      </c>
      <c r="BW57" s="866">
        <v>0</v>
      </c>
      <c r="BX57" s="25">
        <v>0</v>
      </c>
      <c r="BY57" s="655"/>
      <c r="BZ57" s="25">
        <v>0</v>
      </c>
      <c r="CA57" s="25">
        <v>0</v>
      </c>
      <c r="CB57" s="1913">
        <v>0</v>
      </c>
      <c r="CC57" s="1914"/>
      <c r="CD57" s="1915"/>
      <c r="CE57" s="591"/>
      <c r="CG57" s="374">
        <v>0</v>
      </c>
      <c r="CH57" s="375">
        <v>0</v>
      </c>
      <c r="CI57" s="1037">
        <v>0</v>
      </c>
      <c r="CJ57" s="1016">
        <v>0</v>
      </c>
    </row>
    <row r="58" spans="1:88" s="1013" customFormat="1" ht="27" hidden="1" customHeight="1" thickBot="1" x14ac:dyDescent="0.3">
      <c r="A58" s="173" t="s">
        <v>1920</v>
      </c>
      <c r="B58" s="144" t="s">
        <v>1230</v>
      </c>
      <c r="C58" s="75">
        <v>2019</v>
      </c>
      <c r="D58" s="83" t="s">
        <v>2578</v>
      </c>
      <c r="E58" s="76" t="s">
        <v>80</v>
      </c>
      <c r="F58" s="76" t="s">
        <v>80</v>
      </c>
      <c r="G58" s="221" t="s">
        <v>1893</v>
      </c>
      <c r="H58" s="655">
        <v>0</v>
      </c>
      <c r="I58" s="2533">
        <f t="shared" si="5"/>
        <v>0</v>
      </c>
      <c r="J58" s="2643">
        <f t="shared" si="0"/>
        <v>0</v>
      </c>
      <c r="K58" s="2643">
        <f t="shared" si="1"/>
        <v>0</v>
      </c>
      <c r="L58" s="2643">
        <f t="shared" si="2"/>
        <v>0</v>
      </c>
      <c r="M58" s="1438"/>
      <c r="N58" s="542">
        <v>0</v>
      </c>
      <c r="O58" s="44">
        <v>0</v>
      </c>
      <c r="P58" s="375">
        <v>0</v>
      </c>
      <c r="Q58" s="26">
        <v>0</v>
      </c>
      <c r="R58" s="2343">
        <v>23489.143230000001</v>
      </c>
      <c r="S58" s="1627">
        <v>-23489.143230000001</v>
      </c>
      <c r="T58" s="1463">
        <v>0</v>
      </c>
      <c r="U58" s="1463"/>
      <c r="V58" s="1463"/>
      <c r="W58" s="1463"/>
      <c r="X58" s="1463"/>
      <c r="Y58" s="27">
        <v>0</v>
      </c>
      <c r="Z58" s="27">
        <v>0</v>
      </c>
      <c r="AA58" s="27">
        <v>0</v>
      </c>
      <c r="AB58" s="44">
        <v>0</v>
      </c>
      <c r="AC58" s="432" t="s">
        <v>2574</v>
      </c>
      <c r="AD58" s="75" t="s">
        <v>1300</v>
      </c>
      <c r="AE58" s="713" t="s">
        <v>355</v>
      </c>
      <c r="AF58" s="74" t="s">
        <v>1283</v>
      </c>
      <c r="AG58" s="74" t="s">
        <v>1282</v>
      </c>
      <c r="AH58" s="76">
        <v>2</v>
      </c>
      <c r="AI58" s="722"/>
      <c r="AJ58" s="2416">
        <v>0</v>
      </c>
      <c r="AK58" s="516">
        <v>0</v>
      </c>
      <c r="AL58" s="452">
        <v>0</v>
      </c>
      <c r="AM58" s="513">
        <v>0</v>
      </c>
      <c r="AN58" s="1142"/>
      <c r="AO58" s="1142"/>
      <c r="AP58" s="496"/>
      <c r="AQ58" s="662" t="s">
        <v>74</v>
      </c>
      <c r="AR58" s="175">
        <v>4</v>
      </c>
      <c r="AS58" s="175">
        <v>4</v>
      </c>
      <c r="AT58" s="2120">
        <v>6</v>
      </c>
      <c r="AU58" s="1148"/>
      <c r="AV58" s="435"/>
      <c r="AW58" s="432"/>
      <c r="AX58" s="432"/>
      <c r="AY58" s="432"/>
      <c r="AZ58" s="432" t="s">
        <v>2574</v>
      </c>
      <c r="BA58" s="432"/>
      <c r="BB58" s="432" t="s">
        <v>2369</v>
      </c>
      <c r="BC58" s="191" t="s">
        <v>1209</v>
      </c>
      <c r="BD58" s="191" t="s">
        <v>1209</v>
      </c>
      <c r="BE58" s="1912"/>
      <c r="BF58" s="773"/>
      <c r="BG58" s="582"/>
      <c r="BH58" s="755"/>
      <c r="BI58" s="899"/>
      <c r="BJ58" s="925"/>
      <c r="BK58" s="433"/>
      <c r="BL58" s="25">
        <v>0</v>
      </c>
      <c r="BM58" s="1438">
        <v>0</v>
      </c>
      <c r="BN58" s="2105">
        <v>0</v>
      </c>
      <c r="BO58" s="2105">
        <v>0</v>
      </c>
      <c r="BP58" s="2314">
        <v>0</v>
      </c>
      <c r="BQ58" s="1482">
        <v>0</v>
      </c>
      <c r="BR58" s="132">
        <v>0</v>
      </c>
      <c r="BS58" s="172">
        <v>0</v>
      </c>
      <c r="BT58" s="54">
        <v>0</v>
      </c>
      <c r="BU58" s="841"/>
      <c r="BV58" s="1482">
        <v>0</v>
      </c>
      <c r="BW58" s="866">
        <v>0</v>
      </c>
      <c r="BX58" s="25">
        <v>0</v>
      </c>
      <c r="BY58" s="655"/>
      <c r="BZ58" s="25">
        <v>0</v>
      </c>
      <c r="CA58" s="25">
        <v>0</v>
      </c>
      <c r="CB58" s="1913">
        <v>0</v>
      </c>
      <c r="CC58" s="1914"/>
      <c r="CD58" s="1915"/>
      <c r="CE58" s="591"/>
      <c r="CG58" s="374">
        <v>0</v>
      </c>
      <c r="CH58" s="375">
        <v>0</v>
      </c>
      <c r="CI58" s="1037">
        <v>0</v>
      </c>
      <c r="CJ58" s="1016">
        <v>0</v>
      </c>
    </row>
    <row r="59" spans="1:88" s="1013" customFormat="1" ht="29.25" hidden="1" customHeight="1" thickBot="1" x14ac:dyDescent="0.3">
      <c r="A59" s="2431" t="s">
        <v>1974</v>
      </c>
      <c r="B59" s="2432" t="s">
        <v>2307</v>
      </c>
      <c r="C59" s="191">
        <v>2019</v>
      </c>
      <c r="D59" s="75" t="s">
        <v>2506</v>
      </c>
      <c r="E59" s="84" t="s">
        <v>80</v>
      </c>
      <c r="F59" s="76" t="s">
        <v>80</v>
      </c>
      <c r="G59" s="1395" t="s">
        <v>1975</v>
      </c>
      <c r="H59" s="25">
        <v>2992.2816000000003</v>
      </c>
      <c r="I59" s="2533">
        <f t="shared" si="5"/>
        <v>0</v>
      </c>
      <c r="J59" s="2643">
        <f t="shared" si="0"/>
        <v>2992.2815999999998</v>
      </c>
      <c r="K59" s="2643">
        <f t="shared" si="1"/>
        <v>2992.2815999999998</v>
      </c>
      <c r="L59" s="2643">
        <f t="shared" si="2"/>
        <v>0</v>
      </c>
      <c r="M59" s="1438"/>
      <c r="N59" s="542">
        <v>0</v>
      </c>
      <c r="O59" s="1037">
        <v>0</v>
      </c>
      <c r="P59" s="375">
        <v>0</v>
      </c>
      <c r="Q59" s="26">
        <v>0</v>
      </c>
      <c r="R59" s="2343">
        <v>0</v>
      </c>
      <c r="S59" s="1627">
        <v>0</v>
      </c>
      <c r="T59" s="1463">
        <v>0</v>
      </c>
      <c r="U59" s="3181"/>
      <c r="V59" s="3181"/>
      <c r="W59" s="3181"/>
      <c r="X59" s="3181"/>
      <c r="Y59" s="1629">
        <v>0</v>
      </c>
      <c r="Z59" s="27">
        <v>0</v>
      </c>
      <c r="AA59" s="44">
        <v>0</v>
      </c>
      <c r="AB59" s="27">
        <v>0</v>
      </c>
      <c r="AC59" s="191" t="s">
        <v>1209</v>
      </c>
      <c r="AD59" s="75" t="s">
        <v>1329</v>
      </c>
      <c r="AE59" s="713" t="s">
        <v>845</v>
      </c>
      <c r="AF59" s="74" t="s">
        <v>1283</v>
      </c>
      <c r="AG59" s="74" t="s">
        <v>1283</v>
      </c>
      <c r="AH59" s="302">
        <v>9</v>
      </c>
      <c r="AI59" s="1034"/>
      <c r="AJ59" s="2416">
        <v>0</v>
      </c>
      <c r="AK59" s="516">
        <v>4.5474735088646412E-13</v>
      </c>
      <c r="AL59" s="452">
        <v>0</v>
      </c>
      <c r="AM59" s="513">
        <v>0</v>
      </c>
      <c r="AN59" s="1142"/>
      <c r="AO59" s="1142"/>
      <c r="AP59" s="496"/>
      <c r="AQ59" s="662" t="s">
        <v>74</v>
      </c>
      <c r="AR59" s="175">
        <v>4</v>
      </c>
      <c r="AS59" s="175">
        <v>5</v>
      </c>
      <c r="AT59" s="674">
        <v>6</v>
      </c>
      <c r="AU59" s="1943"/>
      <c r="AV59" s="435"/>
      <c r="AW59" s="432"/>
      <c r="AX59" s="432"/>
      <c r="AY59" s="432"/>
      <c r="AZ59" s="191" t="s">
        <v>1209</v>
      </c>
      <c r="BA59" s="191"/>
      <c r="BB59" s="191" t="s">
        <v>1209</v>
      </c>
      <c r="BC59" s="191" t="s">
        <v>1209</v>
      </c>
      <c r="BD59" s="1916" t="s">
        <v>1209</v>
      </c>
      <c r="BE59" s="1917"/>
      <c r="BF59" s="773"/>
      <c r="BG59" s="582"/>
      <c r="BH59" s="755"/>
      <c r="BI59" s="899"/>
      <c r="BJ59" s="925"/>
      <c r="BK59" s="433"/>
      <c r="BL59" s="25">
        <v>0</v>
      </c>
      <c r="BM59" s="1438">
        <v>2992.2815999999998</v>
      </c>
      <c r="BN59" s="2105">
        <v>2992.2816000000003</v>
      </c>
      <c r="BO59" s="2105">
        <v>2992.2816000000003</v>
      </c>
      <c r="BP59" s="2314">
        <v>0</v>
      </c>
      <c r="BQ59" s="1482">
        <v>0</v>
      </c>
      <c r="BR59" s="132">
        <v>2992.2816000000003</v>
      </c>
      <c r="BS59" s="172">
        <v>2992.2815999999998</v>
      </c>
      <c r="BT59" s="54">
        <v>2992.2815999999998</v>
      </c>
      <c r="BU59" s="841"/>
      <c r="BV59" s="1482">
        <v>0</v>
      </c>
      <c r="BW59" s="866">
        <v>0</v>
      </c>
      <c r="BX59" s="1913">
        <v>0</v>
      </c>
      <c r="BY59" s="1918"/>
      <c r="BZ59" s="590"/>
      <c r="CA59" s="590"/>
      <c r="CB59" s="1919"/>
      <c r="CC59" s="1914"/>
      <c r="CD59" s="1915"/>
      <c r="CE59" s="591"/>
      <c r="CG59" s="374">
        <v>0</v>
      </c>
      <c r="CH59" s="375">
        <v>0</v>
      </c>
      <c r="CI59" s="1037">
        <v>0</v>
      </c>
      <c r="CJ59" s="1016">
        <v>2992.2816000000003</v>
      </c>
    </row>
    <row r="60" spans="1:88" s="1013" customFormat="1" ht="31.5" hidden="1" customHeight="1" thickBot="1" x14ac:dyDescent="0.3">
      <c r="A60" s="2431" t="s">
        <v>1976</v>
      </c>
      <c r="B60" s="2435" t="s">
        <v>2306</v>
      </c>
      <c r="C60" s="191">
        <v>2019</v>
      </c>
      <c r="D60" s="75" t="s">
        <v>2506</v>
      </c>
      <c r="E60" s="84" t="s">
        <v>80</v>
      </c>
      <c r="F60" s="76" t="s">
        <v>80</v>
      </c>
      <c r="G60" s="1395" t="s">
        <v>1977</v>
      </c>
      <c r="H60" s="25">
        <v>6775.6708799999997</v>
      </c>
      <c r="I60" s="2533">
        <f t="shared" si="5"/>
        <v>0</v>
      </c>
      <c r="J60" s="2643">
        <f t="shared" si="0"/>
        <v>6775.6708799999997</v>
      </c>
      <c r="K60" s="2643">
        <f t="shared" si="1"/>
        <v>6775.6708799999997</v>
      </c>
      <c r="L60" s="2643">
        <f t="shared" si="2"/>
        <v>0</v>
      </c>
      <c r="M60" s="1438"/>
      <c r="N60" s="542">
        <v>0</v>
      </c>
      <c r="O60" s="1037">
        <v>0</v>
      </c>
      <c r="P60" s="375">
        <v>0</v>
      </c>
      <c r="Q60" s="26">
        <v>0</v>
      </c>
      <c r="R60" s="2343">
        <v>0</v>
      </c>
      <c r="S60" s="1627">
        <v>0</v>
      </c>
      <c r="T60" s="1463">
        <v>0</v>
      </c>
      <c r="U60" s="3181"/>
      <c r="V60" s="3181"/>
      <c r="W60" s="3181"/>
      <c r="X60" s="3181"/>
      <c r="Y60" s="1629">
        <v>0</v>
      </c>
      <c r="Z60" s="27">
        <v>0</v>
      </c>
      <c r="AA60" s="44">
        <v>0</v>
      </c>
      <c r="AB60" s="27">
        <v>0</v>
      </c>
      <c r="AC60" s="191" t="s">
        <v>1209</v>
      </c>
      <c r="AD60" s="75" t="s">
        <v>1329</v>
      </c>
      <c r="AE60" s="713" t="s">
        <v>845</v>
      </c>
      <c r="AF60" s="74" t="s">
        <v>1283</v>
      </c>
      <c r="AG60" s="74" t="s">
        <v>1283</v>
      </c>
      <c r="AH60" s="302">
        <v>12</v>
      </c>
      <c r="AI60" s="1034"/>
      <c r="AJ60" s="2416">
        <v>0</v>
      </c>
      <c r="AK60" s="516">
        <v>0</v>
      </c>
      <c r="AL60" s="452">
        <v>0</v>
      </c>
      <c r="AM60" s="513">
        <v>0</v>
      </c>
      <c r="AN60" s="1142"/>
      <c r="AO60" s="1142"/>
      <c r="AP60" s="496"/>
      <c r="AQ60" s="662" t="s">
        <v>74</v>
      </c>
      <c r="AR60" s="175">
        <v>4</v>
      </c>
      <c r="AS60" s="175">
        <v>5</v>
      </c>
      <c r="AT60" s="674">
        <v>6</v>
      </c>
      <c r="AU60" s="1943"/>
      <c r="AV60" s="435"/>
      <c r="AW60" s="432"/>
      <c r="AX60" s="432"/>
      <c r="AY60" s="432"/>
      <c r="AZ60" s="191" t="s">
        <v>1209</v>
      </c>
      <c r="BA60" s="191"/>
      <c r="BB60" s="191" t="s">
        <v>1209</v>
      </c>
      <c r="BC60" s="191" t="s">
        <v>1209</v>
      </c>
      <c r="BD60" s="1916" t="s">
        <v>1209</v>
      </c>
      <c r="BE60" s="1917"/>
      <c r="BF60" s="773"/>
      <c r="BG60" s="582"/>
      <c r="BH60" s="755"/>
      <c r="BI60" s="899"/>
      <c r="BJ60" s="925"/>
      <c r="BK60" s="433"/>
      <c r="BL60" s="25">
        <v>0</v>
      </c>
      <c r="BM60" s="1438">
        <v>6775.6708799999997</v>
      </c>
      <c r="BN60" s="2105">
        <v>6775.6708799999997</v>
      </c>
      <c r="BO60" s="2105">
        <v>6775.6708799999997</v>
      </c>
      <c r="BP60" s="2314">
        <v>0</v>
      </c>
      <c r="BQ60" s="1482">
        <v>0</v>
      </c>
      <c r="BR60" s="132">
        <v>6775.6708799999997</v>
      </c>
      <c r="BS60" s="172">
        <v>6775.6708799999997</v>
      </c>
      <c r="BT60" s="54">
        <v>6775.6708799999997</v>
      </c>
      <c r="BU60" s="841"/>
      <c r="BV60" s="1482">
        <v>0</v>
      </c>
      <c r="BW60" s="866">
        <v>0</v>
      </c>
      <c r="BX60" s="1913">
        <v>0</v>
      </c>
      <c r="BY60" s="1918"/>
      <c r="BZ60" s="590"/>
      <c r="CA60" s="590"/>
      <c r="CB60" s="1919"/>
      <c r="CC60" s="1914"/>
      <c r="CD60" s="1915"/>
      <c r="CE60" s="591"/>
      <c r="CG60" s="374">
        <v>0</v>
      </c>
      <c r="CH60" s="375">
        <v>0</v>
      </c>
      <c r="CI60" s="1037">
        <v>0</v>
      </c>
      <c r="CJ60" s="1016">
        <v>6775.6708799999997</v>
      </c>
    </row>
    <row r="61" spans="1:88" s="1013" customFormat="1" ht="28.5" hidden="1" customHeight="1" thickBot="1" x14ac:dyDescent="0.3">
      <c r="A61" s="2431" t="s">
        <v>1978</v>
      </c>
      <c r="B61" s="2435" t="s">
        <v>2305</v>
      </c>
      <c r="C61" s="191">
        <v>2019</v>
      </c>
      <c r="D61" s="75" t="s">
        <v>2506</v>
      </c>
      <c r="E61" s="84" t="s">
        <v>80</v>
      </c>
      <c r="F61" s="76" t="s">
        <v>80</v>
      </c>
      <c r="G61" s="1395" t="s">
        <v>1979</v>
      </c>
      <c r="H61" s="25">
        <v>6170.1241799999998</v>
      </c>
      <c r="I61" s="2533">
        <f t="shared" si="5"/>
        <v>0</v>
      </c>
      <c r="J61" s="2643">
        <f t="shared" si="0"/>
        <v>6170.1241799999998</v>
      </c>
      <c r="K61" s="2643">
        <f t="shared" si="1"/>
        <v>6170.1241799999998</v>
      </c>
      <c r="L61" s="2643">
        <f t="shared" si="2"/>
        <v>0</v>
      </c>
      <c r="M61" s="1438"/>
      <c r="N61" s="542">
        <v>0</v>
      </c>
      <c r="O61" s="1037">
        <v>0</v>
      </c>
      <c r="P61" s="375">
        <v>0</v>
      </c>
      <c r="Q61" s="26">
        <v>0</v>
      </c>
      <c r="R61" s="2343">
        <v>0</v>
      </c>
      <c r="S61" s="1627">
        <v>0</v>
      </c>
      <c r="T61" s="1463">
        <v>0</v>
      </c>
      <c r="U61" s="3181"/>
      <c r="V61" s="3181"/>
      <c r="W61" s="3181"/>
      <c r="X61" s="3181"/>
      <c r="Y61" s="1629">
        <v>0</v>
      </c>
      <c r="Z61" s="27">
        <v>0</v>
      </c>
      <c r="AA61" s="44">
        <v>0</v>
      </c>
      <c r="AB61" s="27">
        <v>0</v>
      </c>
      <c r="AC61" s="191" t="s">
        <v>1209</v>
      </c>
      <c r="AD61" s="75" t="s">
        <v>1329</v>
      </c>
      <c r="AE61" s="713" t="s">
        <v>845</v>
      </c>
      <c r="AF61" s="74" t="s">
        <v>1283</v>
      </c>
      <c r="AG61" s="74" t="s">
        <v>1283</v>
      </c>
      <c r="AH61" s="302">
        <v>8</v>
      </c>
      <c r="AI61" s="1034"/>
      <c r="AJ61" s="2416">
        <v>0</v>
      </c>
      <c r="AK61" s="516">
        <v>0</v>
      </c>
      <c r="AL61" s="452">
        <v>0</v>
      </c>
      <c r="AM61" s="513">
        <v>0</v>
      </c>
      <c r="AN61" s="1142"/>
      <c r="AO61" s="1142"/>
      <c r="AP61" s="496"/>
      <c r="AQ61" s="662" t="s">
        <v>74</v>
      </c>
      <c r="AR61" s="175">
        <v>4</v>
      </c>
      <c r="AS61" s="175">
        <v>5</v>
      </c>
      <c r="AT61" s="674">
        <v>6</v>
      </c>
      <c r="AU61" s="1943"/>
      <c r="AV61" s="435"/>
      <c r="AW61" s="432"/>
      <c r="AX61" s="432"/>
      <c r="AY61" s="432"/>
      <c r="AZ61" s="191" t="s">
        <v>1209</v>
      </c>
      <c r="BA61" s="191"/>
      <c r="BB61" s="191" t="s">
        <v>1209</v>
      </c>
      <c r="BC61" s="191" t="s">
        <v>1209</v>
      </c>
      <c r="BD61" s="1916" t="s">
        <v>1209</v>
      </c>
      <c r="BE61" s="1917"/>
      <c r="BF61" s="773"/>
      <c r="BG61" s="582"/>
      <c r="BH61" s="755"/>
      <c r="BI61" s="899"/>
      <c r="BJ61" s="925"/>
      <c r="BK61" s="433"/>
      <c r="BL61" s="25">
        <v>0</v>
      </c>
      <c r="BM61" s="1438">
        <v>6170.1241799999998</v>
      </c>
      <c r="BN61" s="2105">
        <v>6170.1241799999998</v>
      </c>
      <c r="BO61" s="2105">
        <v>6170.1241799999998</v>
      </c>
      <c r="BP61" s="2314">
        <v>0</v>
      </c>
      <c r="BQ61" s="1482">
        <v>0</v>
      </c>
      <c r="BR61" s="132">
        <v>6170.1241799999998</v>
      </c>
      <c r="BS61" s="172">
        <v>6170.1241799999998</v>
      </c>
      <c r="BT61" s="54">
        <v>6170.1241799999998</v>
      </c>
      <c r="BU61" s="841"/>
      <c r="BV61" s="1482">
        <v>0</v>
      </c>
      <c r="BW61" s="866">
        <v>0</v>
      </c>
      <c r="BX61" s="1913">
        <v>0</v>
      </c>
      <c r="BY61" s="1918"/>
      <c r="BZ61" s="590"/>
      <c r="CA61" s="590"/>
      <c r="CB61" s="1919"/>
      <c r="CC61" s="1914"/>
      <c r="CD61" s="1915"/>
      <c r="CE61" s="591"/>
      <c r="CG61" s="374">
        <v>0</v>
      </c>
      <c r="CH61" s="375">
        <v>0</v>
      </c>
      <c r="CI61" s="1037">
        <v>0</v>
      </c>
      <c r="CJ61" s="1016">
        <v>6170.1241799999998</v>
      </c>
    </row>
    <row r="62" spans="1:88" s="1013" customFormat="1" ht="28.5" hidden="1" customHeight="1" thickBot="1" x14ac:dyDescent="0.3">
      <c r="A62" s="2431" t="s">
        <v>1980</v>
      </c>
      <c r="B62" s="2435" t="s">
        <v>2304</v>
      </c>
      <c r="C62" s="191">
        <v>2019</v>
      </c>
      <c r="D62" s="75" t="s">
        <v>2506</v>
      </c>
      <c r="E62" s="84" t="s">
        <v>80</v>
      </c>
      <c r="F62" s="76" t="s">
        <v>80</v>
      </c>
      <c r="G62" s="1395" t="s">
        <v>1981</v>
      </c>
      <c r="H62" s="25">
        <v>3881.1146899999999</v>
      </c>
      <c r="I62" s="2533">
        <f t="shared" si="5"/>
        <v>0</v>
      </c>
      <c r="J62" s="2643">
        <f t="shared" si="0"/>
        <v>3881.1146899999999</v>
      </c>
      <c r="K62" s="2643">
        <f t="shared" si="1"/>
        <v>3881.1146899999999</v>
      </c>
      <c r="L62" s="2643">
        <f t="shared" si="2"/>
        <v>0</v>
      </c>
      <c r="M62" s="1438"/>
      <c r="N62" s="542">
        <v>0</v>
      </c>
      <c r="O62" s="1037">
        <v>0</v>
      </c>
      <c r="P62" s="375">
        <v>0</v>
      </c>
      <c r="Q62" s="26">
        <v>0</v>
      </c>
      <c r="R62" s="2343">
        <v>0</v>
      </c>
      <c r="S62" s="1627">
        <v>0</v>
      </c>
      <c r="T62" s="1463">
        <v>0</v>
      </c>
      <c r="U62" s="3181"/>
      <c r="V62" s="3181"/>
      <c r="W62" s="3181"/>
      <c r="X62" s="3181"/>
      <c r="Y62" s="1629">
        <v>0</v>
      </c>
      <c r="Z62" s="27">
        <v>0</v>
      </c>
      <c r="AA62" s="44">
        <v>0</v>
      </c>
      <c r="AB62" s="27">
        <v>0</v>
      </c>
      <c r="AC62" s="191" t="s">
        <v>1209</v>
      </c>
      <c r="AD62" s="75" t="s">
        <v>1329</v>
      </c>
      <c r="AE62" s="713" t="s">
        <v>845</v>
      </c>
      <c r="AF62" s="74" t="s">
        <v>1283</v>
      </c>
      <c r="AG62" s="74" t="s">
        <v>1283</v>
      </c>
      <c r="AH62" s="302">
        <v>9</v>
      </c>
      <c r="AI62" s="1034"/>
      <c r="AJ62" s="2416">
        <v>0</v>
      </c>
      <c r="AK62" s="516">
        <v>0</v>
      </c>
      <c r="AL62" s="452">
        <v>0</v>
      </c>
      <c r="AM62" s="513">
        <v>0</v>
      </c>
      <c r="AN62" s="1142"/>
      <c r="AO62" s="1142"/>
      <c r="AP62" s="496"/>
      <c r="AQ62" s="662" t="s">
        <v>74</v>
      </c>
      <c r="AR62" s="175">
        <v>4</v>
      </c>
      <c r="AS62" s="175">
        <v>5</v>
      </c>
      <c r="AT62" s="674">
        <v>6</v>
      </c>
      <c r="AU62" s="1943"/>
      <c r="AV62" s="435"/>
      <c r="AW62" s="432"/>
      <c r="AX62" s="432"/>
      <c r="AY62" s="432"/>
      <c r="AZ62" s="191" t="s">
        <v>1209</v>
      </c>
      <c r="BA62" s="191"/>
      <c r="BB62" s="191" t="s">
        <v>1209</v>
      </c>
      <c r="BC62" s="191" t="s">
        <v>1209</v>
      </c>
      <c r="BD62" s="1916" t="s">
        <v>1209</v>
      </c>
      <c r="BE62" s="1917"/>
      <c r="BF62" s="773"/>
      <c r="BG62" s="582"/>
      <c r="BH62" s="755"/>
      <c r="BI62" s="899"/>
      <c r="BJ62" s="925"/>
      <c r="BK62" s="433"/>
      <c r="BL62" s="25">
        <v>0</v>
      </c>
      <c r="BM62" s="1438">
        <v>3881.1146899999999</v>
      </c>
      <c r="BN62" s="2105">
        <v>3881.1146899999999</v>
      </c>
      <c r="BO62" s="2105">
        <v>3881.1146899999999</v>
      </c>
      <c r="BP62" s="2314">
        <v>0</v>
      </c>
      <c r="BQ62" s="1482">
        <v>0</v>
      </c>
      <c r="BR62" s="132">
        <v>3881.1146899999999</v>
      </c>
      <c r="BS62" s="172">
        <v>3881.1146899999999</v>
      </c>
      <c r="BT62" s="54">
        <v>3881.1146899999999</v>
      </c>
      <c r="BU62" s="841"/>
      <c r="BV62" s="1482">
        <v>0</v>
      </c>
      <c r="BW62" s="866">
        <v>0</v>
      </c>
      <c r="BX62" s="1913">
        <v>0</v>
      </c>
      <c r="BY62" s="1918"/>
      <c r="BZ62" s="590"/>
      <c r="CA62" s="590"/>
      <c r="CB62" s="1919"/>
      <c r="CC62" s="1914"/>
      <c r="CD62" s="1915"/>
      <c r="CE62" s="591"/>
      <c r="CG62" s="374">
        <v>0</v>
      </c>
      <c r="CH62" s="375">
        <v>0</v>
      </c>
      <c r="CI62" s="1037">
        <v>0</v>
      </c>
      <c r="CJ62" s="1016">
        <v>3881.1146899999999</v>
      </c>
    </row>
    <row r="63" spans="1:88" s="1013" customFormat="1" ht="28.5" hidden="1" customHeight="1" thickBot="1" x14ac:dyDescent="0.3">
      <c r="A63" s="2431" t="s">
        <v>1982</v>
      </c>
      <c r="B63" s="2432" t="s">
        <v>2301</v>
      </c>
      <c r="C63" s="191">
        <v>2019</v>
      </c>
      <c r="D63" s="75" t="s">
        <v>2506</v>
      </c>
      <c r="E63" s="84" t="s">
        <v>80</v>
      </c>
      <c r="F63" s="76" t="s">
        <v>80</v>
      </c>
      <c r="G63" s="1395" t="s">
        <v>1983</v>
      </c>
      <c r="H63" s="25">
        <v>6751.16608</v>
      </c>
      <c r="I63" s="2533">
        <f t="shared" si="5"/>
        <v>0</v>
      </c>
      <c r="J63" s="2643">
        <f t="shared" si="0"/>
        <v>6751.16608</v>
      </c>
      <c r="K63" s="2643">
        <f t="shared" si="1"/>
        <v>6751.16608</v>
      </c>
      <c r="L63" s="2643">
        <f t="shared" si="2"/>
        <v>0</v>
      </c>
      <c r="M63" s="1438"/>
      <c r="N63" s="542">
        <v>0</v>
      </c>
      <c r="O63" s="1037">
        <v>0</v>
      </c>
      <c r="P63" s="375">
        <v>0</v>
      </c>
      <c r="Q63" s="26">
        <v>0</v>
      </c>
      <c r="R63" s="2343">
        <v>0</v>
      </c>
      <c r="S63" s="1627">
        <v>0</v>
      </c>
      <c r="T63" s="1463">
        <v>0</v>
      </c>
      <c r="U63" s="3181"/>
      <c r="V63" s="3181"/>
      <c r="W63" s="3181"/>
      <c r="X63" s="3181"/>
      <c r="Y63" s="1629">
        <v>0</v>
      </c>
      <c r="Z63" s="27">
        <v>0</v>
      </c>
      <c r="AA63" s="44">
        <v>0</v>
      </c>
      <c r="AB63" s="27">
        <v>0</v>
      </c>
      <c r="AC63" s="191" t="s">
        <v>1209</v>
      </c>
      <c r="AD63" s="75" t="s">
        <v>1329</v>
      </c>
      <c r="AE63" s="713" t="s">
        <v>845</v>
      </c>
      <c r="AF63" s="74" t="s">
        <v>1283</v>
      </c>
      <c r="AG63" s="74" t="s">
        <v>1283</v>
      </c>
      <c r="AH63" s="302">
        <v>9</v>
      </c>
      <c r="AI63" s="1034"/>
      <c r="AJ63" s="2416">
        <v>0</v>
      </c>
      <c r="AK63" s="516">
        <v>0</v>
      </c>
      <c r="AL63" s="452">
        <v>0</v>
      </c>
      <c r="AM63" s="513">
        <v>0</v>
      </c>
      <c r="AN63" s="1142"/>
      <c r="AO63" s="1142"/>
      <c r="AP63" s="496"/>
      <c r="AQ63" s="662" t="s">
        <v>74</v>
      </c>
      <c r="AR63" s="175">
        <v>4</v>
      </c>
      <c r="AS63" s="175">
        <v>5</v>
      </c>
      <c r="AT63" s="674">
        <v>6</v>
      </c>
      <c r="AU63" s="1943"/>
      <c r="AV63" s="435"/>
      <c r="AW63" s="432"/>
      <c r="AX63" s="432"/>
      <c r="AY63" s="432"/>
      <c r="AZ63" s="191" t="s">
        <v>1209</v>
      </c>
      <c r="BA63" s="191"/>
      <c r="BB63" s="191" t="s">
        <v>1209</v>
      </c>
      <c r="BC63" s="191" t="s">
        <v>1209</v>
      </c>
      <c r="BD63" s="1916" t="s">
        <v>1209</v>
      </c>
      <c r="BE63" s="1917"/>
      <c r="BF63" s="773"/>
      <c r="BG63" s="582"/>
      <c r="BH63" s="755"/>
      <c r="BI63" s="899"/>
      <c r="BJ63" s="925"/>
      <c r="BK63" s="433"/>
      <c r="BL63" s="25">
        <v>0</v>
      </c>
      <c r="BM63" s="1438">
        <v>6751.16608</v>
      </c>
      <c r="BN63" s="2105">
        <v>6751.16608</v>
      </c>
      <c r="BO63" s="2105">
        <v>6751.16608</v>
      </c>
      <c r="BP63" s="2314">
        <v>0</v>
      </c>
      <c r="BQ63" s="1482">
        <v>0</v>
      </c>
      <c r="BR63" s="132">
        <v>6751.16608</v>
      </c>
      <c r="BS63" s="172">
        <v>6751.16608</v>
      </c>
      <c r="BT63" s="54">
        <v>6751.16608</v>
      </c>
      <c r="BU63" s="841"/>
      <c r="BV63" s="1482">
        <v>0</v>
      </c>
      <c r="BW63" s="866">
        <v>0</v>
      </c>
      <c r="BX63" s="1913">
        <v>0</v>
      </c>
      <c r="BY63" s="1918"/>
      <c r="BZ63" s="590"/>
      <c r="CA63" s="590"/>
      <c r="CB63" s="1919"/>
      <c r="CC63" s="1914"/>
      <c r="CD63" s="1915"/>
      <c r="CE63" s="591"/>
      <c r="CG63" s="374">
        <v>0</v>
      </c>
      <c r="CH63" s="375">
        <v>0</v>
      </c>
      <c r="CI63" s="1037">
        <v>0</v>
      </c>
      <c r="CJ63" s="1016">
        <v>6751.16608</v>
      </c>
    </row>
    <row r="64" spans="1:88" s="1013" customFormat="1" ht="28.5" hidden="1" customHeight="1" thickBot="1" x14ac:dyDescent="0.3">
      <c r="A64" s="2431" t="s">
        <v>1984</v>
      </c>
      <c r="B64" s="2435" t="s">
        <v>2299</v>
      </c>
      <c r="C64" s="191">
        <v>2019</v>
      </c>
      <c r="D64" s="75" t="s">
        <v>2506</v>
      </c>
      <c r="E64" s="84" t="s">
        <v>80</v>
      </c>
      <c r="F64" s="76" t="s">
        <v>80</v>
      </c>
      <c r="G64" s="1395" t="s">
        <v>1985</v>
      </c>
      <c r="H64" s="25">
        <v>5895.0595000000003</v>
      </c>
      <c r="I64" s="2533">
        <f t="shared" si="5"/>
        <v>0</v>
      </c>
      <c r="J64" s="2643">
        <f t="shared" si="0"/>
        <v>5895.0595000000003</v>
      </c>
      <c r="K64" s="2643">
        <f t="shared" si="1"/>
        <v>5895.0595000000003</v>
      </c>
      <c r="L64" s="2643">
        <f t="shared" si="2"/>
        <v>0</v>
      </c>
      <c r="M64" s="1438"/>
      <c r="N64" s="542">
        <v>0</v>
      </c>
      <c r="O64" s="1037">
        <v>0</v>
      </c>
      <c r="P64" s="375">
        <v>0</v>
      </c>
      <c r="Q64" s="26">
        <v>0</v>
      </c>
      <c r="R64" s="2343">
        <v>73.862030000000004</v>
      </c>
      <c r="S64" s="1627">
        <v>-73.862030000000004</v>
      </c>
      <c r="T64" s="1463">
        <v>0</v>
      </c>
      <c r="U64" s="3181"/>
      <c r="V64" s="3181"/>
      <c r="W64" s="3181"/>
      <c r="X64" s="3181"/>
      <c r="Y64" s="1629">
        <v>0</v>
      </c>
      <c r="Z64" s="27">
        <v>0</v>
      </c>
      <c r="AA64" s="44">
        <v>0</v>
      </c>
      <c r="AB64" s="27">
        <v>0</v>
      </c>
      <c r="AC64" s="191" t="s">
        <v>2371</v>
      </c>
      <c r="AD64" s="75" t="s">
        <v>1329</v>
      </c>
      <c r="AE64" s="713" t="s">
        <v>845</v>
      </c>
      <c r="AF64" s="74" t="s">
        <v>1283</v>
      </c>
      <c r="AG64" s="74" t="s">
        <v>1283</v>
      </c>
      <c r="AH64" s="302">
        <v>3</v>
      </c>
      <c r="AI64" s="1034"/>
      <c r="AJ64" s="2416">
        <v>73.862030000000232</v>
      </c>
      <c r="AK64" s="516">
        <v>0</v>
      </c>
      <c r="AL64" s="452">
        <v>0</v>
      </c>
      <c r="AM64" s="513">
        <v>0</v>
      </c>
      <c r="AN64" s="1142"/>
      <c r="AO64" s="1142"/>
      <c r="AP64" s="496"/>
      <c r="AQ64" s="662" t="s">
        <v>74</v>
      </c>
      <c r="AR64" s="175">
        <v>4</v>
      </c>
      <c r="AS64" s="175">
        <v>5</v>
      </c>
      <c r="AT64" s="674">
        <v>6</v>
      </c>
      <c r="AU64" s="1148"/>
      <c r="AV64" s="435"/>
      <c r="AW64" s="432"/>
      <c r="AX64" s="432"/>
      <c r="AY64" s="432"/>
      <c r="AZ64" s="191" t="s">
        <v>2371</v>
      </c>
      <c r="BA64" s="191"/>
      <c r="BB64" s="191" t="s">
        <v>2371</v>
      </c>
      <c r="BC64" s="191" t="s">
        <v>1209</v>
      </c>
      <c r="BD64" s="1916" t="s">
        <v>1209</v>
      </c>
      <c r="BE64" s="1917"/>
      <c r="BF64" s="773"/>
      <c r="BG64" s="582"/>
      <c r="BH64" s="755"/>
      <c r="BI64" s="899"/>
      <c r="BJ64" s="925"/>
      <c r="BK64" s="433"/>
      <c r="BL64" s="25">
        <v>0</v>
      </c>
      <c r="BM64" s="1438">
        <v>5895.0595000000003</v>
      </c>
      <c r="BN64" s="2105">
        <v>5968.9215300000005</v>
      </c>
      <c r="BO64" s="2105">
        <v>5968.9215300000005</v>
      </c>
      <c r="BP64" s="2314">
        <v>73.862030000000232</v>
      </c>
      <c r="BQ64" s="1482">
        <v>0</v>
      </c>
      <c r="BR64" s="132">
        <v>5968.9215300000005</v>
      </c>
      <c r="BS64" s="172">
        <v>5895.0595000000003</v>
      </c>
      <c r="BT64" s="54">
        <v>5895.0595000000003</v>
      </c>
      <c r="BU64" s="841"/>
      <c r="BV64" s="1482">
        <v>0</v>
      </c>
      <c r="BW64" s="866">
        <v>0</v>
      </c>
      <c r="BX64" s="1913">
        <v>0</v>
      </c>
      <c r="BY64" s="1918"/>
      <c r="BZ64" s="590"/>
      <c r="CA64" s="590"/>
      <c r="CB64" s="1919"/>
      <c r="CC64" s="1914"/>
      <c r="CD64" s="1915"/>
      <c r="CE64" s="591"/>
      <c r="CG64" s="374">
        <v>0</v>
      </c>
      <c r="CH64" s="375">
        <v>0</v>
      </c>
      <c r="CI64" s="1037">
        <v>0</v>
      </c>
      <c r="CJ64" s="1016">
        <v>5968.9215300000005</v>
      </c>
    </row>
    <row r="65" spans="1:98" s="1013" customFormat="1" ht="28.5" customHeight="1" thickBot="1" x14ac:dyDescent="0.3">
      <c r="A65" s="2431" t="s">
        <v>1986</v>
      </c>
      <c r="B65" s="2435" t="s">
        <v>2298</v>
      </c>
      <c r="C65" s="191">
        <v>2019</v>
      </c>
      <c r="D65" s="75" t="s">
        <v>2506</v>
      </c>
      <c r="E65" s="84" t="s">
        <v>80</v>
      </c>
      <c r="F65" s="76" t="s">
        <v>80</v>
      </c>
      <c r="G65" s="1395" t="s">
        <v>1987</v>
      </c>
      <c r="H65" s="25">
        <v>7040.2724699999999</v>
      </c>
      <c r="I65" s="2533">
        <f t="shared" si="5"/>
        <v>0</v>
      </c>
      <c r="J65" s="2643">
        <f t="shared" si="0"/>
        <v>7040.2724699999999</v>
      </c>
      <c r="K65" s="2643">
        <f t="shared" si="1"/>
        <v>7040.2724699999999</v>
      </c>
      <c r="L65" s="2643">
        <f t="shared" si="2"/>
        <v>0</v>
      </c>
      <c r="M65" s="1438"/>
      <c r="N65" s="542">
        <v>0</v>
      </c>
      <c r="O65" s="1037">
        <v>0</v>
      </c>
      <c r="P65" s="375">
        <v>0</v>
      </c>
      <c r="Q65" s="26">
        <v>0</v>
      </c>
      <c r="R65" s="2343">
        <v>123.29295000000002</v>
      </c>
      <c r="S65" s="1627">
        <v>-123.29295000000002</v>
      </c>
      <c r="T65" s="1463">
        <v>0</v>
      </c>
      <c r="U65" s="3181"/>
      <c r="V65" s="3181"/>
      <c r="W65" s="3181"/>
      <c r="X65" s="3181"/>
      <c r="Y65" s="1629">
        <v>0</v>
      </c>
      <c r="Z65" s="27">
        <v>0</v>
      </c>
      <c r="AA65" s="44">
        <v>0</v>
      </c>
      <c r="AB65" s="27">
        <v>0</v>
      </c>
      <c r="AC65" s="191" t="s">
        <v>2372</v>
      </c>
      <c r="AD65" s="75" t="s">
        <v>1329</v>
      </c>
      <c r="AE65" s="713" t="s">
        <v>845</v>
      </c>
      <c r="AF65" s="74" t="s">
        <v>1283</v>
      </c>
      <c r="AG65" s="74" t="s">
        <v>1283</v>
      </c>
      <c r="AH65" s="302">
        <v>5</v>
      </c>
      <c r="AI65" s="1034" t="s">
        <v>2957</v>
      </c>
      <c r="AJ65" s="2416">
        <v>123.29295000000002</v>
      </c>
      <c r="AK65" s="516">
        <v>0</v>
      </c>
      <c r="AL65" s="452">
        <v>0</v>
      </c>
      <c r="AM65" s="513">
        <v>0</v>
      </c>
      <c r="AN65" s="1142"/>
      <c r="AO65" s="1142"/>
      <c r="AP65" s="496"/>
      <c r="AQ65" s="662" t="s">
        <v>74</v>
      </c>
      <c r="AR65" s="175">
        <v>4</v>
      </c>
      <c r="AS65" s="175">
        <v>5</v>
      </c>
      <c r="AT65" s="674">
        <v>6</v>
      </c>
      <c r="AU65" s="1943"/>
      <c r="AV65" s="435"/>
      <c r="AW65" s="432"/>
      <c r="AX65" s="432"/>
      <c r="AY65" s="432"/>
      <c r="AZ65" s="191" t="s">
        <v>2372</v>
      </c>
      <c r="BA65" s="191"/>
      <c r="BB65" s="191" t="s">
        <v>2372</v>
      </c>
      <c r="BC65" s="191" t="s">
        <v>1209</v>
      </c>
      <c r="BD65" s="1916" t="s">
        <v>1209</v>
      </c>
      <c r="BE65" s="1917"/>
      <c r="BF65" s="773"/>
      <c r="BG65" s="582"/>
      <c r="BH65" s="755"/>
      <c r="BI65" s="899"/>
      <c r="BJ65" s="925"/>
      <c r="BK65" s="433"/>
      <c r="BL65" s="25">
        <v>0</v>
      </c>
      <c r="BM65" s="1438">
        <v>7040.2724699999999</v>
      </c>
      <c r="BN65" s="2105">
        <v>7163.5654199999999</v>
      </c>
      <c r="BO65" s="2105">
        <v>7163.5654199999999</v>
      </c>
      <c r="BP65" s="2314">
        <v>123.29295000000002</v>
      </c>
      <c r="BQ65" s="1482">
        <v>0</v>
      </c>
      <c r="BR65" s="132">
        <v>7163.5654199999999</v>
      </c>
      <c r="BS65" s="172">
        <v>7040.2724699999999</v>
      </c>
      <c r="BT65" s="54">
        <v>7040.2724699999999</v>
      </c>
      <c r="BU65" s="841"/>
      <c r="BV65" s="1482">
        <v>0</v>
      </c>
      <c r="BW65" s="866">
        <v>0</v>
      </c>
      <c r="BX65" s="1913">
        <v>0</v>
      </c>
      <c r="BY65" s="1918"/>
      <c r="BZ65" s="590"/>
      <c r="CA65" s="590"/>
      <c r="CB65" s="1919"/>
      <c r="CC65" s="1914"/>
      <c r="CD65" s="1915"/>
      <c r="CE65" s="591"/>
      <c r="CG65" s="374">
        <v>0</v>
      </c>
      <c r="CH65" s="375">
        <v>0</v>
      </c>
      <c r="CI65" s="1037">
        <v>0</v>
      </c>
      <c r="CJ65" s="1016">
        <v>7163.5654199999999</v>
      </c>
    </row>
    <row r="66" spans="1:98" s="1013" customFormat="1" ht="30" hidden="1" customHeight="1" thickBot="1" x14ac:dyDescent="0.3">
      <c r="A66" s="2431" t="s">
        <v>1988</v>
      </c>
      <c r="B66" s="2435" t="s">
        <v>2297</v>
      </c>
      <c r="C66" s="191">
        <v>2019</v>
      </c>
      <c r="D66" s="75" t="s">
        <v>2506</v>
      </c>
      <c r="E66" s="84" t="s">
        <v>80</v>
      </c>
      <c r="F66" s="76" t="s">
        <v>80</v>
      </c>
      <c r="G66" s="1395" t="s">
        <v>1989</v>
      </c>
      <c r="H66" s="25">
        <v>7129.3492800000004</v>
      </c>
      <c r="I66" s="2533">
        <f t="shared" si="5"/>
        <v>0</v>
      </c>
      <c r="J66" s="2643">
        <f t="shared" si="0"/>
        <v>7129.3492800000004</v>
      </c>
      <c r="K66" s="2643">
        <f t="shared" si="1"/>
        <v>7129.3492800000004</v>
      </c>
      <c r="L66" s="2643">
        <f t="shared" si="2"/>
        <v>0</v>
      </c>
      <c r="M66" s="1438"/>
      <c r="N66" s="542">
        <v>0</v>
      </c>
      <c r="O66" s="1037">
        <v>0</v>
      </c>
      <c r="P66" s="375">
        <v>0</v>
      </c>
      <c r="Q66" s="26">
        <v>0</v>
      </c>
      <c r="R66" s="2343">
        <v>112.34341999999924</v>
      </c>
      <c r="S66" s="1627">
        <v>-112.34341999999924</v>
      </c>
      <c r="T66" s="1463">
        <v>0</v>
      </c>
      <c r="U66" s="3181"/>
      <c r="V66" s="3181"/>
      <c r="W66" s="3181"/>
      <c r="X66" s="3181"/>
      <c r="Y66" s="1629">
        <v>0</v>
      </c>
      <c r="Z66" s="27">
        <v>0</v>
      </c>
      <c r="AA66" s="44">
        <v>0</v>
      </c>
      <c r="AB66" s="27">
        <v>0</v>
      </c>
      <c r="AC66" s="191" t="s">
        <v>2373</v>
      </c>
      <c r="AD66" s="75" t="s">
        <v>1329</v>
      </c>
      <c r="AE66" s="713" t="s">
        <v>845</v>
      </c>
      <c r="AF66" s="74" t="s">
        <v>1283</v>
      </c>
      <c r="AG66" s="74" t="s">
        <v>1283</v>
      </c>
      <c r="AH66" s="302">
        <v>5</v>
      </c>
      <c r="AI66" s="1034"/>
      <c r="AJ66" s="2416">
        <v>112.34342000000015</v>
      </c>
      <c r="AK66" s="516">
        <v>0</v>
      </c>
      <c r="AL66" s="452">
        <v>0</v>
      </c>
      <c r="AM66" s="513">
        <v>0</v>
      </c>
      <c r="AN66" s="1142"/>
      <c r="AO66" s="1142"/>
      <c r="AP66" s="496"/>
      <c r="AQ66" s="662" t="s">
        <v>74</v>
      </c>
      <c r="AR66" s="175">
        <v>4</v>
      </c>
      <c r="AS66" s="175">
        <v>5</v>
      </c>
      <c r="AT66" s="674">
        <v>6</v>
      </c>
      <c r="AU66" s="1943"/>
      <c r="AV66" s="435"/>
      <c r="AW66" s="432"/>
      <c r="AX66" s="432"/>
      <c r="AY66" s="432"/>
      <c r="AZ66" s="191" t="s">
        <v>2373</v>
      </c>
      <c r="BA66" s="191"/>
      <c r="BB66" s="191" t="s">
        <v>2373</v>
      </c>
      <c r="BC66" s="191" t="s">
        <v>1209</v>
      </c>
      <c r="BD66" s="1916" t="s">
        <v>1209</v>
      </c>
      <c r="BE66" s="1917"/>
      <c r="BF66" s="773"/>
      <c r="BG66" s="582"/>
      <c r="BH66" s="755"/>
      <c r="BI66" s="899"/>
      <c r="BJ66" s="925"/>
      <c r="BK66" s="433"/>
      <c r="BL66" s="25">
        <v>0</v>
      </c>
      <c r="BM66" s="1438">
        <v>7129.3492800000004</v>
      </c>
      <c r="BN66" s="2105">
        <v>7241.6927000000005</v>
      </c>
      <c r="BO66" s="2105">
        <v>7241.6927000000005</v>
      </c>
      <c r="BP66" s="2314">
        <v>112.34342000000015</v>
      </c>
      <c r="BQ66" s="1482">
        <v>0</v>
      </c>
      <c r="BR66" s="132">
        <v>7241.6927000000005</v>
      </c>
      <c r="BS66" s="172">
        <v>7129.3492800000004</v>
      </c>
      <c r="BT66" s="54">
        <v>7129.3492800000004</v>
      </c>
      <c r="BU66" s="841"/>
      <c r="BV66" s="1482">
        <v>0</v>
      </c>
      <c r="BW66" s="866">
        <v>0</v>
      </c>
      <c r="BX66" s="1913">
        <v>0</v>
      </c>
      <c r="BY66" s="1918"/>
      <c r="BZ66" s="590"/>
      <c r="CA66" s="590"/>
      <c r="CB66" s="1919"/>
      <c r="CC66" s="1914"/>
      <c r="CD66" s="1915"/>
      <c r="CE66" s="591"/>
      <c r="CG66" s="374">
        <v>0</v>
      </c>
      <c r="CH66" s="375">
        <v>0</v>
      </c>
      <c r="CI66" s="1037">
        <v>0</v>
      </c>
      <c r="CJ66" s="1016">
        <v>7241.6927000000005</v>
      </c>
    </row>
    <row r="67" spans="1:98" s="1013" customFormat="1" ht="29.25" hidden="1" customHeight="1" thickBot="1" x14ac:dyDescent="0.3">
      <c r="A67" s="2431" t="s">
        <v>1990</v>
      </c>
      <c r="B67" s="2435" t="s">
        <v>2309</v>
      </c>
      <c r="C67" s="191">
        <v>2019</v>
      </c>
      <c r="D67" s="75" t="s">
        <v>2506</v>
      </c>
      <c r="E67" s="84" t="s">
        <v>80</v>
      </c>
      <c r="F67" s="76" t="s">
        <v>80</v>
      </c>
      <c r="G67" s="1395" t="s">
        <v>1991</v>
      </c>
      <c r="H67" s="25">
        <v>4536.4884400000001</v>
      </c>
      <c r="I67" s="2533">
        <f t="shared" si="5"/>
        <v>0</v>
      </c>
      <c r="J67" s="2643">
        <f t="shared" si="0"/>
        <v>4536.4884400000001</v>
      </c>
      <c r="K67" s="2643">
        <f t="shared" si="1"/>
        <v>4536.4884400000001</v>
      </c>
      <c r="L67" s="2643">
        <f t="shared" si="2"/>
        <v>0</v>
      </c>
      <c r="M67" s="1438"/>
      <c r="N67" s="542">
        <v>0</v>
      </c>
      <c r="O67" s="1037">
        <v>0</v>
      </c>
      <c r="P67" s="375">
        <v>0</v>
      </c>
      <c r="Q67" s="26">
        <v>0</v>
      </c>
      <c r="R67" s="2343">
        <v>101.28909999999996</v>
      </c>
      <c r="S67" s="1627">
        <v>-101.28909999999996</v>
      </c>
      <c r="T67" s="1463">
        <v>0</v>
      </c>
      <c r="U67" s="3181"/>
      <c r="V67" s="3181"/>
      <c r="W67" s="3181"/>
      <c r="X67" s="3181"/>
      <c r="Y67" s="1629">
        <v>0</v>
      </c>
      <c r="Z67" s="27">
        <v>0</v>
      </c>
      <c r="AA67" s="44">
        <v>0</v>
      </c>
      <c r="AB67" s="27">
        <v>0</v>
      </c>
      <c r="AC67" s="191" t="s">
        <v>2374</v>
      </c>
      <c r="AD67" s="75" t="s">
        <v>1329</v>
      </c>
      <c r="AE67" s="713" t="s">
        <v>845</v>
      </c>
      <c r="AF67" s="74" t="s">
        <v>1283</v>
      </c>
      <c r="AG67" s="74" t="s">
        <v>1283</v>
      </c>
      <c r="AH67" s="302">
        <v>7</v>
      </c>
      <c r="AI67" s="1034"/>
      <c r="AJ67" s="2416">
        <v>101.28909999999996</v>
      </c>
      <c r="AK67" s="516">
        <v>0</v>
      </c>
      <c r="AL67" s="452">
        <v>0</v>
      </c>
      <c r="AM67" s="513">
        <v>0</v>
      </c>
      <c r="AN67" s="1142"/>
      <c r="AO67" s="1142"/>
      <c r="AP67" s="496"/>
      <c r="AQ67" s="662" t="s">
        <v>74</v>
      </c>
      <c r="AR67" s="175">
        <v>4</v>
      </c>
      <c r="AS67" s="175">
        <v>5</v>
      </c>
      <c r="AT67" s="674">
        <v>6</v>
      </c>
      <c r="AU67" s="1943"/>
      <c r="AV67" s="435"/>
      <c r="AW67" s="432"/>
      <c r="AX67" s="432"/>
      <c r="AY67" s="432"/>
      <c r="AZ67" s="191" t="s">
        <v>2374</v>
      </c>
      <c r="BA67" s="191"/>
      <c r="BB67" s="191" t="s">
        <v>2374</v>
      </c>
      <c r="BC67" s="191" t="s">
        <v>1209</v>
      </c>
      <c r="BD67" s="1916" t="s">
        <v>1209</v>
      </c>
      <c r="BE67" s="1917"/>
      <c r="BF67" s="773"/>
      <c r="BG67" s="582"/>
      <c r="BH67" s="755"/>
      <c r="BI67" s="899"/>
      <c r="BJ67" s="925"/>
      <c r="BK67" s="433"/>
      <c r="BL67" s="25">
        <v>0</v>
      </c>
      <c r="BM67" s="1438">
        <v>4536.4884400000001</v>
      </c>
      <c r="BN67" s="2105">
        <v>4637.77754</v>
      </c>
      <c r="BO67" s="2105">
        <v>4637.77754</v>
      </c>
      <c r="BP67" s="2314">
        <v>101.28909999999996</v>
      </c>
      <c r="BQ67" s="1482">
        <v>0</v>
      </c>
      <c r="BR67" s="132">
        <v>4637.77754</v>
      </c>
      <c r="BS67" s="172">
        <v>4536.4884400000001</v>
      </c>
      <c r="BT67" s="54">
        <v>4536.4884400000001</v>
      </c>
      <c r="BU67" s="841"/>
      <c r="BV67" s="1482">
        <v>0</v>
      </c>
      <c r="BW67" s="866">
        <v>0</v>
      </c>
      <c r="BX67" s="1913">
        <v>0</v>
      </c>
      <c r="BY67" s="1918"/>
      <c r="BZ67" s="590"/>
      <c r="CA67" s="590"/>
      <c r="CB67" s="1919"/>
      <c r="CC67" s="1914"/>
      <c r="CD67" s="1915"/>
      <c r="CE67" s="591"/>
      <c r="CG67" s="374">
        <v>0</v>
      </c>
      <c r="CH67" s="375">
        <v>0</v>
      </c>
      <c r="CI67" s="1037">
        <v>0</v>
      </c>
      <c r="CJ67" s="1016">
        <v>4637.77754</v>
      </c>
    </row>
    <row r="68" spans="1:98" s="1013" customFormat="1" ht="26.25" hidden="1" thickBot="1" x14ac:dyDescent="0.3">
      <c r="A68" s="2431" t="s">
        <v>1992</v>
      </c>
      <c r="B68" s="2432" t="s">
        <v>2525</v>
      </c>
      <c r="C68" s="191">
        <v>2019</v>
      </c>
      <c r="D68" s="75" t="s">
        <v>2506</v>
      </c>
      <c r="E68" s="76" t="s">
        <v>80</v>
      </c>
      <c r="F68" s="76" t="s">
        <v>80</v>
      </c>
      <c r="G68" s="1754" t="s">
        <v>1993</v>
      </c>
      <c r="H68" s="980">
        <v>6023.3908899999997</v>
      </c>
      <c r="I68" s="980">
        <v>6023.3908899999997</v>
      </c>
      <c r="J68" s="1252">
        <v>0</v>
      </c>
      <c r="K68" s="3104"/>
      <c r="L68" s="3104"/>
      <c r="M68" s="3104"/>
      <c r="N68" s="3031">
        <f>6291.21108-6023.39089-267.82019</f>
        <v>0</v>
      </c>
      <c r="O68" s="3037">
        <v>0</v>
      </c>
      <c r="P68" s="1541">
        <v>0</v>
      </c>
      <c r="Q68" s="1540">
        <v>0</v>
      </c>
      <c r="R68" s="2619">
        <v>267.82019000000037</v>
      </c>
      <c r="S68" s="1795">
        <f>-268+0.17981</f>
        <v>-267.82019000000003</v>
      </c>
      <c r="T68" s="2743">
        <f>R68+S68</f>
        <v>0</v>
      </c>
      <c r="U68" s="2361">
        <v>0</v>
      </c>
      <c r="V68" s="1541">
        <v>0</v>
      </c>
      <c r="W68" s="1541">
        <v>0</v>
      </c>
      <c r="X68" s="1540">
        <v>0</v>
      </c>
      <c r="Y68" s="3069">
        <v>0</v>
      </c>
      <c r="Z68" s="1539">
        <v>0</v>
      </c>
      <c r="AA68" s="1540">
        <v>0</v>
      </c>
      <c r="AB68" s="1585">
        <v>0</v>
      </c>
      <c r="AC68" s="979" t="s">
        <v>2738</v>
      </c>
      <c r="AD68" s="75" t="s">
        <v>1329</v>
      </c>
      <c r="AE68" s="713" t="s">
        <v>1547</v>
      </c>
      <c r="AF68" s="379" t="s">
        <v>1283</v>
      </c>
      <c r="AG68" s="74" t="s">
        <v>1283</v>
      </c>
      <c r="AH68" s="76">
        <v>12</v>
      </c>
      <c r="AI68" s="1034"/>
      <c r="AJ68" s="1035"/>
      <c r="AK68" s="1011">
        <f>H68-I68-T68-Y68-Z68-AA68-AB68</f>
        <v>0</v>
      </c>
      <c r="AL68" s="1084">
        <f>T68-R68-S68</f>
        <v>0</v>
      </c>
      <c r="AM68" s="2991">
        <f>T68-N68-O68-P68-Q68</f>
        <v>0</v>
      </c>
      <c r="AN68" s="513">
        <f>Y68-U68-V68-W68-X68</f>
        <v>0</v>
      </c>
      <c r="AO68" s="2992"/>
      <c r="AP68" s="496"/>
      <c r="AQ68" s="662" t="s">
        <v>74</v>
      </c>
      <c r="AR68" s="175">
        <v>4</v>
      </c>
      <c r="AS68" s="175">
        <v>5</v>
      </c>
      <c r="AT68" s="3170">
        <v>8</v>
      </c>
      <c r="AU68" s="1148"/>
      <c r="AV68" s="435"/>
      <c r="AW68" s="432"/>
      <c r="AX68" s="1405"/>
      <c r="AY68" s="432" t="s">
        <v>1209</v>
      </c>
      <c r="AZ68" s="3061" t="s">
        <v>2526</v>
      </c>
      <c r="BA68" s="3061" t="s">
        <v>2375</v>
      </c>
      <c r="BB68" s="191" t="s">
        <v>1209</v>
      </c>
      <c r="BC68" s="1916" t="s">
        <v>1209</v>
      </c>
      <c r="BD68" s="1917"/>
      <c r="BE68" s="773"/>
      <c r="BF68" s="582"/>
      <c r="BG68" s="755"/>
      <c r="BH68" s="899"/>
      <c r="BI68" s="925"/>
      <c r="BJ68" s="433"/>
      <c r="BK68" s="25">
        <v>0</v>
      </c>
      <c r="BL68" s="1438">
        <v>6023.3908899999997</v>
      </c>
      <c r="BM68" s="1438"/>
      <c r="BN68" s="1734">
        <v>6291.21108</v>
      </c>
      <c r="BO68" s="2314">
        <v>6291.21108</v>
      </c>
      <c r="BP68" s="2994">
        <v>0</v>
      </c>
      <c r="BQ68" s="1667">
        <v>6291.21108</v>
      </c>
      <c r="BR68" s="2118">
        <v>0</v>
      </c>
      <c r="BS68" s="1714">
        <f>BP68+BR68</f>
        <v>0</v>
      </c>
      <c r="BT68" s="3062"/>
      <c r="BU68" s="1482">
        <v>0</v>
      </c>
      <c r="BV68" s="866">
        <v>0</v>
      </c>
      <c r="BW68" s="1913">
        <v>0</v>
      </c>
      <c r="BX68" s="1918"/>
      <c r="BY68" s="590"/>
      <c r="BZ68" s="590"/>
      <c r="CA68" s="1919"/>
      <c r="CB68" s="1914"/>
      <c r="CC68" s="1915"/>
      <c r="CD68" s="591"/>
      <c r="CF68" s="374">
        <v>0</v>
      </c>
      <c r="CG68" s="375">
        <v>0</v>
      </c>
      <c r="CH68" s="1037">
        <v>0</v>
      </c>
      <c r="CI68" s="1016">
        <v>6291.21108</v>
      </c>
      <c r="CJ68" s="1552">
        <v>0</v>
      </c>
      <c r="CK68" s="1552">
        <v>0</v>
      </c>
      <c r="CL68" s="2980">
        <v>0</v>
      </c>
      <c r="CM68" s="990">
        <v>0</v>
      </c>
      <c r="CN68" s="2872">
        <v>0</v>
      </c>
      <c r="CO68" s="2872">
        <v>0</v>
      </c>
      <c r="CP68" s="2872">
        <v>0</v>
      </c>
      <c r="CQ68" s="990">
        <v>0</v>
      </c>
      <c r="CR68" s="3104"/>
      <c r="CS68" s="2980"/>
      <c r="CT68" s="2765"/>
    </row>
    <row r="69" spans="1:98" ht="26.25" hidden="1" thickBot="1" x14ac:dyDescent="0.3">
      <c r="A69" s="2437" t="s">
        <v>1994</v>
      </c>
      <c r="B69" s="2438" t="s">
        <v>2527</v>
      </c>
      <c r="C69" s="189">
        <v>2019</v>
      </c>
      <c r="D69" s="8" t="s">
        <v>2506</v>
      </c>
      <c r="E69" s="73" t="s">
        <v>80</v>
      </c>
      <c r="F69" s="73" t="s">
        <v>80</v>
      </c>
      <c r="G69" s="1754" t="s">
        <v>1995</v>
      </c>
      <c r="H69" s="980">
        <v>4533.2898699999996</v>
      </c>
      <c r="I69" s="980">
        <v>4533.2898699999996</v>
      </c>
      <c r="J69" s="1252">
        <v>0</v>
      </c>
      <c r="K69" s="3104"/>
      <c r="L69" s="3104"/>
      <c r="M69" s="3104"/>
      <c r="N69" s="3038">
        <f>4803.267304-4533.28987-269.977434</f>
        <v>0</v>
      </c>
      <c r="O69" s="3032">
        <v>0</v>
      </c>
      <c r="P69" s="1541">
        <v>0</v>
      </c>
      <c r="Q69" s="1540">
        <v>0</v>
      </c>
      <c r="R69" s="2619">
        <v>269.97743400000036</v>
      </c>
      <c r="S69" s="3039">
        <v>-269.97743400000002</v>
      </c>
      <c r="T69" s="2743">
        <f>R69+S69</f>
        <v>0</v>
      </c>
      <c r="U69" s="2361">
        <v>0</v>
      </c>
      <c r="V69" s="1541">
        <v>0</v>
      </c>
      <c r="W69" s="1541">
        <v>0</v>
      </c>
      <c r="X69" s="1540">
        <v>0</v>
      </c>
      <c r="Y69" s="3069">
        <v>0</v>
      </c>
      <c r="Z69" s="1539">
        <v>0</v>
      </c>
      <c r="AA69" s="1540">
        <v>0</v>
      </c>
      <c r="AB69" s="1585">
        <v>0</v>
      </c>
      <c r="AC69" s="979" t="s">
        <v>2710</v>
      </c>
      <c r="AD69" s="8" t="s">
        <v>1329</v>
      </c>
      <c r="AE69" s="348" t="s">
        <v>1547</v>
      </c>
      <c r="AF69" s="348" t="s">
        <v>1283</v>
      </c>
      <c r="AG69" s="126" t="s">
        <v>1283</v>
      </c>
      <c r="AH69" s="73">
        <v>8</v>
      </c>
      <c r="AI69" s="732"/>
      <c r="AJ69" s="363"/>
      <c r="AK69" s="516">
        <f>H69-I69-T69-Y69-Z69-AA69-AB69</f>
        <v>0</v>
      </c>
      <c r="AL69" s="391">
        <f>T69-R69-S69</f>
        <v>0</v>
      </c>
      <c r="AM69" s="2816">
        <f>T69-N69-O69-P69-Q69</f>
        <v>0</v>
      </c>
      <c r="AN69" s="509">
        <f>Y69-U69-V69-W69-X69</f>
        <v>0</v>
      </c>
      <c r="AO69" s="2807"/>
      <c r="AP69" s="338"/>
      <c r="AQ69" s="923" t="s">
        <v>74</v>
      </c>
      <c r="AR69" s="248">
        <v>4</v>
      </c>
      <c r="AS69" s="248">
        <v>5</v>
      </c>
      <c r="AT69" s="3170">
        <v>8</v>
      </c>
      <c r="AU69" s="1135"/>
      <c r="AV69" s="435"/>
      <c r="AW69" s="81"/>
      <c r="AX69" s="1405"/>
      <c r="AY69" s="81" t="s">
        <v>1209</v>
      </c>
      <c r="AZ69" s="1628" t="s">
        <v>2528</v>
      </c>
      <c r="BA69" s="1628" t="s">
        <v>2376</v>
      </c>
      <c r="BB69" s="189" t="s">
        <v>1209</v>
      </c>
      <c r="BC69" s="1236" t="s">
        <v>1209</v>
      </c>
      <c r="BD69" s="1223"/>
      <c r="BE69" s="765"/>
      <c r="BF69" s="582"/>
      <c r="BG69" s="390"/>
      <c r="BH69" s="926"/>
      <c r="BI69" s="925"/>
      <c r="BJ69" s="2"/>
      <c r="BK69" s="20">
        <v>0</v>
      </c>
      <c r="BL69" s="364">
        <v>4533.2898699999996</v>
      </c>
      <c r="BM69" s="364"/>
      <c r="BN69" s="1577">
        <v>4803.267304</v>
      </c>
      <c r="BO69" s="2313">
        <v>4803.267304</v>
      </c>
      <c r="BP69" s="1579">
        <v>0</v>
      </c>
      <c r="BQ69" s="1666">
        <v>4803.267304</v>
      </c>
      <c r="BR69" s="1581">
        <v>0</v>
      </c>
      <c r="BS69" s="54">
        <f>BP69+BR69</f>
        <v>0</v>
      </c>
      <c r="BT69" s="1613"/>
      <c r="BU69" s="1443">
        <v>0</v>
      </c>
      <c r="BV69" s="264">
        <v>0</v>
      </c>
      <c r="BW69" s="973">
        <v>0</v>
      </c>
      <c r="BX69" s="974"/>
      <c r="BY69" s="9"/>
      <c r="BZ69" s="9"/>
      <c r="CA69" s="1224"/>
      <c r="CB69" s="1102"/>
      <c r="CC69" s="821"/>
      <c r="CD69" s="318"/>
      <c r="CF69" s="253">
        <v>0</v>
      </c>
      <c r="CG69" s="365">
        <v>0</v>
      </c>
      <c r="CH69" s="266">
        <v>0</v>
      </c>
      <c r="CI69" s="369">
        <v>4803.267304</v>
      </c>
      <c r="CJ69" s="321">
        <v>0</v>
      </c>
      <c r="CK69" s="321">
        <v>0</v>
      </c>
      <c r="CL69" s="1209">
        <v>0</v>
      </c>
      <c r="CM69" s="990">
        <v>0</v>
      </c>
      <c r="CN69" s="2872">
        <v>0</v>
      </c>
      <c r="CO69" s="2872">
        <v>0</v>
      </c>
      <c r="CP69" s="2872">
        <v>0</v>
      </c>
      <c r="CQ69" s="990">
        <v>0</v>
      </c>
      <c r="CR69" s="3104"/>
      <c r="CS69" s="1209"/>
      <c r="CT69" s="2764"/>
    </row>
    <row r="70" spans="1:98" ht="30.75" hidden="1" thickBot="1" x14ac:dyDescent="0.3">
      <c r="A70" s="2437" t="s">
        <v>1996</v>
      </c>
      <c r="B70" s="2438" t="s">
        <v>2529</v>
      </c>
      <c r="C70" s="189">
        <v>2019</v>
      </c>
      <c r="D70" s="8" t="s">
        <v>2506</v>
      </c>
      <c r="E70" s="73" t="s">
        <v>80</v>
      </c>
      <c r="F70" s="73" t="s">
        <v>80</v>
      </c>
      <c r="G70" s="1754" t="s">
        <v>1997</v>
      </c>
      <c r="H70" s="980">
        <v>3411.8975</v>
      </c>
      <c r="I70" s="980">
        <v>3411.8975</v>
      </c>
      <c r="J70" s="1252">
        <v>0</v>
      </c>
      <c r="K70" s="3104"/>
      <c r="L70" s="3104"/>
      <c r="M70" s="3104"/>
      <c r="N70" s="3038">
        <f>3603.42235-3411.8975-191.52485</f>
        <v>0</v>
      </c>
      <c r="O70" s="3032">
        <v>0</v>
      </c>
      <c r="P70" s="1541">
        <v>0</v>
      </c>
      <c r="Q70" s="1540">
        <v>0</v>
      </c>
      <c r="R70" s="2619">
        <v>191.52484999999979</v>
      </c>
      <c r="S70" s="3039">
        <v>-191.52484999999999</v>
      </c>
      <c r="T70" s="2743">
        <f>R70+S70</f>
        <v>0</v>
      </c>
      <c r="U70" s="2361">
        <v>0</v>
      </c>
      <c r="V70" s="1541">
        <v>0</v>
      </c>
      <c r="W70" s="1541">
        <v>0</v>
      </c>
      <c r="X70" s="1540">
        <v>0</v>
      </c>
      <c r="Y70" s="3069">
        <v>0</v>
      </c>
      <c r="Z70" s="1539">
        <v>0</v>
      </c>
      <c r="AA70" s="1540">
        <v>0</v>
      </c>
      <c r="AB70" s="1585">
        <v>0</v>
      </c>
      <c r="AC70" s="979" t="s">
        <v>2711</v>
      </c>
      <c r="AD70" s="8" t="s">
        <v>1329</v>
      </c>
      <c r="AE70" s="348" t="s">
        <v>1547</v>
      </c>
      <c r="AF70" s="348" t="s">
        <v>1283</v>
      </c>
      <c r="AG70" s="126" t="s">
        <v>1283</v>
      </c>
      <c r="AH70" s="73" t="s">
        <v>2594</v>
      </c>
      <c r="AI70" s="732"/>
      <c r="AJ70" s="363"/>
      <c r="AK70" s="516">
        <f>H70-I70-T70-Y70-Z70-AA70-AB70</f>
        <v>0</v>
      </c>
      <c r="AL70" s="391">
        <f>T70-R70-S70</f>
        <v>0</v>
      </c>
      <c r="AM70" s="2816">
        <f>T70-N70-O70-P70-Q70</f>
        <v>0</v>
      </c>
      <c r="AN70" s="509">
        <f>Y70-U70-V70-W70-X70</f>
        <v>0</v>
      </c>
      <c r="AO70" s="2807"/>
      <c r="AP70" s="338"/>
      <c r="AQ70" s="923" t="s">
        <v>74</v>
      </c>
      <c r="AR70" s="248">
        <v>4</v>
      </c>
      <c r="AS70" s="248">
        <v>5</v>
      </c>
      <c r="AT70" s="3170">
        <v>8</v>
      </c>
      <c r="AU70" s="1135"/>
      <c r="AV70" s="435"/>
      <c r="AW70" s="81"/>
      <c r="AX70" s="1405"/>
      <c r="AY70" s="81" t="s">
        <v>1209</v>
      </c>
      <c r="AZ70" s="1628" t="s">
        <v>2530</v>
      </c>
      <c r="BA70" s="1628" t="s">
        <v>2377</v>
      </c>
      <c r="BB70" s="189" t="s">
        <v>1209</v>
      </c>
      <c r="BC70" s="1236" t="s">
        <v>1209</v>
      </c>
      <c r="BD70" s="1223"/>
      <c r="BE70" s="765"/>
      <c r="BF70" s="582"/>
      <c r="BG70" s="390"/>
      <c r="BH70" s="926"/>
      <c r="BI70" s="925"/>
      <c r="BJ70" s="2"/>
      <c r="BK70" s="20">
        <v>0</v>
      </c>
      <c r="BL70" s="364">
        <v>3411.8975</v>
      </c>
      <c r="BM70" s="364"/>
      <c r="BN70" s="1577">
        <v>3603.4223500000003</v>
      </c>
      <c r="BO70" s="2313">
        <v>3603.4223500000003</v>
      </c>
      <c r="BP70" s="1579">
        <v>0</v>
      </c>
      <c r="BQ70" s="1666">
        <v>3603.4223500000003</v>
      </c>
      <c r="BR70" s="1581">
        <v>0</v>
      </c>
      <c r="BS70" s="54">
        <f>BP70+BR70</f>
        <v>0</v>
      </c>
      <c r="BT70" s="1613"/>
      <c r="BU70" s="1443">
        <v>0</v>
      </c>
      <c r="BV70" s="264">
        <v>0</v>
      </c>
      <c r="BW70" s="973">
        <v>0</v>
      </c>
      <c r="BX70" s="974"/>
      <c r="BY70" s="9"/>
      <c r="BZ70" s="9"/>
      <c r="CA70" s="1224"/>
      <c r="CB70" s="1102"/>
      <c r="CC70" s="821"/>
      <c r="CD70" s="318"/>
      <c r="CF70" s="253">
        <v>0</v>
      </c>
      <c r="CG70" s="365">
        <v>0</v>
      </c>
      <c r="CH70" s="266">
        <v>0</v>
      </c>
      <c r="CI70" s="369">
        <v>3603.4223500000003</v>
      </c>
      <c r="CJ70" s="321">
        <v>0</v>
      </c>
      <c r="CK70" s="321">
        <v>0</v>
      </c>
      <c r="CL70" s="1209">
        <v>0</v>
      </c>
      <c r="CM70" s="990">
        <v>0</v>
      </c>
      <c r="CN70" s="2872">
        <v>0</v>
      </c>
      <c r="CO70" s="2872">
        <v>0</v>
      </c>
      <c r="CP70" s="2872">
        <v>0</v>
      </c>
      <c r="CQ70" s="990">
        <v>0</v>
      </c>
      <c r="CR70" s="3104"/>
      <c r="CS70" s="1209"/>
      <c r="CT70" s="2764"/>
    </row>
    <row r="71" spans="1:98" s="985" customFormat="1" ht="33.75" hidden="1" customHeight="1" thickBot="1" x14ac:dyDescent="0.3">
      <c r="A71" s="2429" t="s">
        <v>1998</v>
      </c>
      <c r="B71" s="2436" t="s">
        <v>2296</v>
      </c>
      <c r="C71" s="1570">
        <v>2019</v>
      </c>
      <c r="D71" s="979" t="s">
        <v>2506</v>
      </c>
      <c r="E71" s="1591" t="s">
        <v>80</v>
      </c>
      <c r="F71" s="1536" t="s">
        <v>80</v>
      </c>
      <c r="G71" s="1631" t="s">
        <v>1999</v>
      </c>
      <c r="H71" s="980">
        <v>7015.7129999999997</v>
      </c>
      <c r="I71" s="2533">
        <f t="shared" si="5"/>
        <v>0</v>
      </c>
      <c r="J71" s="2643">
        <f t="shared" si="0"/>
        <v>7015.7129999999997</v>
      </c>
      <c r="K71" s="2643">
        <f t="shared" si="1"/>
        <v>7015.7129999999997</v>
      </c>
      <c r="L71" s="2643">
        <f t="shared" si="2"/>
        <v>0</v>
      </c>
      <c r="M71" s="1759"/>
      <c r="N71" s="2361">
        <v>0</v>
      </c>
      <c r="O71" s="1548">
        <v>0</v>
      </c>
      <c r="P71" s="1541">
        <v>0</v>
      </c>
      <c r="Q71" s="1542">
        <v>0</v>
      </c>
      <c r="R71" s="2344">
        <v>167.9965000000002</v>
      </c>
      <c r="S71" s="1636">
        <v>-167.9965000000002</v>
      </c>
      <c r="T71" s="1545">
        <v>0</v>
      </c>
      <c r="U71" s="3182"/>
      <c r="V71" s="3182"/>
      <c r="W71" s="3182"/>
      <c r="X71" s="3182"/>
      <c r="Y71" s="1637">
        <v>0</v>
      </c>
      <c r="Z71" s="1539">
        <v>0</v>
      </c>
      <c r="AA71" s="1540">
        <v>0</v>
      </c>
      <c r="AB71" s="1539">
        <v>0</v>
      </c>
      <c r="AC71" s="1570" t="s">
        <v>2378</v>
      </c>
      <c r="AD71" s="979" t="s">
        <v>1329</v>
      </c>
      <c r="AE71" s="1638" t="s">
        <v>845</v>
      </c>
      <c r="AF71" s="1589" t="s">
        <v>1283</v>
      </c>
      <c r="AG71" s="1589" t="s">
        <v>1283</v>
      </c>
      <c r="AH71" s="2096">
        <v>12</v>
      </c>
      <c r="AI71" s="2166"/>
      <c r="AJ71" s="2416">
        <v>167.9965000000002</v>
      </c>
      <c r="AK71" s="516">
        <v>0</v>
      </c>
      <c r="AL71" s="1320">
        <v>0</v>
      </c>
      <c r="AM71" s="512">
        <v>0</v>
      </c>
      <c r="AN71" s="1171"/>
      <c r="AO71" s="1171"/>
      <c r="AP71" s="1177"/>
      <c r="AQ71" s="674" t="s">
        <v>74</v>
      </c>
      <c r="AR71" s="367">
        <v>4</v>
      </c>
      <c r="AS71" s="367">
        <v>5</v>
      </c>
      <c r="AT71" s="674">
        <v>6</v>
      </c>
      <c r="AU71" s="1178"/>
      <c r="AV71" s="455"/>
      <c r="AW71" s="1405"/>
      <c r="AX71" s="1405"/>
      <c r="AY71" s="1405"/>
      <c r="AZ71" s="1570" t="s">
        <v>2378</v>
      </c>
      <c r="BA71" s="1570"/>
      <c r="BB71" s="1570" t="s">
        <v>2378</v>
      </c>
      <c r="BC71" s="1570" t="s">
        <v>1209</v>
      </c>
      <c r="BD71" s="2167" t="s">
        <v>1209</v>
      </c>
      <c r="BE71" s="2059"/>
      <c r="BF71" s="981"/>
      <c r="BG71" s="2168"/>
      <c r="BH71" s="403"/>
      <c r="BI71" s="2169"/>
      <c r="BJ71" s="2170"/>
      <c r="BK71" s="454"/>
      <c r="BL71" s="980">
        <v>0</v>
      </c>
      <c r="BM71" s="1759">
        <v>7015.7129999999997</v>
      </c>
      <c r="BN71" s="2112">
        <v>7183.7094999999999</v>
      </c>
      <c r="BO71" s="2112">
        <v>7183.7094999999999</v>
      </c>
      <c r="BP71" s="2315">
        <v>167.9965000000002</v>
      </c>
      <c r="BQ71" s="1538">
        <v>0</v>
      </c>
      <c r="BR71" s="1661">
        <v>7183.7094999999999</v>
      </c>
      <c r="BS71" s="2127">
        <v>7015.7129999999997</v>
      </c>
      <c r="BT71" s="2412">
        <v>7015.7129999999997</v>
      </c>
      <c r="BU71" s="1607"/>
      <c r="BV71" s="1538">
        <v>0</v>
      </c>
      <c r="BW71" s="1376">
        <v>0</v>
      </c>
      <c r="BX71" s="2071">
        <v>0</v>
      </c>
      <c r="BY71" s="2171"/>
      <c r="BZ71" s="2100"/>
      <c r="CA71" s="2100"/>
      <c r="CB71" s="2172"/>
      <c r="CC71" s="2173"/>
      <c r="CD71" s="2101"/>
      <c r="CE71" s="2174"/>
      <c r="CG71" s="1253">
        <v>0</v>
      </c>
      <c r="CH71" s="1541">
        <v>0</v>
      </c>
      <c r="CI71" s="1548">
        <v>0</v>
      </c>
      <c r="CJ71" s="2072">
        <v>7183.7094999999999</v>
      </c>
    </row>
    <row r="72" spans="1:98" s="1013" customFormat="1" ht="33.75" hidden="1" customHeight="1" thickBot="1" x14ac:dyDescent="0.3">
      <c r="A72" s="2431" t="s">
        <v>2000</v>
      </c>
      <c r="B72" s="2435" t="s">
        <v>2308</v>
      </c>
      <c r="C72" s="191">
        <v>2019</v>
      </c>
      <c r="D72" s="75" t="s">
        <v>2506</v>
      </c>
      <c r="E72" s="84" t="s">
        <v>80</v>
      </c>
      <c r="F72" s="76" t="s">
        <v>80</v>
      </c>
      <c r="G72" s="1395" t="s">
        <v>2001</v>
      </c>
      <c r="H72" s="25">
        <v>5269.7946500000007</v>
      </c>
      <c r="I72" s="2533">
        <f t="shared" si="5"/>
        <v>0</v>
      </c>
      <c r="J72" s="2643">
        <f t="shared" si="0"/>
        <v>5269.7946499999998</v>
      </c>
      <c r="K72" s="2643">
        <f t="shared" si="1"/>
        <v>5269.7946499999998</v>
      </c>
      <c r="L72" s="2643">
        <f t="shared" si="2"/>
        <v>0</v>
      </c>
      <c r="M72" s="1438"/>
      <c r="N72" s="542">
        <v>0</v>
      </c>
      <c r="O72" s="1037">
        <v>0</v>
      </c>
      <c r="P72" s="375">
        <v>0</v>
      </c>
      <c r="Q72" s="26">
        <v>0</v>
      </c>
      <c r="R72" s="2343">
        <v>0</v>
      </c>
      <c r="S72" s="1627">
        <v>0</v>
      </c>
      <c r="T72" s="1463">
        <v>0</v>
      </c>
      <c r="U72" s="3181"/>
      <c r="V72" s="3181"/>
      <c r="W72" s="3181"/>
      <c r="X72" s="3181"/>
      <c r="Y72" s="1629">
        <v>0</v>
      </c>
      <c r="Z72" s="27">
        <v>0</v>
      </c>
      <c r="AA72" s="44">
        <v>0</v>
      </c>
      <c r="AB72" s="27">
        <v>0</v>
      </c>
      <c r="AC72" s="191" t="s">
        <v>1209</v>
      </c>
      <c r="AD72" s="75" t="s">
        <v>1329</v>
      </c>
      <c r="AE72" s="713" t="s">
        <v>845</v>
      </c>
      <c r="AF72" s="74" t="s">
        <v>1283</v>
      </c>
      <c r="AG72" s="74" t="s">
        <v>1283</v>
      </c>
      <c r="AH72" s="302">
        <v>7</v>
      </c>
      <c r="AI72" s="1034"/>
      <c r="AJ72" s="2416">
        <v>0</v>
      </c>
      <c r="AK72" s="516">
        <v>9.0949470177292824E-13</v>
      </c>
      <c r="AL72" s="452">
        <v>0</v>
      </c>
      <c r="AM72" s="513">
        <v>0</v>
      </c>
      <c r="AN72" s="1142"/>
      <c r="AO72" s="1142"/>
      <c r="AP72" s="496"/>
      <c r="AQ72" s="662" t="s">
        <v>74</v>
      </c>
      <c r="AR72" s="175">
        <v>4</v>
      </c>
      <c r="AS72" s="175">
        <v>5</v>
      </c>
      <c r="AT72" s="674">
        <v>6</v>
      </c>
      <c r="AU72" s="1943"/>
      <c r="AV72" s="435"/>
      <c r="AW72" s="432"/>
      <c r="AX72" s="432"/>
      <c r="AY72" s="432"/>
      <c r="AZ72" s="191" t="s">
        <v>1209</v>
      </c>
      <c r="BA72" s="191"/>
      <c r="BB72" s="191" t="s">
        <v>1209</v>
      </c>
      <c r="BC72" s="191" t="s">
        <v>1209</v>
      </c>
      <c r="BD72" s="1916" t="s">
        <v>1209</v>
      </c>
      <c r="BE72" s="1917"/>
      <c r="BF72" s="773"/>
      <c r="BG72" s="582"/>
      <c r="BH72" s="755"/>
      <c r="BI72" s="899"/>
      <c r="BJ72" s="925"/>
      <c r="BK72" s="433"/>
      <c r="BL72" s="25">
        <v>0</v>
      </c>
      <c r="BM72" s="1438">
        <v>5269.7946499999998</v>
      </c>
      <c r="BN72" s="2105">
        <v>5269.7946500000007</v>
      </c>
      <c r="BO72" s="2105">
        <v>5269.7946500000007</v>
      </c>
      <c r="BP72" s="2314">
        <v>0</v>
      </c>
      <c r="BQ72" s="1482">
        <v>0</v>
      </c>
      <c r="BR72" s="132">
        <v>5269.7946500000007</v>
      </c>
      <c r="BS72" s="172">
        <v>5269.7946499999998</v>
      </c>
      <c r="BT72" s="54">
        <v>5269.7946499999998</v>
      </c>
      <c r="BU72" s="841"/>
      <c r="BV72" s="1482">
        <v>0</v>
      </c>
      <c r="BW72" s="866">
        <v>0</v>
      </c>
      <c r="BX72" s="1913">
        <v>0</v>
      </c>
      <c r="BY72" s="1918"/>
      <c r="BZ72" s="590"/>
      <c r="CA72" s="590"/>
      <c r="CB72" s="1919"/>
      <c r="CC72" s="1914"/>
      <c r="CD72" s="1915"/>
      <c r="CE72" s="591"/>
      <c r="CG72" s="374">
        <v>0</v>
      </c>
      <c r="CH72" s="375">
        <v>0</v>
      </c>
      <c r="CI72" s="1037">
        <v>0</v>
      </c>
      <c r="CJ72" s="1016">
        <v>5269.7946500000007</v>
      </c>
    </row>
    <row r="73" spans="1:98" s="1013" customFormat="1" ht="33.75" hidden="1" customHeight="1" thickBot="1" x14ac:dyDescent="0.3">
      <c r="A73" s="2431" t="s">
        <v>2002</v>
      </c>
      <c r="B73" s="2435" t="s">
        <v>2295</v>
      </c>
      <c r="C73" s="191">
        <v>2019</v>
      </c>
      <c r="D73" s="75" t="s">
        <v>2506</v>
      </c>
      <c r="E73" s="84" t="s">
        <v>80</v>
      </c>
      <c r="F73" s="76" t="s">
        <v>80</v>
      </c>
      <c r="G73" s="1395" t="s">
        <v>2003</v>
      </c>
      <c r="H73" s="25">
        <v>7785.7456300000003</v>
      </c>
      <c r="I73" s="2533">
        <f t="shared" si="5"/>
        <v>0</v>
      </c>
      <c r="J73" s="2643">
        <f t="shared" si="0"/>
        <v>7785.7456300000003</v>
      </c>
      <c r="K73" s="2643">
        <f t="shared" si="1"/>
        <v>7785.7456300000003</v>
      </c>
      <c r="L73" s="2643">
        <f t="shared" si="2"/>
        <v>0</v>
      </c>
      <c r="M73" s="1438"/>
      <c r="N73" s="542">
        <v>0</v>
      </c>
      <c r="O73" s="1037">
        <v>0</v>
      </c>
      <c r="P73" s="375">
        <v>0</v>
      </c>
      <c r="Q73" s="26">
        <v>0</v>
      </c>
      <c r="R73" s="2343">
        <v>544.80501599999934</v>
      </c>
      <c r="S73" s="1627">
        <v>-544.80501599999934</v>
      </c>
      <c r="T73" s="1463">
        <v>0</v>
      </c>
      <c r="U73" s="3181"/>
      <c r="V73" s="3181"/>
      <c r="W73" s="3181"/>
      <c r="X73" s="3181"/>
      <c r="Y73" s="1629">
        <v>0</v>
      </c>
      <c r="Z73" s="27">
        <v>0</v>
      </c>
      <c r="AA73" s="44">
        <v>0</v>
      </c>
      <c r="AB73" s="27">
        <v>0</v>
      </c>
      <c r="AC73" s="191" t="s">
        <v>2379</v>
      </c>
      <c r="AD73" s="75" t="s">
        <v>1329</v>
      </c>
      <c r="AE73" s="713" t="s">
        <v>845</v>
      </c>
      <c r="AF73" s="74" t="s">
        <v>1283</v>
      </c>
      <c r="AG73" s="74" t="s">
        <v>1283</v>
      </c>
      <c r="AH73" s="302">
        <v>9</v>
      </c>
      <c r="AI73" s="1034"/>
      <c r="AJ73" s="2416">
        <v>544.80501599999934</v>
      </c>
      <c r="AK73" s="516">
        <v>0</v>
      </c>
      <c r="AL73" s="452">
        <v>0</v>
      </c>
      <c r="AM73" s="513">
        <v>0</v>
      </c>
      <c r="AN73" s="1142"/>
      <c r="AO73" s="1142"/>
      <c r="AP73" s="496"/>
      <c r="AQ73" s="662" t="s">
        <v>74</v>
      </c>
      <c r="AR73" s="175">
        <v>4</v>
      </c>
      <c r="AS73" s="175">
        <v>5</v>
      </c>
      <c r="AT73" s="674">
        <v>6</v>
      </c>
      <c r="AU73" s="1943"/>
      <c r="AV73" s="435"/>
      <c r="AW73" s="432"/>
      <c r="AX73" s="432"/>
      <c r="AY73" s="432"/>
      <c r="AZ73" s="191" t="s">
        <v>2379</v>
      </c>
      <c r="BA73" s="191"/>
      <c r="BB73" s="191" t="s">
        <v>2379</v>
      </c>
      <c r="BC73" s="191" t="s">
        <v>1209</v>
      </c>
      <c r="BD73" s="1916" t="s">
        <v>1209</v>
      </c>
      <c r="BE73" s="1917"/>
      <c r="BF73" s="773"/>
      <c r="BG73" s="582"/>
      <c r="BH73" s="755"/>
      <c r="BI73" s="899"/>
      <c r="BJ73" s="925"/>
      <c r="BK73" s="433"/>
      <c r="BL73" s="25">
        <v>0</v>
      </c>
      <c r="BM73" s="1438">
        <v>7785.7456300000003</v>
      </c>
      <c r="BN73" s="2105">
        <v>8330.5506459999997</v>
      </c>
      <c r="BO73" s="2105">
        <v>8330.5506459999997</v>
      </c>
      <c r="BP73" s="2314">
        <v>544.80501599999934</v>
      </c>
      <c r="BQ73" s="1482">
        <v>0</v>
      </c>
      <c r="BR73" s="132">
        <v>8330.5506459999997</v>
      </c>
      <c r="BS73" s="172">
        <v>7785.7456300000003</v>
      </c>
      <c r="BT73" s="54">
        <v>7785.7456300000003</v>
      </c>
      <c r="BU73" s="841"/>
      <c r="BV73" s="1482">
        <v>0</v>
      </c>
      <c r="BW73" s="866">
        <v>0</v>
      </c>
      <c r="BX73" s="1913">
        <v>0</v>
      </c>
      <c r="BY73" s="1918"/>
      <c r="BZ73" s="590"/>
      <c r="CA73" s="590"/>
      <c r="CB73" s="1919"/>
      <c r="CC73" s="1914"/>
      <c r="CD73" s="1915"/>
      <c r="CE73" s="591"/>
      <c r="CG73" s="374">
        <v>0</v>
      </c>
      <c r="CH73" s="375">
        <v>0</v>
      </c>
      <c r="CI73" s="1037">
        <v>0</v>
      </c>
      <c r="CJ73" s="1016">
        <v>8330.5506459999997</v>
      </c>
    </row>
    <row r="74" spans="1:98" s="921" customFormat="1" ht="33.75" hidden="1" customHeight="1" thickBot="1" x14ac:dyDescent="0.3">
      <c r="A74" s="2694" t="s">
        <v>2005</v>
      </c>
      <c r="B74" s="2718" t="s">
        <v>2531</v>
      </c>
      <c r="C74" s="2719">
        <v>2019</v>
      </c>
      <c r="D74" s="917" t="s">
        <v>2506</v>
      </c>
      <c r="E74" s="2720" t="s">
        <v>80</v>
      </c>
      <c r="F74" s="2634" t="s">
        <v>80</v>
      </c>
      <c r="G74" s="2721" t="s">
        <v>2006</v>
      </c>
      <c r="H74" s="2646">
        <v>915.06547</v>
      </c>
      <c r="I74" s="2700">
        <f t="shared" si="5"/>
        <v>0</v>
      </c>
      <c r="J74" s="2648">
        <f t="shared" si="0"/>
        <v>915.06547</v>
      </c>
      <c r="K74" s="2648">
        <f t="shared" si="1"/>
        <v>915.06547</v>
      </c>
      <c r="L74" s="2648">
        <f t="shared" si="2"/>
        <v>0</v>
      </c>
      <c r="M74" s="2701"/>
      <c r="N74" s="2647">
        <v>0</v>
      </c>
      <c r="O74" s="2722">
        <v>0</v>
      </c>
      <c r="P74" s="2723">
        <v>0</v>
      </c>
      <c r="Q74" s="2724">
        <v>0</v>
      </c>
      <c r="R74" s="2725">
        <v>0</v>
      </c>
      <c r="S74" s="2726">
        <v>0</v>
      </c>
      <c r="T74" s="2725">
        <v>0</v>
      </c>
      <c r="U74" s="2727"/>
      <c r="V74" s="2727"/>
      <c r="W74" s="2727"/>
      <c r="X74" s="2727"/>
      <c r="Y74" s="2727">
        <v>0</v>
      </c>
      <c r="Z74" s="2728">
        <v>0</v>
      </c>
      <c r="AA74" s="1844">
        <v>0</v>
      </c>
      <c r="AB74" s="2728">
        <v>0</v>
      </c>
      <c r="AC74" s="2719" t="s">
        <v>1209</v>
      </c>
      <c r="AD74" s="933" t="s">
        <v>2606</v>
      </c>
      <c r="AE74" s="2730" t="s">
        <v>355</v>
      </c>
      <c r="AF74" s="126" t="s">
        <v>1283</v>
      </c>
      <c r="AG74" s="126" t="s">
        <v>1283</v>
      </c>
      <c r="AH74" s="98">
        <v>7</v>
      </c>
      <c r="AI74" s="732"/>
      <c r="AJ74" s="2416">
        <v>0</v>
      </c>
      <c r="AK74" s="516">
        <v>0</v>
      </c>
      <c r="AL74" s="351">
        <v>0</v>
      </c>
      <c r="AM74" s="509">
        <v>0</v>
      </c>
      <c r="AN74" s="1140"/>
      <c r="AO74" s="1140"/>
      <c r="AP74" s="338"/>
      <c r="AQ74" s="923" t="s">
        <v>74</v>
      </c>
      <c r="AR74" s="248">
        <v>4</v>
      </c>
      <c r="AS74" s="248">
        <v>5</v>
      </c>
      <c r="AT74" s="674">
        <v>6</v>
      </c>
      <c r="AU74" s="1296"/>
      <c r="AV74" s="148"/>
      <c r="AW74" s="81"/>
      <c r="AX74" s="81"/>
      <c r="AY74" s="81"/>
      <c r="AZ74" s="191" t="s">
        <v>1209</v>
      </c>
      <c r="BA74" s="191"/>
      <c r="BB74" s="1628" t="s">
        <v>2497</v>
      </c>
      <c r="BC74" s="189" t="s">
        <v>1209</v>
      </c>
      <c r="BD74" s="1236" t="s">
        <v>1209</v>
      </c>
      <c r="BE74" s="1223"/>
      <c r="BF74" s="765"/>
      <c r="BG74" s="1428"/>
      <c r="BH74" s="390"/>
      <c r="BI74" s="926"/>
      <c r="BJ74" s="2121"/>
      <c r="BK74" s="2"/>
      <c r="BL74" s="25">
        <v>0</v>
      </c>
      <c r="BM74" s="1438">
        <v>915.06547</v>
      </c>
      <c r="BN74" s="2105">
        <v>915.06547</v>
      </c>
      <c r="BO74" s="1577">
        <v>915.06547</v>
      </c>
      <c r="BP74" s="2313">
        <v>915.06547</v>
      </c>
      <c r="BQ74" s="1579">
        <v>0</v>
      </c>
      <c r="BR74" s="1666">
        <v>0</v>
      </c>
      <c r="BS74" s="1581">
        <v>0</v>
      </c>
      <c r="BT74" s="54">
        <v>0</v>
      </c>
      <c r="BU74" s="840"/>
      <c r="BV74" s="1443">
        <v>0</v>
      </c>
      <c r="BW74" s="264">
        <v>0</v>
      </c>
      <c r="BX74" s="973">
        <v>0</v>
      </c>
      <c r="BY74" s="974"/>
      <c r="BZ74" s="9"/>
      <c r="CA74" s="9"/>
      <c r="CB74" s="1224"/>
      <c r="CC74" s="1102"/>
      <c r="CD74" s="821"/>
      <c r="CE74" s="318"/>
      <c r="CG74" s="253">
        <v>0</v>
      </c>
      <c r="CH74" s="365">
        <v>0</v>
      </c>
      <c r="CI74" s="266">
        <v>0</v>
      </c>
      <c r="CJ74" s="369">
        <v>915.06547</v>
      </c>
    </row>
    <row r="75" spans="1:98" ht="45.75" hidden="1" customHeight="1" thickBot="1" x14ac:dyDescent="0.3">
      <c r="A75" s="2694" t="s">
        <v>2007</v>
      </c>
      <c r="B75" s="2718" t="s">
        <v>2312</v>
      </c>
      <c r="C75" s="2719">
        <v>2019</v>
      </c>
      <c r="D75" s="917" t="s">
        <v>2506</v>
      </c>
      <c r="E75" s="2720" t="s">
        <v>80</v>
      </c>
      <c r="F75" s="2634" t="s">
        <v>80</v>
      </c>
      <c r="G75" s="2721" t="s">
        <v>2167</v>
      </c>
      <c r="H75" s="2646">
        <v>5852.6400400000002</v>
      </c>
      <c r="I75" s="2700">
        <f t="shared" si="5"/>
        <v>0</v>
      </c>
      <c r="J75" s="2648">
        <f t="shared" si="0"/>
        <v>5852.6400400000002</v>
      </c>
      <c r="K75" s="2648">
        <f t="shared" si="1"/>
        <v>5852.6400400000002</v>
      </c>
      <c r="L75" s="2648">
        <f t="shared" si="2"/>
        <v>0</v>
      </c>
      <c r="M75" s="2701"/>
      <c r="N75" s="2647">
        <v>0</v>
      </c>
      <c r="O75" s="2722">
        <v>0</v>
      </c>
      <c r="P75" s="2723">
        <v>0</v>
      </c>
      <c r="Q75" s="2724">
        <v>0</v>
      </c>
      <c r="R75" s="2725">
        <v>600.18183999999974</v>
      </c>
      <c r="S75" s="2727">
        <v>-600.18183999999974</v>
      </c>
      <c r="T75" s="2705">
        <v>0</v>
      </c>
      <c r="U75" s="3183"/>
      <c r="V75" s="3183"/>
      <c r="W75" s="3183"/>
      <c r="X75" s="3183"/>
      <c r="Y75" s="2727">
        <v>0</v>
      </c>
      <c r="Z75" s="2728">
        <v>0</v>
      </c>
      <c r="AA75" s="1844">
        <v>0</v>
      </c>
      <c r="AB75" s="2728">
        <v>0</v>
      </c>
      <c r="AC75" s="2719" t="s">
        <v>1209</v>
      </c>
      <c r="AD75" s="933" t="s">
        <v>2606</v>
      </c>
      <c r="AE75" s="2730" t="s">
        <v>355</v>
      </c>
      <c r="AF75" s="126" t="s">
        <v>1283</v>
      </c>
      <c r="AG75" s="126" t="s">
        <v>1283</v>
      </c>
      <c r="AH75" s="98">
        <v>5</v>
      </c>
      <c r="AI75" s="732"/>
      <c r="AJ75" s="2416">
        <v>0</v>
      </c>
      <c r="AK75" s="516">
        <v>0</v>
      </c>
      <c r="AL75" s="351">
        <v>0</v>
      </c>
      <c r="AM75" s="509">
        <v>0</v>
      </c>
      <c r="AN75" s="1140"/>
      <c r="AO75" s="1140"/>
      <c r="AP75" s="338"/>
      <c r="AQ75" s="923" t="s">
        <v>74</v>
      </c>
      <c r="AR75" s="248">
        <v>4</v>
      </c>
      <c r="AS75" s="248">
        <v>5</v>
      </c>
      <c r="AT75" s="923">
        <v>6</v>
      </c>
      <c r="AU75" s="1135"/>
      <c r="AV75" s="435"/>
      <c r="AW75" s="81"/>
      <c r="AX75" s="81"/>
      <c r="AY75" s="81"/>
      <c r="AZ75" s="191" t="s">
        <v>1209</v>
      </c>
      <c r="BA75" s="191"/>
      <c r="BB75" s="1628" t="s">
        <v>2380</v>
      </c>
      <c r="BC75" s="189" t="s">
        <v>1209</v>
      </c>
      <c r="BD75" s="1236" t="s">
        <v>1209</v>
      </c>
      <c r="BE75" s="1223"/>
      <c r="BF75" s="765"/>
      <c r="BG75" s="582"/>
      <c r="BH75" s="390"/>
      <c r="BI75" s="926"/>
      <c r="BJ75" s="925"/>
      <c r="BK75" s="2"/>
      <c r="BL75" s="25">
        <v>0</v>
      </c>
      <c r="BM75" s="1438">
        <v>5852.6400400000002</v>
      </c>
      <c r="BN75" s="2105">
        <v>5852.6400400000002</v>
      </c>
      <c r="BO75" s="1577">
        <v>5852.6400400000002</v>
      </c>
      <c r="BP75" s="2313">
        <v>1569.8704299999999</v>
      </c>
      <c r="BQ75" s="1579">
        <v>0</v>
      </c>
      <c r="BR75" s="1666">
        <v>5852.6400400000002</v>
      </c>
      <c r="BS75" s="1581">
        <v>4282.7696100000003</v>
      </c>
      <c r="BT75" s="54">
        <v>4282.7696100000003</v>
      </c>
      <c r="BU75" s="1613"/>
      <c r="BV75" s="1443">
        <v>0</v>
      </c>
      <c r="BW75" s="264">
        <v>0</v>
      </c>
      <c r="BX75" s="973">
        <v>0</v>
      </c>
      <c r="BY75" s="974"/>
      <c r="BZ75" s="9"/>
      <c r="CA75" s="9"/>
      <c r="CB75" s="1224"/>
      <c r="CC75" s="1102"/>
      <c r="CD75" s="821"/>
      <c r="CE75" s="318"/>
      <c r="CG75" s="253">
        <v>0</v>
      </c>
      <c r="CH75" s="365">
        <v>0</v>
      </c>
      <c r="CI75" s="266">
        <v>0</v>
      </c>
      <c r="CJ75" s="369">
        <v>5852.6400400000002</v>
      </c>
    </row>
    <row r="76" spans="1:98" ht="30" hidden="1" customHeight="1" thickBot="1" x14ac:dyDescent="0.3">
      <c r="A76" s="2431" t="s">
        <v>2010</v>
      </c>
      <c r="B76" s="2432" t="s">
        <v>2303</v>
      </c>
      <c r="C76" s="191">
        <v>2019</v>
      </c>
      <c r="D76" s="75" t="s">
        <v>2506</v>
      </c>
      <c r="E76" s="76" t="s">
        <v>80</v>
      </c>
      <c r="F76" s="76" t="s">
        <v>80</v>
      </c>
      <c r="G76" s="1395" t="s">
        <v>2011</v>
      </c>
      <c r="H76" s="25">
        <v>2959.1473000000001</v>
      </c>
      <c r="I76" s="25">
        <v>2959.1472999999996</v>
      </c>
      <c r="J76" s="823"/>
      <c r="K76" s="822">
        <v>0</v>
      </c>
      <c r="L76" s="2772">
        <v>0</v>
      </c>
      <c r="M76" s="2781"/>
      <c r="N76" s="374">
        <v>0</v>
      </c>
      <c r="O76" s="1037">
        <v>0</v>
      </c>
      <c r="P76" s="375">
        <v>0</v>
      </c>
      <c r="Q76" s="26">
        <v>0</v>
      </c>
      <c r="R76" s="2734">
        <v>-0.14723</v>
      </c>
      <c r="S76" s="2735">
        <v>0.14723</v>
      </c>
      <c r="T76" s="2618">
        <f>R76+S76</f>
        <v>0</v>
      </c>
      <c r="U76" s="2734"/>
      <c r="V76" s="2734"/>
      <c r="W76" s="2734"/>
      <c r="X76" s="2734"/>
      <c r="Y76" s="1629">
        <v>0</v>
      </c>
      <c r="Z76" s="27">
        <v>0</v>
      </c>
      <c r="AA76" s="44">
        <v>0</v>
      </c>
      <c r="AB76" s="27">
        <v>0</v>
      </c>
      <c r="AC76" s="432" t="s">
        <v>1209</v>
      </c>
      <c r="AD76" s="75" t="s">
        <v>1329</v>
      </c>
      <c r="AE76" s="713" t="s">
        <v>1318</v>
      </c>
      <c r="AF76" s="74" t="s">
        <v>1283</v>
      </c>
      <c r="AG76" s="379" t="s">
        <v>1283</v>
      </c>
      <c r="AH76" s="76">
        <v>12</v>
      </c>
      <c r="AI76" s="732"/>
      <c r="AJ76" s="363"/>
      <c r="AK76" s="516">
        <f>H76-I76-T76-Y76-Z76-AA76-AB76</f>
        <v>4.5474735088646412E-13</v>
      </c>
      <c r="AL76" s="391">
        <f>T76-R76-S76</f>
        <v>0</v>
      </c>
      <c r="AM76" s="509">
        <f>T76-N76-O76-P76-Q76</f>
        <v>0</v>
      </c>
      <c r="AN76" s="1140"/>
      <c r="AO76" s="1140"/>
      <c r="AP76" s="338"/>
      <c r="AQ76" s="923" t="s">
        <v>74</v>
      </c>
      <c r="AR76" s="248">
        <v>4</v>
      </c>
      <c r="AS76" s="248">
        <v>5</v>
      </c>
      <c r="AT76" s="2737">
        <v>7</v>
      </c>
      <c r="AU76" s="1135"/>
      <c r="AV76" s="435"/>
      <c r="AW76" s="81"/>
      <c r="AX76" s="81"/>
      <c r="AY76" s="432" t="s">
        <v>1209</v>
      </c>
      <c r="AZ76" s="189" t="s">
        <v>1209</v>
      </c>
      <c r="BA76" s="189"/>
      <c r="BB76" s="1628" t="s">
        <v>2381</v>
      </c>
      <c r="BC76" s="189" t="s">
        <v>1209</v>
      </c>
      <c r="BD76" s="1236" t="s">
        <v>1209</v>
      </c>
      <c r="BE76" s="1223"/>
      <c r="BF76" s="765"/>
      <c r="BG76" s="582"/>
      <c r="BH76" s="390"/>
      <c r="BI76" s="926"/>
      <c r="BJ76" s="925"/>
      <c r="BK76" s="2"/>
      <c r="BL76" s="20">
        <v>0</v>
      </c>
      <c r="BM76" s="364">
        <f>2105.81155+853.33575</f>
        <v>2959.1472999999996</v>
      </c>
      <c r="BN76" s="364"/>
      <c r="BO76" s="1577">
        <v>2959</v>
      </c>
      <c r="BP76" s="2313">
        <v>853.1884500000001</v>
      </c>
      <c r="BQ76" s="1579">
        <v>0</v>
      </c>
      <c r="BR76" s="1666">
        <v>1972</v>
      </c>
      <c r="BS76" s="1581">
        <v>2105.8115499999999</v>
      </c>
      <c r="BT76" s="54">
        <f>BQ76+BS76</f>
        <v>2105.8115499999999</v>
      </c>
      <c r="BU76" s="840"/>
      <c r="BV76" s="1443">
        <v>0</v>
      </c>
      <c r="BW76" s="264">
        <v>0</v>
      </c>
      <c r="BX76" s="973">
        <v>0</v>
      </c>
      <c r="BY76" s="974"/>
      <c r="BZ76" s="9"/>
      <c r="CA76" s="9"/>
      <c r="CB76" s="1224"/>
      <c r="CC76" s="1102"/>
      <c r="CD76" s="821"/>
      <c r="CE76" s="318"/>
      <c r="CG76" s="253">
        <v>0</v>
      </c>
      <c r="CH76" s="365">
        <v>0</v>
      </c>
      <c r="CI76" s="266">
        <v>0</v>
      </c>
      <c r="CJ76" s="369">
        <v>2959</v>
      </c>
      <c r="CK76" s="1552">
        <v>0</v>
      </c>
      <c r="CL76" s="1552">
        <v>0</v>
      </c>
      <c r="CM76" s="1209">
        <v>0</v>
      </c>
      <c r="CN76" s="1209"/>
      <c r="CO76" s="2765"/>
    </row>
    <row r="77" spans="1:98" s="985" customFormat="1" ht="30.75" hidden="1" thickBot="1" x14ac:dyDescent="0.3">
      <c r="A77" s="2429" t="s">
        <v>2012</v>
      </c>
      <c r="B77" s="2430" t="s">
        <v>2321</v>
      </c>
      <c r="C77" s="1570">
        <v>2019</v>
      </c>
      <c r="D77" s="979" t="s">
        <v>2506</v>
      </c>
      <c r="E77" s="1591" t="s">
        <v>80</v>
      </c>
      <c r="F77" s="1536" t="s">
        <v>80</v>
      </c>
      <c r="G77" s="1631" t="s">
        <v>2013</v>
      </c>
      <c r="H77" s="980">
        <v>6795.7059900000004</v>
      </c>
      <c r="I77" s="2533">
        <f t="shared" si="5"/>
        <v>0</v>
      </c>
      <c r="J77" s="2643">
        <f t="shared" si="0"/>
        <v>6795.7059900000004</v>
      </c>
      <c r="K77" s="2643">
        <f t="shared" si="1"/>
        <v>6795.7059900000004</v>
      </c>
      <c r="L77" s="2643">
        <f t="shared" si="2"/>
        <v>0</v>
      </c>
      <c r="M77" s="1759"/>
      <c r="N77" s="2361">
        <v>0</v>
      </c>
      <c r="O77" s="1548">
        <v>0</v>
      </c>
      <c r="P77" s="1541">
        <v>0</v>
      </c>
      <c r="Q77" s="1542">
        <v>0</v>
      </c>
      <c r="R77" s="2344">
        <v>40.294009999999616</v>
      </c>
      <c r="S77" s="1636">
        <v>-40.29401</v>
      </c>
      <c r="T77" s="1545">
        <v>0</v>
      </c>
      <c r="U77" s="3182"/>
      <c r="V77" s="3182"/>
      <c r="W77" s="3182"/>
      <c r="X77" s="3182"/>
      <c r="Y77" s="1637">
        <v>0</v>
      </c>
      <c r="Z77" s="1539">
        <v>0</v>
      </c>
      <c r="AA77" s="1540">
        <v>0</v>
      </c>
      <c r="AB77" s="1539">
        <v>0</v>
      </c>
      <c r="AC77" s="1570" t="s">
        <v>2382</v>
      </c>
      <c r="AD77" s="979" t="s">
        <v>1329</v>
      </c>
      <c r="AE77" s="1638" t="s">
        <v>37</v>
      </c>
      <c r="AF77" s="1589" t="s">
        <v>1283</v>
      </c>
      <c r="AG77" s="1589" t="s">
        <v>1283</v>
      </c>
      <c r="AH77" s="2096">
        <v>2</v>
      </c>
      <c r="AI77" s="2166"/>
      <c r="AJ77" s="2416">
        <v>40.294009999999616</v>
      </c>
      <c r="AK77" s="516">
        <v>0</v>
      </c>
      <c r="AL77" s="1320">
        <v>3.836930773104541E-13</v>
      </c>
      <c r="AM77" s="512">
        <v>0</v>
      </c>
      <c r="AN77" s="1171"/>
      <c r="AO77" s="1171"/>
      <c r="AP77" s="1177"/>
      <c r="AQ77" s="674" t="s">
        <v>74</v>
      </c>
      <c r="AR77" s="367">
        <v>4</v>
      </c>
      <c r="AS77" s="367">
        <v>5</v>
      </c>
      <c r="AT77" s="674">
        <v>6</v>
      </c>
      <c r="AU77" s="1178"/>
      <c r="AV77" s="455"/>
      <c r="AW77" s="1405"/>
      <c r="AX77" s="1405"/>
      <c r="AY77" s="1405"/>
      <c r="AZ77" s="1570" t="s">
        <v>2382</v>
      </c>
      <c r="BA77" s="1570"/>
      <c r="BB77" s="1570" t="s">
        <v>2382</v>
      </c>
      <c r="BC77" s="1570" t="s">
        <v>1209</v>
      </c>
      <c r="BD77" s="2167" t="s">
        <v>1209</v>
      </c>
      <c r="BE77" s="2059"/>
      <c r="BF77" s="981"/>
      <c r="BG77" s="2168"/>
      <c r="BH77" s="403"/>
      <c r="BI77" s="2169"/>
      <c r="BJ77" s="2170"/>
      <c r="BK77" s="454"/>
      <c r="BL77" s="980">
        <v>0</v>
      </c>
      <c r="BM77" s="1759">
        <v>6795.7059900000004</v>
      </c>
      <c r="BN77" s="2112">
        <v>6836</v>
      </c>
      <c r="BO77" s="2112">
        <v>6836</v>
      </c>
      <c r="BP77" s="2315">
        <v>40.294009999999616</v>
      </c>
      <c r="BQ77" s="1538">
        <v>0</v>
      </c>
      <c r="BR77" s="1661">
        <v>6796</v>
      </c>
      <c r="BS77" s="2127">
        <v>6795.7059900000004</v>
      </c>
      <c r="BT77" s="54">
        <v>6795.7059900000004</v>
      </c>
      <c r="BU77" s="1607"/>
      <c r="BV77" s="1538">
        <v>0</v>
      </c>
      <c r="BW77" s="1376">
        <v>0</v>
      </c>
      <c r="BX77" s="2071">
        <v>0</v>
      </c>
      <c r="BY77" s="2171"/>
      <c r="BZ77" s="2100"/>
      <c r="CA77" s="2100"/>
      <c r="CB77" s="2172"/>
      <c r="CC77" s="2173"/>
      <c r="CD77" s="2101"/>
      <c r="CE77" s="2174"/>
      <c r="CG77" s="1253">
        <v>0</v>
      </c>
      <c r="CH77" s="1541">
        <v>0</v>
      </c>
      <c r="CI77" s="1548">
        <v>0</v>
      </c>
      <c r="CJ77" s="2072">
        <v>6836</v>
      </c>
    </row>
    <row r="78" spans="1:98" s="1782" customFormat="1" ht="29.25" hidden="1" customHeight="1" thickBot="1" x14ac:dyDescent="0.3">
      <c r="A78" s="2431" t="s">
        <v>2014</v>
      </c>
      <c r="B78" s="2432" t="s">
        <v>2311</v>
      </c>
      <c r="C78" s="191">
        <v>2019</v>
      </c>
      <c r="D78" s="75" t="s">
        <v>2506</v>
      </c>
      <c r="E78" s="84" t="s">
        <v>80</v>
      </c>
      <c r="F78" s="76" t="s">
        <v>80</v>
      </c>
      <c r="G78" s="1395" t="s">
        <v>2015</v>
      </c>
      <c r="H78" s="25">
        <v>1971.6344999999999</v>
      </c>
      <c r="I78" s="2533">
        <f t="shared" si="5"/>
        <v>0</v>
      </c>
      <c r="J78" s="2643">
        <f t="shared" si="0"/>
        <v>1971.6344999999999</v>
      </c>
      <c r="K78" s="2643">
        <f t="shared" si="1"/>
        <v>1971.6344999999999</v>
      </c>
      <c r="L78" s="2643">
        <f t="shared" si="2"/>
        <v>0</v>
      </c>
      <c r="M78" s="1438"/>
      <c r="N78" s="542">
        <v>0</v>
      </c>
      <c r="O78" s="1037">
        <v>0</v>
      </c>
      <c r="P78" s="375">
        <v>0</v>
      </c>
      <c r="Q78" s="26">
        <v>0</v>
      </c>
      <c r="R78" s="2343">
        <v>0</v>
      </c>
      <c r="S78" s="1627">
        <v>0</v>
      </c>
      <c r="T78" s="1463">
        <v>0</v>
      </c>
      <c r="U78" s="3181"/>
      <c r="V78" s="3181"/>
      <c r="W78" s="3181"/>
      <c r="X78" s="3181"/>
      <c r="Y78" s="1629">
        <v>0</v>
      </c>
      <c r="Z78" s="27">
        <v>0</v>
      </c>
      <c r="AA78" s="44">
        <v>0</v>
      </c>
      <c r="AB78" s="27">
        <v>0</v>
      </c>
      <c r="AC78" s="191" t="s">
        <v>1209</v>
      </c>
      <c r="AD78" s="75" t="s">
        <v>1329</v>
      </c>
      <c r="AE78" s="713" t="s">
        <v>845</v>
      </c>
      <c r="AF78" s="74" t="s">
        <v>1283</v>
      </c>
      <c r="AG78" s="74" t="s">
        <v>1283</v>
      </c>
      <c r="AH78" s="302">
        <v>12</v>
      </c>
      <c r="AI78" s="1034"/>
      <c r="AJ78" s="2418">
        <v>-0.63449999999988904</v>
      </c>
      <c r="AK78" s="516">
        <v>0</v>
      </c>
      <c r="AL78" s="452">
        <v>0</v>
      </c>
      <c r="AM78" s="513">
        <v>0</v>
      </c>
      <c r="AN78" s="1142"/>
      <c r="AO78" s="1142"/>
      <c r="AP78" s="496"/>
      <c r="AQ78" s="662" t="s">
        <v>74</v>
      </c>
      <c r="AR78" s="175">
        <v>4</v>
      </c>
      <c r="AS78" s="175">
        <v>5</v>
      </c>
      <c r="AT78" s="662">
        <v>6</v>
      </c>
      <c r="AU78" s="1148"/>
      <c r="AV78" s="435"/>
      <c r="AW78" s="432"/>
      <c r="AX78" s="432"/>
      <c r="AY78" s="432"/>
      <c r="AZ78" s="191" t="s">
        <v>1209</v>
      </c>
      <c r="BA78" s="191"/>
      <c r="BB78" s="191" t="s">
        <v>1209</v>
      </c>
      <c r="BC78" s="191" t="s">
        <v>1209</v>
      </c>
      <c r="BD78" s="1916" t="s">
        <v>1209</v>
      </c>
      <c r="BE78" s="1917"/>
      <c r="BF78" s="773"/>
      <c r="BG78" s="582"/>
      <c r="BH78" s="755"/>
      <c r="BI78" s="899"/>
      <c r="BJ78" s="925"/>
      <c r="BK78" s="433"/>
      <c r="BL78" s="25">
        <v>0</v>
      </c>
      <c r="BM78" s="1438">
        <v>1971.6344999999999</v>
      </c>
      <c r="BN78" s="2105">
        <v>1971</v>
      </c>
      <c r="BO78" s="2105">
        <v>1971</v>
      </c>
      <c r="BP78" s="2314">
        <v>-0.63449999999988904</v>
      </c>
      <c r="BQ78" s="1482">
        <v>0</v>
      </c>
      <c r="BR78" s="132">
        <v>1972</v>
      </c>
      <c r="BS78" s="172">
        <v>1971.6344999999999</v>
      </c>
      <c r="BT78" s="54">
        <v>1971.6344999999999</v>
      </c>
      <c r="BU78" s="841"/>
      <c r="BV78" s="1482">
        <v>0</v>
      </c>
      <c r="BW78" s="866">
        <v>0</v>
      </c>
      <c r="BX78" s="1913">
        <v>0</v>
      </c>
      <c r="BY78" s="1918"/>
      <c r="BZ78" s="590"/>
      <c r="CA78" s="590"/>
      <c r="CB78" s="1919"/>
      <c r="CC78" s="1914"/>
      <c r="CD78" s="1915"/>
      <c r="CE78" s="591"/>
      <c r="CG78" s="374">
        <v>0</v>
      </c>
      <c r="CH78" s="375">
        <v>0</v>
      </c>
      <c r="CI78" s="1037">
        <v>0</v>
      </c>
      <c r="CJ78" s="1016">
        <v>1971</v>
      </c>
    </row>
    <row r="79" spans="1:98" s="985" customFormat="1" ht="26.25" hidden="1" thickBot="1" x14ac:dyDescent="0.3">
      <c r="A79" s="2429" t="s">
        <v>2016</v>
      </c>
      <c r="B79" s="2430" t="s">
        <v>2313</v>
      </c>
      <c r="C79" s="1570">
        <v>2019</v>
      </c>
      <c r="D79" s="979" t="s">
        <v>2506</v>
      </c>
      <c r="E79" s="1591" t="s">
        <v>80</v>
      </c>
      <c r="F79" s="1536" t="s">
        <v>80</v>
      </c>
      <c r="G79" s="1600" t="s">
        <v>2017</v>
      </c>
      <c r="H79" s="980">
        <v>3323.6473599999999</v>
      </c>
      <c r="I79" s="2533">
        <f t="shared" si="5"/>
        <v>0</v>
      </c>
      <c r="J79" s="2643">
        <f t="shared" si="0"/>
        <v>3323.6473599999999</v>
      </c>
      <c r="K79" s="2643">
        <f t="shared" si="1"/>
        <v>3323.6473599999999</v>
      </c>
      <c r="L79" s="2643">
        <f t="shared" si="2"/>
        <v>0</v>
      </c>
      <c r="M79" s="1759"/>
      <c r="N79" s="2361">
        <v>0</v>
      </c>
      <c r="O79" s="1548">
        <v>0</v>
      </c>
      <c r="P79" s="1541">
        <v>0</v>
      </c>
      <c r="Q79" s="1542">
        <v>0</v>
      </c>
      <c r="R79" s="2344">
        <v>93.899629999999888</v>
      </c>
      <c r="S79" s="1636">
        <v>-93.899629999999888</v>
      </c>
      <c r="T79" s="1545">
        <v>0</v>
      </c>
      <c r="U79" s="3182"/>
      <c r="V79" s="3182"/>
      <c r="W79" s="3182"/>
      <c r="X79" s="3182"/>
      <c r="Y79" s="1637">
        <v>0</v>
      </c>
      <c r="Z79" s="1539">
        <v>0</v>
      </c>
      <c r="AA79" s="1540">
        <v>0</v>
      </c>
      <c r="AB79" s="1539">
        <v>0</v>
      </c>
      <c r="AC79" s="1570" t="s">
        <v>2383</v>
      </c>
      <c r="AD79" s="979" t="s">
        <v>1329</v>
      </c>
      <c r="AE79" s="1638" t="s">
        <v>845</v>
      </c>
      <c r="AF79" s="1589" t="s">
        <v>1283</v>
      </c>
      <c r="AG79" s="1589" t="s">
        <v>1283</v>
      </c>
      <c r="AH79" s="2096">
        <v>6</v>
      </c>
      <c r="AI79" s="2166"/>
      <c r="AJ79" s="2416">
        <v>93.899630000000343</v>
      </c>
      <c r="AK79" s="516">
        <v>0</v>
      </c>
      <c r="AL79" s="1320">
        <v>0</v>
      </c>
      <c r="AM79" s="512">
        <v>0</v>
      </c>
      <c r="AN79" s="1171"/>
      <c r="AO79" s="1171"/>
      <c r="AP79" s="1177"/>
      <c r="AQ79" s="674" t="s">
        <v>74</v>
      </c>
      <c r="AR79" s="367">
        <v>4</v>
      </c>
      <c r="AS79" s="367">
        <v>5</v>
      </c>
      <c r="AT79" s="674">
        <v>6</v>
      </c>
      <c r="AU79" s="1178"/>
      <c r="AV79" s="455"/>
      <c r="AW79" s="1405"/>
      <c r="AX79" s="1405"/>
      <c r="AY79" s="1405"/>
      <c r="AZ79" s="1570" t="s">
        <v>2383</v>
      </c>
      <c r="BA79" s="1570"/>
      <c r="BB79" s="1570" t="s">
        <v>2383</v>
      </c>
      <c r="BC79" s="1570" t="s">
        <v>1209</v>
      </c>
      <c r="BD79" s="2167" t="s">
        <v>1209</v>
      </c>
      <c r="BE79" s="2059"/>
      <c r="BF79" s="981"/>
      <c r="BG79" s="2168"/>
      <c r="BH79" s="403"/>
      <c r="BI79" s="2169"/>
      <c r="BJ79" s="2170"/>
      <c r="BK79" s="454"/>
      <c r="BL79" s="980">
        <v>0</v>
      </c>
      <c r="BM79" s="1759">
        <v>3323.6473599999999</v>
      </c>
      <c r="BN79" s="2112">
        <v>3417.5469900000003</v>
      </c>
      <c r="BO79" s="2112">
        <v>3417.5469900000003</v>
      </c>
      <c r="BP79" s="2315">
        <v>93.899630000000343</v>
      </c>
      <c r="BQ79" s="1538">
        <v>0</v>
      </c>
      <c r="BR79" s="1661">
        <v>3323.6473599999999</v>
      </c>
      <c r="BS79" s="2127">
        <v>3323.6473599999999</v>
      </c>
      <c r="BT79" s="54">
        <v>3323.6473599999999</v>
      </c>
      <c r="BU79" s="1607"/>
      <c r="BV79" s="1538">
        <v>0</v>
      </c>
      <c r="BW79" s="1376">
        <v>0</v>
      </c>
      <c r="BX79" s="2071">
        <v>0</v>
      </c>
      <c r="BY79" s="2171"/>
      <c r="BZ79" s="2100"/>
      <c r="CA79" s="2100"/>
      <c r="CB79" s="2172"/>
      <c r="CC79" s="2173"/>
      <c r="CD79" s="2101"/>
      <c r="CE79" s="2174"/>
      <c r="CG79" s="1253">
        <v>0</v>
      </c>
      <c r="CH79" s="1541">
        <v>0</v>
      </c>
      <c r="CI79" s="1548">
        <v>0</v>
      </c>
      <c r="CJ79" s="2072">
        <v>3417.5469900000003</v>
      </c>
    </row>
    <row r="80" spans="1:98" s="961" customFormat="1" ht="26.25" hidden="1" thickBot="1" x14ac:dyDescent="0.3">
      <c r="A80" s="2431" t="s">
        <v>2018</v>
      </c>
      <c r="B80" s="2432" t="s">
        <v>2325</v>
      </c>
      <c r="C80" s="191">
        <v>2019</v>
      </c>
      <c r="D80" s="75" t="s">
        <v>2506</v>
      </c>
      <c r="E80" s="76" t="s">
        <v>80</v>
      </c>
      <c r="F80" s="76" t="s">
        <v>80</v>
      </c>
      <c r="G80" s="224" t="s">
        <v>2019</v>
      </c>
      <c r="H80" s="25">
        <v>4199.6873599999999</v>
      </c>
      <c r="I80" s="25">
        <v>4199.6873599999999</v>
      </c>
      <c r="J80" s="823"/>
      <c r="K80" s="822">
        <v>0</v>
      </c>
      <c r="L80" s="2772">
        <v>0</v>
      </c>
      <c r="M80" s="2781"/>
      <c r="N80" s="374">
        <v>0</v>
      </c>
      <c r="O80" s="1037">
        <v>0</v>
      </c>
      <c r="P80" s="375">
        <v>0</v>
      </c>
      <c r="Q80" s="26">
        <v>0</v>
      </c>
      <c r="R80" s="2734">
        <v>0</v>
      </c>
      <c r="S80" s="2735">
        <v>0</v>
      </c>
      <c r="T80" s="2618">
        <f>R80+S80</f>
        <v>0</v>
      </c>
      <c r="U80" s="2734"/>
      <c r="V80" s="2734"/>
      <c r="W80" s="2734"/>
      <c r="X80" s="2734"/>
      <c r="Y80" s="1629">
        <v>0</v>
      </c>
      <c r="Z80" s="27">
        <v>0</v>
      </c>
      <c r="AA80" s="44">
        <v>0</v>
      </c>
      <c r="AB80" s="27">
        <v>0</v>
      </c>
      <c r="AC80" s="432" t="s">
        <v>1209</v>
      </c>
      <c r="AD80" s="75" t="s">
        <v>1329</v>
      </c>
      <c r="AE80" s="713" t="s">
        <v>1318</v>
      </c>
      <c r="AF80" s="74" t="s">
        <v>1283</v>
      </c>
      <c r="AG80" s="379" t="s">
        <v>1283</v>
      </c>
      <c r="AH80" s="76">
        <v>6</v>
      </c>
      <c r="AI80" s="732"/>
      <c r="AJ80" s="363"/>
      <c r="AK80" s="516">
        <f>H80-I80-T80-Y80-Z80-AA80-AB80</f>
        <v>0</v>
      </c>
      <c r="AL80" s="1353">
        <f>T80-R80-S80</f>
        <v>0</v>
      </c>
      <c r="AM80" s="1217">
        <f>T80-N80-O80-P80-Q80</f>
        <v>0</v>
      </c>
      <c r="AN80" s="1295"/>
      <c r="AO80" s="1295"/>
      <c r="AP80" s="1218"/>
      <c r="AQ80" s="1225" t="s">
        <v>74</v>
      </c>
      <c r="AR80" s="1219">
        <v>4</v>
      </c>
      <c r="AS80" s="1219">
        <v>5</v>
      </c>
      <c r="AT80" s="2737">
        <v>7</v>
      </c>
      <c r="AU80" s="1296"/>
      <c r="AV80" s="455"/>
      <c r="AW80" s="1525"/>
      <c r="AX80" s="1525"/>
      <c r="AY80" s="432" t="s">
        <v>1209</v>
      </c>
      <c r="AZ80" s="1526" t="s">
        <v>2384</v>
      </c>
      <c r="BA80" s="1526"/>
      <c r="BB80" s="1526" t="s">
        <v>2384</v>
      </c>
      <c r="BC80" s="1526" t="s">
        <v>1209</v>
      </c>
      <c r="BD80" s="2177" t="s">
        <v>1209</v>
      </c>
      <c r="BE80" s="2178"/>
      <c r="BF80" s="2179"/>
      <c r="BG80" s="2168"/>
      <c r="BH80" s="407"/>
      <c r="BI80" s="2180"/>
      <c r="BJ80" s="2170"/>
      <c r="BK80" s="707"/>
      <c r="BL80" s="20">
        <v>0</v>
      </c>
      <c r="BM80" s="364">
        <v>4199.6873599999999</v>
      </c>
      <c r="BN80" s="364"/>
      <c r="BO80" s="2109">
        <v>4256.6402500000004</v>
      </c>
      <c r="BP80" s="2317">
        <v>56.95289000000048</v>
      </c>
      <c r="BQ80" s="1632">
        <v>0</v>
      </c>
      <c r="BR80" s="2136">
        <v>4200</v>
      </c>
      <c r="BS80" s="787">
        <v>4199.6873599999999</v>
      </c>
      <c r="BT80" s="54">
        <f>BQ80+BS80</f>
        <v>4199.6873599999999</v>
      </c>
      <c r="BU80" s="1607"/>
      <c r="BV80" s="1632">
        <v>0</v>
      </c>
      <c r="BW80" s="2181">
        <v>0</v>
      </c>
      <c r="BX80" s="2182">
        <v>0</v>
      </c>
      <c r="BY80" s="2183"/>
      <c r="BZ80" s="2184"/>
      <c r="CA80" s="2184"/>
      <c r="CB80" s="2185"/>
      <c r="CC80" s="2186"/>
      <c r="CD80" s="1372"/>
      <c r="CE80" s="2187"/>
      <c r="CG80" s="1633">
        <v>0</v>
      </c>
      <c r="CH80" s="1635">
        <v>0</v>
      </c>
      <c r="CI80" s="1634">
        <v>0</v>
      </c>
      <c r="CJ80" s="2161">
        <v>4256.6402500000004</v>
      </c>
      <c r="CK80" s="1552">
        <v>0</v>
      </c>
      <c r="CL80" s="1552">
        <v>0</v>
      </c>
      <c r="CM80" s="1209">
        <v>0</v>
      </c>
      <c r="CN80" s="1209"/>
      <c r="CO80" s="2765"/>
    </row>
    <row r="81" spans="1:98" s="985" customFormat="1" ht="26.25" hidden="1" thickBot="1" x14ac:dyDescent="0.3">
      <c r="A81" s="2429" t="s">
        <v>2020</v>
      </c>
      <c r="B81" s="2430" t="s">
        <v>2314</v>
      </c>
      <c r="C81" s="1570">
        <v>2019</v>
      </c>
      <c r="D81" s="979" t="s">
        <v>2506</v>
      </c>
      <c r="E81" s="1591" t="s">
        <v>80</v>
      </c>
      <c r="F81" s="1536" t="s">
        <v>80</v>
      </c>
      <c r="G81" s="1600" t="s">
        <v>2021</v>
      </c>
      <c r="H81" s="980">
        <v>2011.71496</v>
      </c>
      <c r="I81" s="2533">
        <f t="shared" si="5"/>
        <v>0</v>
      </c>
      <c r="J81" s="2643">
        <f t="shared" si="0"/>
        <v>2011.71496</v>
      </c>
      <c r="K81" s="2643">
        <f t="shared" si="1"/>
        <v>2011.71496</v>
      </c>
      <c r="L81" s="2643">
        <f t="shared" si="2"/>
        <v>0</v>
      </c>
      <c r="M81" s="1759"/>
      <c r="N81" s="2361">
        <v>0</v>
      </c>
      <c r="O81" s="1548">
        <v>0</v>
      </c>
      <c r="P81" s="1541">
        <v>0</v>
      </c>
      <c r="Q81" s="1542">
        <v>0</v>
      </c>
      <c r="R81" s="2344">
        <v>118.84433000000013</v>
      </c>
      <c r="S81" s="1636">
        <v>-118.84433000000013</v>
      </c>
      <c r="T81" s="1545">
        <v>0</v>
      </c>
      <c r="U81" s="3182"/>
      <c r="V81" s="3182"/>
      <c r="W81" s="3182"/>
      <c r="X81" s="3182"/>
      <c r="Y81" s="1637">
        <v>0</v>
      </c>
      <c r="Z81" s="1539">
        <v>0</v>
      </c>
      <c r="AA81" s="1540">
        <v>0</v>
      </c>
      <c r="AB81" s="1539">
        <v>0</v>
      </c>
      <c r="AC81" s="1570" t="s">
        <v>2385</v>
      </c>
      <c r="AD81" s="979" t="s">
        <v>1329</v>
      </c>
      <c r="AE81" s="1638" t="s">
        <v>845</v>
      </c>
      <c r="AF81" s="1589" t="s">
        <v>1283</v>
      </c>
      <c r="AG81" s="1589" t="s">
        <v>1283</v>
      </c>
      <c r="AH81" s="2096">
        <v>5</v>
      </c>
      <c r="AI81" s="2166"/>
      <c r="AJ81" s="2416">
        <v>118.84433000000013</v>
      </c>
      <c r="AK81" s="516">
        <v>0</v>
      </c>
      <c r="AL81" s="1320">
        <v>0</v>
      </c>
      <c r="AM81" s="512">
        <v>0</v>
      </c>
      <c r="AN81" s="1171"/>
      <c r="AO81" s="1171"/>
      <c r="AP81" s="1177"/>
      <c r="AQ81" s="674" t="s">
        <v>74</v>
      </c>
      <c r="AR81" s="367">
        <v>4</v>
      </c>
      <c r="AS81" s="367">
        <v>5</v>
      </c>
      <c r="AT81" s="674">
        <v>6</v>
      </c>
      <c r="AU81" s="1178"/>
      <c r="AV81" s="455"/>
      <c r="AW81" s="1405"/>
      <c r="AX81" s="1405"/>
      <c r="AY81" s="1405"/>
      <c r="AZ81" s="1570" t="s">
        <v>2385</v>
      </c>
      <c r="BA81" s="1570"/>
      <c r="BB81" s="1570" t="s">
        <v>2385</v>
      </c>
      <c r="BC81" s="1570" t="s">
        <v>1209</v>
      </c>
      <c r="BD81" s="2167" t="s">
        <v>1209</v>
      </c>
      <c r="BE81" s="2059"/>
      <c r="BF81" s="981"/>
      <c r="BG81" s="2168"/>
      <c r="BH81" s="403"/>
      <c r="BI81" s="2169"/>
      <c r="BJ81" s="2170"/>
      <c r="BK81" s="454"/>
      <c r="BL81" s="980">
        <v>0</v>
      </c>
      <c r="BM81" s="1759">
        <v>2011.71496</v>
      </c>
      <c r="BN81" s="2112">
        <v>2130.5592900000001</v>
      </c>
      <c r="BO81" s="2112">
        <v>2130.5592900000001</v>
      </c>
      <c r="BP81" s="2315">
        <v>118.84433000000013</v>
      </c>
      <c r="BQ81" s="1538">
        <v>0</v>
      </c>
      <c r="BR81" s="1661">
        <v>2011.71496</v>
      </c>
      <c r="BS81" s="2127">
        <v>2011.71496</v>
      </c>
      <c r="BT81" s="54">
        <v>2011.71496</v>
      </c>
      <c r="BU81" s="1607"/>
      <c r="BV81" s="1538">
        <v>0</v>
      </c>
      <c r="BW81" s="1376">
        <v>0</v>
      </c>
      <c r="BX81" s="2071">
        <v>0</v>
      </c>
      <c r="BY81" s="2171"/>
      <c r="BZ81" s="2100"/>
      <c r="CA81" s="2100"/>
      <c r="CB81" s="2172"/>
      <c r="CC81" s="2173"/>
      <c r="CD81" s="2101"/>
      <c r="CE81" s="2174"/>
      <c r="CG81" s="1253">
        <v>0</v>
      </c>
      <c r="CH81" s="1541">
        <v>0</v>
      </c>
      <c r="CI81" s="1548">
        <v>0</v>
      </c>
      <c r="CJ81" s="2072">
        <v>2130.5592900000001</v>
      </c>
    </row>
    <row r="82" spans="1:98" s="985" customFormat="1" ht="26.25" thickBot="1" x14ac:dyDescent="0.3">
      <c r="A82" s="2429" t="s">
        <v>2022</v>
      </c>
      <c r="B82" s="2430" t="s">
        <v>2302</v>
      </c>
      <c r="C82" s="1570">
        <v>2019</v>
      </c>
      <c r="D82" s="979" t="s">
        <v>2506</v>
      </c>
      <c r="E82" s="1591" t="s">
        <v>80</v>
      </c>
      <c r="F82" s="1536" t="s">
        <v>80</v>
      </c>
      <c r="G82" s="1600" t="s">
        <v>2023</v>
      </c>
      <c r="H82" s="980">
        <v>1739.69444</v>
      </c>
      <c r="I82" s="2533">
        <f t="shared" si="5"/>
        <v>0</v>
      </c>
      <c r="J82" s="2643">
        <f t="shared" si="0"/>
        <v>1739.69444</v>
      </c>
      <c r="K82" s="2643">
        <f t="shared" si="1"/>
        <v>1739.69444</v>
      </c>
      <c r="L82" s="2643">
        <f t="shared" si="2"/>
        <v>0</v>
      </c>
      <c r="M82" s="1759"/>
      <c r="N82" s="2361">
        <v>0</v>
      </c>
      <c r="O82" s="1548">
        <v>0</v>
      </c>
      <c r="P82" s="1541">
        <v>0</v>
      </c>
      <c r="Q82" s="1542">
        <v>0</v>
      </c>
      <c r="R82" s="2344">
        <v>35.609089999999924</v>
      </c>
      <c r="S82" s="1636">
        <v>-35.609089999999924</v>
      </c>
      <c r="T82" s="1545">
        <v>0</v>
      </c>
      <c r="U82" s="3182"/>
      <c r="V82" s="3182"/>
      <c r="W82" s="3182"/>
      <c r="X82" s="3182"/>
      <c r="Y82" s="1637">
        <v>0</v>
      </c>
      <c r="Z82" s="1539">
        <v>0</v>
      </c>
      <c r="AA82" s="1540">
        <v>0</v>
      </c>
      <c r="AB82" s="1539">
        <v>0</v>
      </c>
      <c r="AC82" s="1570" t="s">
        <v>2386</v>
      </c>
      <c r="AD82" s="979" t="s">
        <v>1329</v>
      </c>
      <c r="AE82" s="1638" t="s">
        <v>845</v>
      </c>
      <c r="AF82" s="1589" t="s">
        <v>1283</v>
      </c>
      <c r="AG82" s="1589" t="s">
        <v>1283</v>
      </c>
      <c r="AH82" s="2096">
        <v>5</v>
      </c>
      <c r="AI82" s="2166" t="s">
        <v>2957</v>
      </c>
      <c r="AJ82" s="2416">
        <v>35.609090000000151</v>
      </c>
      <c r="AK82" s="516">
        <v>0</v>
      </c>
      <c r="AL82" s="1320">
        <v>0</v>
      </c>
      <c r="AM82" s="512">
        <v>0</v>
      </c>
      <c r="AN82" s="1171"/>
      <c r="AO82" s="1171"/>
      <c r="AP82" s="1177"/>
      <c r="AQ82" s="674" t="s">
        <v>74</v>
      </c>
      <c r="AR82" s="367">
        <v>4</v>
      </c>
      <c r="AS82" s="367">
        <v>5</v>
      </c>
      <c r="AT82" s="674">
        <v>6</v>
      </c>
      <c r="AU82" s="1178"/>
      <c r="AV82" s="455"/>
      <c r="AW82" s="1405"/>
      <c r="AX82" s="1405"/>
      <c r="AY82" s="1405"/>
      <c r="AZ82" s="1570" t="s">
        <v>2386</v>
      </c>
      <c r="BA82" s="1570"/>
      <c r="BB82" s="1570" t="s">
        <v>2386</v>
      </c>
      <c r="BC82" s="1570" t="s">
        <v>1209</v>
      </c>
      <c r="BD82" s="2167" t="s">
        <v>1209</v>
      </c>
      <c r="BE82" s="2059"/>
      <c r="BF82" s="981"/>
      <c r="BG82" s="2168"/>
      <c r="BH82" s="403"/>
      <c r="BI82" s="2169"/>
      <c r="BJ82" s="2170"/>
      <c r="BK82" s="454"/>
      <c r="BL82" s="980">
        <v>0</v>
      </c>
      <c r="BM82" s="1759">
        <v>1739.69444</v>
      </c>
      <c r="BN82" s="2112">
        <v>1775.3035300000001</v>
      </c>
      <c r="BO82" s="2112">
        <v>1775.3035300000001</v>
      </c>
      <c r="BP82" s="2315">
        <v>35.609090000000151</v>
      </c>
      <c r="BQ82" s="1538">
        <v>0</v>
      </c>
      <c r="BR82" s="1661">
        <v>1740</v>
      </c>
      <c r="BS82" s="2127">
        <v>1739.69444</v>
      </c>
      <c r="BT82" s="54">
        <v>1739.69444</v>
      </c>
      <c r="BU82" s="1607"/>
      <c r="BV82" s="1538">
        <v>0</v>
      </c>
      <c r="BW82" s="1376">
        <v>0</v>
      </c>
      <c r="BX82" s="2071">
        <v>0</v>
      </c>
      <c r="BY82" s="2171"/>
      <c r="BZ82" s="2100"/>
      <c r="CA82" s="2100"/>
      <c r="CB82" s="2172"/>
      <c r="CC82" s="2173"/>
      <c r="CD82" s="2101"/>
      <c r="CE82" s="2174"/>
      <c r="CG82" s="1253">
        <v>0</v>
      </c>
      <c r="CH82" s="1541">
        <v>0</v>
      </c>
      <c r="CI82" s="1548">
        <v>0</v>
      </c>
      <c r="CJ82" s="2072">
        <v>1775.3035300000001</v>
      </c>
    </row>
    <row r="83" spans="1:98" s="961" customFormat="1" ht="26.25" hidden="1" thickBot="1" x14ac:dyDescent="0.3">
      <c r="A83" s="2429" t="s">
        <v>2024</v>
      </c>
      <c r="B83" s="2430" t="s">
        <v>2533</v>
      </c>
      <c r="C83" s="1570">
        <v>2019</v>
      </c>
      <c r="D83" s="979" t="s">
        <v>2506</v>
      </c>
      <c r="E83" s="1591" t="s">
        <v>80</v>
      </c>
      <c r="F83" s="1536" t="s">
        <v>80</v>
      </c>
      <c r="G83" s="1600" t="s">
        <v>2025</v>
      </c>
      <c r="H83" s="980">
        <v>2726.5208299999999</v>
      </c>
      <c r="I83" s="2533">
        <f t="shared" si="5"/>
        <v>0</v>
      </c>
      <c r="J83" s="2643">
        <f t="shared" ref="J83:J161" si="10">BL83+BM83</f>
        <v>2726.5208299999999</v>
      </c>
      <c r="K83" s="2643">
        <f t="shared" si="1"/>
        <v>2726.5208299999999</v>
      </c>
      <c r="L83" s="2643">
        <f t="shared" si="2"/>
        <v>0</v>
      </c>
      <c r="M83" s="1759"/>
      <c r="N83" s="2364">
        <v>0</v>
      </c>
      <c r="O83" s="1540">
        <v>0</v>
      </c>
      <c r="P83" s="1541">
        <v>0</v>
      </c>
      <c r="Q83" s="1542">
        <v>0</v>
      </c>
      <c r="R83" s="2344">
        <v>31.74254000000019</v>
      </c>
      <c r="S83" s="1636">
        <v>-31.742540000000002</v>
      </c>
      <c r="T83" s="1545">
        <v>1.8829382497642655E-13</v>
      </c>
      <c r="U83" s="3182"/>
      <c r="V83" s="3182"/>
      <c r="W83" s="3182"/>
      <c r="X83" s="3182"/>
      <c r="Y83" s="1637">
        <v>0</v>
      </c>
      <c r="Z83" s="1539">
        <v>0</v>
      </c>
      <c r="AA83" s="1540">
        <v>0</v>
      </c>
      <c r="AB83" s="1539">
        <v>0</v>
      </c>
      <c r="AC83" s="1570" t="s">
        <v>2534</v>
      </c>
      <c r="AD83" s="979" t="s">
        <v>1329</v>
      </c>
      <c r="AE83" s="1638" t="s">
        <v>355</v>
      </c>
      <c r="AF83" s="1589" t="s">
        <v>1283</v>
      </c>
      <c r="AG83" s="1589" t="s">
        <v>1283</v>
      </c>
      <c r="AH83" s="2176">
        <v>4</v>
      </c>
      <c r="AI83" s="2175"/>
      <c r="AJ83" s="2416">
        <v>31.74254000000019</v>
      </c>
      <c r="AK83" s="516">
        <v>-1.8829382497642655E-13</v>
      </c>
      <c r="AL83" s="1215">
        <v>0</v>
      </c>
      <c r="AM83" s="1217">
        <v>1.8829382497642655E-13</v>
      </c>
      <c r="AN83" s="1295"/>
      <c r="AO83" s="1295"/>
      <c r="AP83" s="1218"/>
      <c r="AQ83" s="1225" t="s">
        <v>74</v>
      </c>
      <c r="AR83" s="1219">
        <v>4</v>
      </c>
      <c r="AS83" s="1219">
        <v>5</v>
      </c>
      <c r="AT83" s="674">
        <v>6</v>
      </c>
      <c r="AU83" s="1296"/>
      <c r="AV83" s="455"/>
      <c r="AW83" s="1525"/>
      <c r="AX83" s="1525"/>
      <c r="AY83" s="1525"/>
      <c r="AZ83" s="1570" t="s">
        <v>2534</v>
      </c>
      <c r="BA83" s="1570"/>
      <c r="BB83" s="1639" t="s">
        <v>2387</v>
      </c>
      <c r="BC83" s="1526" t="s">
        <v>1209</v>
      </c>
      <c r="BD83" s="2177" t="s">
        <v>1209</v>
      </c>
      <c r="BE83" s="2178"/>
      <c r="BF83" s="2179"/>
      <c r="BG83" s="2168"/>
      <c r="BH83" s="407"/>
      <c r="BI83" s="2180"/>
      <c r="BJ83" s="2170"/>
      <c r="BK83" s="707"/>
      <c r="BL83" s="980">
        <v>0</v>
      </c>
      <c r="BM83" s="1759">
        <v>2726.5208299999999</v>
      </c>
      <c r="BN83" s="2112">
        <v>2758.2633700000001</v>
      </c>
      <c r="BO83" s="1640">
        <v>2758.2633700000001</v>
      </c>
      <c r="BP83" s="2317">
        <v>2758.2633700000001</v>
      </c>
      <c r="BQ83" s="1641">
        <v>0</v>
      </c>
      <c r="BR83" s="1653">
        <v>2726.5208299999999</v>
      </c>
      <c r="BS83" s="2133">
        <v>0</v>
      </c>
      <c r="BT83" s="54">
        <v>0</v>
      </c>
      <c r="BU83" s="1642"/>
      <c r="BV83" s="1632">
        <v>0</v>
      </c>
      <c r="BW83" s="2181">
        <v>0</v>
      </c>
      <c r="BX83" s="2182">
        <v>0</v>
      </c>
      <c r="BY83" s="2183"/>
      <c r="BZ83" s="2184"/>
      <c r="CA83" s="2184"/>
      <c r="CB83" s="2185"/>
      <c r="CC83" s="2186"/>
      <c r="CD83" s="1372"/>
      <c r="CE83" s="2187"/>
      <c r="CG83" s="1633">
        <v>0</v>
      </c>
      <c r="CH83" s="1635">
        <v>0</v>
      </c>
      <c r="CI83" s="1634">
        <v>0</v>
      </c>
      <c r="CJ83" s="2161">
        <v>2758.2633700000001</v>
      </c>
    </row>
    <row r="84" spans="1:98" s="985" customFormat="1" ht="26.25" hidden="1" thickBot="1" x14ac:dyDescent="0.3">
      <c r="A84" s="2429" t="s">
        <v>2026</v>
      </c>
      <c r="B84" s="2430" t="s">
        <v>2315</v>
      </c>
      <c r="C84" s="1570">
        <v>2019</v>
      </c>
      <c r="D84" s="979" t="s">
        <v>2506</v>
      </c>
      <c r="E84" s="1591" t="s">
        <v>80</v>
      </c>
      <c r="F84" s="1536" t="s">
        <v>80</v>
      </c>
      <c r="G84" s="1600" t="s">
        <v>2027</v>
      </c>
      <c r="H84" s="980">
        <v>3025.5856399999998</v>
      </c>
      <c r="I84" s="2533">
        <f t="shared" si="5"/>
        <v>0</v>
      </c>
      <c r="J84" s="2643">
        <f t="shared" si="10"/>
        <v>3025.5856399999998</v>
      </c>
      <c r="K84" s="2643">
        <f t="shared" ref="K84:K162" si="11">J84+I84</f>
        <v>3025.5856399999998</v>
      </c>
      <c r="L84" s="2643">
        <f t="shared" ref="L84:L162" si="12">K84-H84</f>
        <v>0</v>
      </c>
      <c r="M84" s="1759"/>
      <c r="N84" s="2361">
        <v>0</v>
      </c>
      <c r="O84" s="1548">
        <v>0</v>
      </c>
      <c r="P84" s="1541">
        <v>0</v>
      </c>
      <c r="Q84" s="1542">
        <v>0</v>
      </c>
      <c r="R84" s="2344">
        <v>69.553219999999996</v>
      </c>
      <c r="S84" s="1636">
        <v>-69.553219999999996</v>
      </c>
      <c r="T84" s="1545">
        <v>0</v>
      </c>
      <c r="U84" s="3182"/>
      <c r="V84" s="3182"/>
      <c r="W84" s="3182"/>
      <c r="X84" s="3182"/>
      <c r="Y84" s="1637">
        <v>0</v>
      </c>
      <c r="Z84" s="1539">
        <v>0</v>
      </c>
      <c r="AA84" s="1540">
        <v>0</v>
      </c>
      <c r="AB84" s="1539">
        <v>0</v>
      </c>
      <c r="AC84" s="1570" t="s">
        <v>2388</v>
      </c>
      <c r="AD84" s="979" t="s">
        <v>1329</v>
      </c>
      <c r="AE84" s="1638" t="s">
        <v>845</v>
      </c>
      <c r="AF84" s="1589" t="s">
        <v>1283</v>
      </c>
      <c r="AG84" s="1589" t="s">
        <v>1283</v>
      </c>
      <c r="AH84" s="2096">
        <v>4</v>
      </c>
      <c r="AI84" s="2166"/>
      <c r="AJ84" s="2416">
        <v>69.553220000000238</v>
      </c>
      <c r="AK84" s="516">
        <v>0</v>
      </c>
      <c r="AL84" s="1320">
        <v>0</v>
      </c>
      <c r="AM84" s="512">
        <v>0</v>
      </c>
      <c r="AN84" s="1171"/>
      <c r="AO84" s="1171"/>
      <c r="AP84" s="1177"/>
      <c r="AQ84" s="674" t="s">
        <v>74</v>
      </c>
      <c r="AR84" s="367">
        <v>4</v>
      </c>
      <c r="AS84" s="367">
        <v>5</v>
      </c>
      <c r="AT84" s="674">
        <v>6</v>
      </c>
      <c r="AU84" s="1178"/>
      <c r="AV84" s="455"/>
      <c r="AW84" s="1405"/>
      <c r="AX84" s="1405"/>
      <c r="AY84" s="1405"/>
      <c r="AZ84" s="1570" t="s">
        <v>2388</v>
      </c>
      <c r="BA84" s="1570"/>
      <c r="BB84" s="1570" t="s">
        <v>2388</v>
      </c>
      <c r="BC84" s="1570" t="s">
        <v>1209</v>
      </c>
      <c r="BD84" s="2167" t="s">
        <v>1209</v>
      </c>
      <c r="BE84" s="2059"/>
      <c r="BF84" s="981"/>
      <c r="BG84" s="2168"/>
      <c r="BH84" s="403"/>
      <c r="BI84" s="2169"/>
      <c r="BJ84" s="2170"/>
      <c r="BK84" s="454"/>
      <c r="BL84" s="980">
        <v>0</v>
      </c>
      <c r="BM84" s="1759">
        <v>3025.5856399999998</v>
      </c>
      <c r="BN84" s="2112">
        <v>3095.13886</v>
      </c>
      <c r="BO84" s="2112">
        <v>3095.13886</v>
      </c>
      <c r="BP84" s="2315">
        <v>69.553220000000238</v>
      </c>
      <c r="BQ84" s="1538">
        <v>0</v>
      </c>
      <c r="BR84" s="1661">
        <v>3025.5856399999998</v>
      </c>
      <c r="BS84" s="2127">
        <v>3025.5856399999998</v>
      </c>
      <c r="BT84" s="54">
        <v>3025.5856399999998</v>
      </c>
      <c r="BU84" s="1607"/>
      <c r="BV84" s="1538">
        <v>0</v>
      </c>
      <c r="BW84" s="1376">
        <v>0</v>
      </c>
      <c r="BX84" s="2071">
        <v>0</v>
      </c>
      <c r="BY84" s="2171"/>
      <c r="BZ84" s="2100"/>
      <c r="CA84" s="2100"/>
      <c r="CB84" s="2172"/>
      <c r="CC84" s="2173"/>
      <c r="CD84" s="2101"/>
      <c r="CE84" s="2174"/>
      <c r="CG84" s="1253">
        <v>0</v>
      </c>
      <c r="CH84" s="1541">
        <v>0</v>
      </c>
      <c r="CI84" s="1548">
        <v>0</v>
      </c>
      <c r="CJ84" s="2072">
        <v>3095.13886</v>
      </c>
    </row>
    <row r="85" spans="1:98" s="985" customFormat="1" ht="26.25" hidden="1" thickBot="1" x14ac:dyDescent="0.3">
      <c r="A85" s="2429" t="s">
        <v>2028</v>
      </c>
      <c r="B85" s="2430" t="s">
        <v>2316</v>
      </c>
      <c r="C85" s="1570">
        <v>2019</v>
      </c>
      <c r="D85" s="979" t="s">
        <v>2506</v>
      </c>
      <c r="E85" s="1591" t="s">
        <v>80</v>
      </c>
      <c r="F85" s="1536" t="s">
        <v>80</v>
      </c>
      <c r="G85" s="1600" t="s">
        <v>2029</v>
      </c>
      <c r="H85" s="980">
        <v>2042.7292600000001</v>
      </c>
      <c r="I85" s="2533">
        <f t="shared" si="5"/>
        <v>0</v>
      </c>
      <c r="J85" s="2643">
        <f t="shared" si="10"/>
        <v>2042.7292600000001</v>
      </c>
      <c r="K85" s="2643">
        <f t="shared" si="11"/>
        <v>2042.7292600000001</v>
      </c>
      <c r="L85" s="2643">
        <f t="shared" si="12"/>
        <v>0</v>
      </c>
      <c r="M85" s="1759"/>
      <c r="N85" s="2361">
        <v>0</v>
      </c>
      <c r="O85" s="1548">
        <v>0</v>
      </c>
      <c r="P85" s="1541">
        <v>0</v>
      </c>
      <c r="Q85" s="1542">
        <v>0</v>
      </c>
      <c r="R85" s="2344">
        <v>99.232570000000123</v>
      </c>
      <c r="S85" s="1636">
        <v>-99.232570000000123</v>
      </c>
      <c r="T85" s="1545">
        <v>0</v>
      </c>
      <c r="U85" s="3182"/>
      <c r="V85" s="3182"/>
      <c r="W85" s="3182"/>
      <c r="X85" s="3182"/>
      <c r="Y85" s="1637">
        <v>0</v>
      </c>
      <c r="Z85" s="1539">
        <v>0</v>
      </c>
      <c r="AA85" s="1540">
        <v>0</v>
      </c>
      <c r="AB85" s="1539">
        <v>0</v>
      </c>
      <c r="AC85" s="1570" t="s">
        <v>2389</v>
      </c>
      <c r="AD85" s="979" t="s">
        <v>1329</v>
      </c>
      <c r="AE85" s="1638" t="s">
        <v>845</v>
      </c>
      <c r="AF85" s="1589" t="s">
        <v>1283</v>
      </c>
      <c r="AG85" s="1589" t="s">
        <v>1283</v>
      </c>
      <c r="AH85" s="2096">
        <v>4</v>
      </c>
      <c r="AI85" s="2166"/>
      <c r="AJ85" s="2416">
        <v>99.232570000000123</v>
      </c>
      <c r="AK85" s="516">
        <v>0</v>
      </c>
      <c r="AL85" s="1320">
        <v>0</v>
      </c>
      <c r="AM85" s="512">
        <v>0</v>
      </c>
      <c r="AN85" s="1171"/>
      <c r="AO85" s="1171"/>
      <c r="AP85" s="1177"/>
      <c r="AQ85" s="674" t="s">
        <v>74</v>
      </c>
      <c r="AR85" s="367">
        <v>4</v>
      </c>
      <c r="AS85" s="367">
        <v>5</v>
      </c>
      <c r="AT85" s="674">
        <v>6</v>
      </c>
      <c r="AU85" s="1178"/>
      <c r="AV85" s="455"/>
      <c r="AW85" s="1405"/>
      <c r="AX85" s="1405"/>
      <c r="AY85" s="1405"/>
      <c r="AZ85" s="1570" t="s">
        <v>2389</v>
      </c>
      <c r="BA85" s="1570"/>
      <c r="BB85" s="1570" t="s">
        <v>2389</v>
      </c>
      <c r="BC85" s="1570" t="s">
        <v>1209</v>
      </c>
      <c r="BD85" s="2167" t="s">
        <v>1209</v>
      </c>
      <c r="BE85" s="2059"/>
      <c r="BF85" s="981"/>
      <c r="BG85" s="2168"/>
      <c r="BH85" s="403"/>
      <c r="BI85" s="2169"/>
      <c r="BJ85" s="2170"/>
      <c r="BK85" s="454"/>
      <c r="BL85" s="980">
        <v>0</v>
      </c>
      <c r="BM85" s="1759">
        <v>2042.7292600000001</v>
      </c>
      <c r="BN85" s="2112">
        <v>2141.9618300000002</v>
      </c>
      <c r="BO85" s="2112">
        <v>2141.9618300000002</v>
      </c>
      <c r="BP85" s="2315">
        <v>99.232570000000123</v>
      </c>
      <c r="BQ85" s="1538">
        <v>0</v>
      </c>
      <c r="BR85" s="1661">
        <v>2042.7292600000001</v>
      </c>
      <c r="BS85" s="2127">
        <v>2042.7292600000001</v>
      </c>
      <c r="BT85" s="54">
        <v>2042.7292600000001</v>
      </c>
      <c r="BU85" s="1607"/>
      <c r="BV85" s="1538">
        <v>0</v>
      </c>
      <c r="BW85" s="1376">
        <v>0</v>
      </c>
      <c r="BX85" s="2071">
        <v>0</v>
      </c>
      <c r="BY85" s="2171"/>
      <c r="BZ85" s="2100"/>
      <c r="CA85" s="2100"/>
      <c r="CB85" s="2172"/>
      <c r="CC85" s="2173"/>
      <c r="CD85" s="2101"/>
      <c r="CE85" s="2174"/>
      <c r="CG85" s="1253">
        <v>0</v>
      </c>
      <c r="CH85" s="1541">
        <v>0</v>
      </c>
      <c r="CI85" s="1548">
        <v>0</v>
      </c>
      <c r="CJ85" s="2072">
        <v>2141.9618300000002</v>
      </c>
    </row>
    <row r="86" spans="1:98" s="961" customFormat="1" ht="26.25" hidden="1" thickBot="1" x14ac:dyDescent="0.3">
      <c r="A86" s="2429" t="s">
        <v>2030</v>
      </c>
      <c r="B86" s="2430" t="s">
        <v>2535</v>
      </c>
      <c r="C86" s="1570">
        <v>2019</v>
      </c>
      <c r="D86" s="979" t="s">
        <v>2506</v>
      </c>
      <c r="E86" s="1591" t="s">
        <v>80</v>
      </c>
      <c r="F86" s="1536" t="s">
        <v>80</v>
      </c>
      <c r="G86" s="1600" t="s">
        <v>2031</v>
      </c>
      <c r="H86" s="980">
        <v>1486.49793</v>
      </c>
      <c r="I86" s="2533">
        <f t="shared" ref="I86:I165" si="13">H86-J86</f>
        <v>0</v>
      </c>
      <c r="J86" s="2643">
        <f t="shared" si="10"/>
        <v>1486.49793</v>
      </c>
      <c r="K86" s="2643">
        <f t="shared" si="11"/>
        <v>1486.49793</v>
      </c>
      <c r="L86" s="2643">
        <f t="shared" si="12"/>
        <v>0</v>
      </c>
      <c r="M86" s="1759"/>
      <c r="N86" s="2361">
        <v>0</v>
      </c>
      <c r="O86" s="1548">
        <v>0</v>
      </c>
      <c r="P86" s="1541">
        <v>0</v>
      </c>
      <c r="Q86" s="1542">
        <v>0</v>
      </c>
      <c r="R86" s="2344">
        <v>78.796190000000024</v>
      </c>
      <c r="S86" s="1636">
        <v>-78.796189999999996</v>
      </c>
      <c r="T86" s="1545">
        <v>0</v>
      </c>
      <c r="U86" s="3182"/>
      <c r="V86" s="3182"/>
      <c r="W86" s="3182"/>
      <c r="X86" s="3182"/>
      <c r="Y86" s="1637">
        <v>0</v>
      </c>
      <c r="Z86" s="1539">
        <v>0</v>
      </c>
      <c r="AA86" s="1540">
        <v>0</v>
      </c>
      <c r="AB86" s="1539">
        <v>0</v>
      </c>
      <c r="AC86" s="1570" t="s">
        <v>2536</v>
      </c>
      <c r="AD86" s="979" t="s">
        <v>1329</v>
      </c>
      <c r="AE86" s="1638" t="s">
        <v>355</v>
      </c>
      <c r="AF86" s="1589" t="s">
        <v>1283</v>
      </c>
      <c r="AG86" s="1589" t="s">
        <v>1283</v>
      </c>
      <c r="AH86" s="2176">
        <v>4</v>
      </c>
      <c r="AI86" s="2175"/>
      <c r="AJ86" s="2416">
        <v>78.796190000000024</v>
      </c>
      <c r="AK86" s="516">
        <v>0</v>
      </c>
      <c r="AL86" s="1215">
        <v>0</v>
      </c>
      <c r="AM86" s="1217">
        <v>0</v>
      </c>
      <c r="AN86" s="1295"/>
      <c r="AO86" s="1295"/>
      <c r="AP86" s="1218"/>
      <c r="AQ86" s="1225" t="s">
        <v>74</v>
      </c>
      <c r="AR86" s="1219">
        <v>4</v>
      </c>
      <c r="AS86" s="1219">
        <v>5</v>
      </c>
      <c r="AT86" s="674">
        <v>6</v>
      </c>
      <c r="AU86" s="1296"/>
      <c r="AV86" s="455"/>
      <c r="AW86" s="1525"/>
      <c r="AX86" s="1525"/>
      <c r="AY86" s="1525"/>
      <c r="AZ86" s="1570" t="s">
        <v>2536</v>
      </c>
      <c r="BA86" s="1570"/>
      <c r="BB86" s="1639" t="s">
        <v>2390</v>
      </c>
      <c r="BC86" s="1526" t="s">
        <v>1209</v>
      </c>
      <c r="BD86" s="2177" t="s">
        <v>1209</v>
      </c>
      <c r="BE86" s="2178"/>
      <c r="BF86" s="2179"/>
      <c r="BG86" s="2168"/>
      <c r="BH86" s="407"/>
      <c r="BI86" s="2180"/>
      <c r="BJ86" s="2170"/>
      <c r="BK86" s="707"/>
      <c r="BL86" s="980">
        <v>0</v>
      </c>
      <c r="BM86" s="1759">
        <v>1486.49793</v>
      </c>
      <c r="BN86" s="2112">
        <v>1565.29412</v>
      </c>
      <c r="BO86" s="1640">
        <v>1565.29412</v>
      </c>
      <c r="BP86" s="2317">
        <v>1565.29412</v>
      </c>
      <c r="BQ86" s="1641">
        <v>0</v>
      </c>
      <c r="BR86" s="1653">
        <v>1486.49793</v>
      </c>
      <c r="BS86" s="2133">
        <v>0</v>
      </c>
      <c r="BT86" s="54">
        <v>0</v>
      </c>
      <c r="BU86" s="1642"/>
      <c r="BV86" s="1632">
        <v>0</v>
      </c>
      <c r="BW86" s="2181">
        <v>0</v>
      </c>
      <c r="BX86" s="2182">
        <v>0</v>
      </c>
      <c r="BY86" s="2183"/>
      <c r="BZ86" s="2184"/>
      <c r="CA86" s="2184"/>
      <c r="CB86" s="2185"/>
      <c r="CC86" s="2186"/>
      <c r="CD86" s="1372"/>
      <c r="CE86" s="2187"/>
      <c r="CG86" s="1633">
        <v>0</v>
      </c>
      <c r="CH86" s="1635">
        <v>0</v>
      </c>
      <c r="CI86" s="1634">
        <v>0</v>
      </c>
      <c r="CJ86" s="2161">
        <v>1565.29412</v>
      </c>
    </row>
    <row r="87" spans="1:98" s="961" customFormat="1" ht="26.25" hidden="1" thickBot="1" x14ac:dyDescent="0.3">
      <c r="A87" s="2429" t="s">
        <v>2032</v>
      </c>
      <c r="B87" s="2430" t="s">
        <v>2537</v>
      </c>
      <c r="C87" s="1570">
        <v>2019</v>
      </c>
      <c r="D87" s="979" t="s">
        <v>2506</v>
      </c>
      <c r="E87" s="1591" t="s">
        <v>80</v>
      </c>
      <c r="F87" s="1536" t="s">
        <v>80</v>
      </c>
      <c r="G87" s="1600" t="s">
        <v>2033</v>
      </c>
      <c r="H87" s="980">
        <v>1498.02449</v>
      </c>
      <c r="I87" s="2533">
        <f t="shared" si="13"/>
        <v>0</v>
      </c>
      <c r="J87" s="2643">
        <f t="shared" si="10"/>
        <v>1498.02449</v>
      </c>
      <c r="K87" s="2643">
        <f t="shared" si="11"/>
        <v>1498.02449</v>
      </c>
      <c r="L87" s="2643">
        <f t="shared" si="12"/>
        <v>0</v>
      </c>
      <c r="M87" s="1759"/>
      <c r="N87" s="2361">
        <v>0</v>
      </c>
      <c r="O87" s="1548">
        <v>0</v>
      </c>
      <c r="P87" s="1541">
        <v>0</v>
      </c>
      <c r="Q87" s="1542">
        <v>0</v>
      </c>
      <c r="R87" s="2344">
        <v>2083.4029600000003</v>
      </c>
      <c r="S87" s="1636">
        <v>-2083.4029599999999</v>
      </c>
      <c r="T87" s="1545">
        <v>0</v>
      </c>
      <c r="U87" s="3182"/>
      <c r="V87" s="3182"/>
      <c r="W87" s="3182"/>
      <c r="X87" s="3182"/>
      <c r="Y87" s="1637">
        <v>0</v>
      </c>
      <c r="Z87" s="1539">
        <v>0</v>
      </c>
      <c r="AA87" s="1540">
        <v>0</v>
      </c>
      <c r="AB87" s="1539">
        <v>0</v>
      </c>
      <c r="AC87" s="1570" t="s">
        <v>2391</v>
      </c>
      <c r="AD87" s="979" t="s">
        <v>1329</v>
      </c>
      <c r="AE87" s="1638" t="s">
        <v>355</v>
      </c>
      <c r="AF87" s="1589" t="s">
        <v>1283</v>
      </c>
      <c r="AG87" s="1589" t="s">
        <v>1283</v>
      </c>
      <c r="AH87" s="2176">
        <v>3</v>
      </c>
      <c r="AI87" s="2175"/>
      <c r="AJ87" s="2416">
        <v>2083.4029600000003</v>
      </c>
      <c r="AK87" s="516">
        <v>0</v>
      </c>
      <c r="AL87" s="1215">
        <v>0</v>
      </c>
      <c r="AM87" s="1217">
        <v>0</v>
      </c>
      <c r="AN87" s="1295"/>
      <c r="AO87" s="1295"/>
      <c r="AP87" s="1218"/>
      <c r="AQ87" s="1225" t="s">
        <v>74</v>
      </c>
      <c r="AR87" s="1219">
        <v>4</v>
      </c>
      <c r="AS87" s="1219">
        <v>5</v>
      </c>
      <c r="AT87" s="674">
        <v>6</v>
      </c>
      <c r="AU87" s="1296"/>
      <c r="AV87" s="455"/>
      <c r="AW87" s="1525"/>
      <c r="AX87" s="1525"/>
      <c r="AY87" s="1525"/>
      <c r="AZ87" s="1570" t="s">
        <v>2391</v>
      </c>
      <c r="BA87" s="1570"/>
      <c r="BB87" s="1526" t="s">
        <v>2391</v>
      </c>
      <c r="BC87" s="1526" t="s">
        <v>1209</v>
      </c>
      <c r="BD87" s="2177" t="s">
        <v>1209</v>
      </c>
      <c r="BE87" s="2178"/>
      <c r="BF87" s="2179"/>
      <c r="BG87" s="2168"/>
      <c r="BH87" s="407"/>
      <c r="BI87" s="2180"/>
      <c r="BJ87" s="2170"/>
      <c r="BK87" s="707"/>
      <c r="BL87" s="980">
        <v>0</v>
      </c>
      <c r="BM87" s="1759">
        <v>1498.02449</v>
      </c>
      <c r="BN87" s="2112">
        <v>3581.4274500000001</v>
      </c>
      <c r="BO87" s="2109">
        <v>3581.4274500000001</v>
      </c>
      <c r="BP87" s="2317">
        <v>3581.4274500000001</v>
      </c>
      <c r="BQ87" s="1632">
        <v>0</v>
      </c>
      <c r="BR87" s="2136">
        <v>1498.02449</v>
      </c>
      <c r="BS87" s="787">
        <v>0</v>
      </c>
      <c r="BT87" s="54">
        <v>0</v>
      </c>
      <c r="BU87" s="1603"/>
      <c r="BV87" s="1632">
        <v>0</v>
      </c>
      <c r="BW87" s="2181">
        <v>0</v>
      </c>
      <c r="BX87" s="2182">
        <v>0</v>
      </c>
      <c r="BY87" s="2183"/>
      <c r="BZ87" s="2184"/>
      <c r="CA87" s="2184"/>
      <c r="CB87" s="2185"/>
      <c r="CC87" s="2186"/>
      <c r="CD87" s="1372"/>
      <c r="CE87" s="2187"/>
      <c r="CG87" s="1633">
        <v>0</v>
      </c>
      <c r="CH87" s="1635">
        <v>0</v>
      </c>
      <c r="CI87" s="1634">
        <v>0</v>
      </c>
      <c r="CJ87" s="2161">
        <v>3581.4274500000001</v>
      </c>
    </row>
    <row r="88" spans="1:98" s="961" customFormat="1" ht="26.25" hidden="1" thickBot="1" x14ac:dyDescent="0.3">
      <c r="A88" s="2429" t="s">
        <v>2034</v>
      </c>
      <c r="B88" s="2430" t="s">
        <v>2538</v>
      </c>
      <c r="C88" s="1570">
        <v>2019</v>
      </c>
      <c r="D88" s="979" t="s">
        <v>2506</v>
      </c>
      <c r="E88" s="1591" t="s">
        <v>80</v>
      </c>
      <c r="F88" s="1536" t="s">
        <v>80</v>
      </c>
      <c r="G88" s="1600" t="s">
        <v>2035</v>
      </c>
      <c r="H88" s="980">
        <v>1957.4944399999999</v>
      </c>
      <c r="I88" s="2533">
        <f t="shared" si="13"/>
        <v>0</v>
      </c>
      <c r="J88" s="2643">
        <f t="shared" si="10"/>
        <v>1957.4944399999999</v>
      </c>
      <c r="K88" s="2643">
        <f t="shared" si="11"/>
        <v>1957.4944399999999</v>
      </c>
      <c r="L88" s="2643">
        <f t="shared" si="12"/>
        <v>0</v>
      </c>
      <c r="M88" s="1759"/>
      <c r="N88" s="2361">
        <v>0</v>
      </c>
      <c r="O88" s="1548">
        <v>0</v>
      </c>
      <c r="P88" s="1541">
        <v>0</v>
      </c>
      <c r="Q88" s="1542">
        <v>0</v>
      </c>
      <c r="R88" s="2344">
        <v>45.087400000000116</v>
      </c>
      <c r="S88" s="1636">
        <v>-45.087400000000116</v>
      </c>
      <c r="T88" s="1545">
        <v>0</v>
      </c>
      <c r="U88" s="3182"/>
      <c r="V88" s="3182"/>
      <c r="W88" s="3182"/>
      <c r="X88" s="3182"/>
      <c r="Y88" s="1637">
        <v>0</v>
      </c>
      <c r="Z88" s="1539">
        <v>0</v>
      </c>
      <c r="AA88" s="1540">
        <v>0</v>
      </c>
      <c r="AB88" s="1539">
        <v>0</v>
      </c>
      <c r="AC88" s="1570" t="s">
        <v>2392</v>
      </c>
      <c r="AD88" s="979" t="s">
        <v>1329</v>
      </c>
      <c r="AE88" s="1638" t="s">
        <v>355</v>
      </c>
      <c r="AF88" s="1589" t="s">
        <v>1283</v>
      </c>
      <c r="AG88" s="1589" t="s">
        <v>1283</v>
      </c>
      <c r="AH88" s="2176">
        <v>4</v>
      </c>
      <c r="AI88" s="2175"/>
      <c r="AJ88" s="2416">
        <v>45.087400000000116</v>
      </c>
      <c r="AK88" s="516">
        <v>0</v>
      </c>
      <c r="AL88" s="1215">
        <v>0</v>
      </c>
      <c r="AM88" s="1217">
        <v>0</v>
      </c>
      <c r="AN88" s="1295"/>
      <c r="AO88" s="1295"/>
      <c r="AP88" s="1218"/>
      <c r="AQ88" s="1225" t="s">
        <v>74</v>
      </c>
      <c r="AR88" s="1219">
        <v>4</v>
      </c>
      <c r="AS88" s="1219">
        <v>5</v>
      </c>
      <c r="AT88" s="674">
        <v>6</v>
      </c>
      <c r="AU88" s="1296"/>
      <c r="AV88" s="455"/>
      <c r="AW88" s="1525"/>
      <c r="AX88" s="1525"/>
      <c r="AY88" s="1525"/>
      <c r="AZ88" s="1570" t="s">
        <v>2392</v>
      </c>
      <c r="BA88" s="1570"/>
      <c r="BB88" s="1526" t="s">
        <v>2498</v>
      </c>
      <c r="BC88" s="1526" t="s">
        <v>1209</v>
      </c>
      <c r="BD88" s="2177" t="s">
        <v>1209</v>
      </c>
      <c r="BE88" s="2178"/>
      <c r="BF88" s="2179"/>
      <c r="BG88" s="2168"/>
      <c r="BH88" s="407"/>
      <c r="BI88" s="2180"/>
      <c r="BJ88" s="2170"/>
      <c r="BK88" s="707"/>
      <c r="BL88" s="980">
        <v>0</v>
      </c>
      <c r="BM88" s="1759">
        <v>1957.4944399999999</v>
      </c>
      <c r="BN88" s="2112">
        <v>2002.5818400000001</v>
      </c>
      <c r="BO88" s="2109">
        <v>2002.5818400000001</v>
      </c>
      <c r="BP88" s="2317">
        <v>2002.5818400000001</v>
      </c>
      <c r="BQ88" s="1632">
        <v>0</v>
      </c>
      <c r="BR88" s="2136">
        <v>1958</v>
      </c>
      <c r="BS88" s="787">
        <v>0</v>
      </c>
      <c r="BT88" s="54">
        <v>0</v>
      </c>
      <c r="BU88" s="1603"/>
      <c r="BV88" s="1632">
        <v>0</v>
      </c>
      <c r="BW88" s="2181">
        <v>0</v>
      </c>
      <c r="BX88" s="2182">
        <v>0</v>
      </c>
      <c r="BY88" s="2183"/>
      <c r="BZ88" s="2184"/>
      <c r="CA88" s="2184"/>
      <c r="CB88" s="2185"/>
      <c r="CC88" s="2186"/>
      <c r="CD88" s="1372"/>
      <c r="CE88" s="2187"/>
      <c r="CG88" s="1633">
        <v>0</v>
      </c>
      <c r="CH88" s="1635">
        <v>0</v>
      </c>
      <c r="CI88" s="1634">
        <v>0</v>
      </c>
      <c r="CJ88" s="2161">
        <v>2002.5818400000001</v>
      </c>
    </row>
    <row r="89" spans="1:98" s="985" customFormat="1" ht="26.25" hidden="1" thickBot="1" x14ac:dyDescent="0.3">
      <c r="A89" s="2429" t="s">
        <v>2036</v>
      </c>
      <c r="B89" s="2430" t="s">
        <v>2317</v>
      </c>
      <c r="C89" s="1570">
        <v>2019</v>
      </c>
      <c r="D89" s="979" t="s">
        <v>2506</v>
      </c>
      <c r="E89" s="1591" t="s">
        <v>80</v>
      </c>
      <c r="F89" s="1536" t="s">
        <v>80</v>
      </c>
      <c r="G89" s="2397" t="s">
        <v>2037</v>
      </c>
      <c r="H89" s="1376">
        <v>860.22257999999999</v>
      </c>
      <c r="I89" s="2533">
        <f t="shared" si="13"/>
        <v>0</v>
      </c>
      <c r="J89" s="2643">
        <f t="shared" si="10"/>
        <v>860.22257999999999</v>
      </c>
      <c r="K89" s="2643">
        <f t="shared" si="11"/>
        <v>860.22257999999999</v>
      </c>
      <c r="L89" s="2643">
        <f t="shared" si="12"/>
        <v>0</v>
      </c>
      <c r="M89" s="1759"/>
      <c r="N89" s="2361">
        <v>0</v>
      </c>
      <c r="O89" s="1548">
        <v>0</v>
      </c>
      <c r="P89" s="1541">
        <v>0</v>
      </c>
      <c r="Q89" s="1542">
        <v>0</v>
      </c>
      <c r="R89" s="2344">
        <v>45.141769999999951</v>
      </c>
      <c r="S89" s="1636">
        <v>-45.141769999999951</v>
      </c>
      <c r="T89" s="1545">
        <v>0</v>
      </c>
      <c r="U89" s="3182"/>
      <c r="V89" s="3182"/>
      <c r="W89" s="3182"/>
      <c r="X89" s="3182"/>
      <c r="Y89" s="1637">
        <v>0</v>
      </c>
      <c r="Z89" s="1539">
        <v>0</v>
      </c>
      <c r="AA89" s="1540">
        <v>0</v>
      </c>
      <c r="AB89" s="1539">
        <v>0</v>
      </c>
      <c r="AC89" s="1570" t="s">
        <v>2392</v>
      </c>
      <c r="AD89" s="979" t="s">
        <v>1329</v>
      </c>
      <c r="AE89" s="1638" t="s">
        <v>845</v>
      </c>
      <c r="AF89" s="1589" t="s">
        <v>1283</v>
      </c>
      <c r="AG89" s="1589" t="s">
        <v>1283</v>
      </c>
      <c r="AH89" s="2096">
        <v>7</v>
      </c>
      <c r="AI89" s="2166"/>
      <c r="AJ89" s="2416">
        <v>45.141769999999951</v>
      </c>
      <c r="AK89" s="516">
        <v>0</v>
      </c>
      <c r="AL89" s="1320">
        <v>0</v>
      </c>
      <c r="AM89" s="512">
        <v>0</v>
      </c>
      <c r="AN89" s="1171"/>
      <c r="AO89" s="1171"/>
      <c r="AP89" s="1177"/>
      <c r="AQ89" s="674" t="s">
        <v>74</v>
      </c>
      <c r="AR89" s="367">
        <v>4</v>
      </c>
      <c r="AS89" s="367">
        <v>5</v>
      </c>
      <c r="AT89" s="674">
        <v>6</v>
      </c>
      <c r="AU89" s="1178"/>
      <c r="AV89" s="455"/>
      <c r="AW89" s="1405"/>
      <c r="AX89" s="1405"/>
      <c r="AY89" s="1405"/>
      <c r="AZ89" s="1570" t="s">
        <v>2392</v>
      </c>
      <c r="BA89" s="1570"/>
      <c r="BB89" s="1570" t="s">
        <v>2392</v>
      </c>
      <c r="BC89" s="1570" t="s">
        <v>1209</v>
      </c>
      <c r="BD89" s="2167" t="s">
        <v>1209</v>
      </c>
      <c r="BE89" s="2059"/>
      <c r="BF89" s="981"/>
      <c r="BG89" s="2168"/>
      <c r="BH89" s="403"/>
      <c r="BI89" s="2169"/>
      <c r="BJ89" s="2170"/>
      <c r="BK89" s="454"/>
      <c r="BL89" s="980">
        <v>0</v>
      </c>
      <c r="BM89" s="1759">
        <v>860.22257999999999</v>
      </c>
      <c r="BN89" s="2112">
        <v>905.36434999999994</v>
      </c>
      <c r="BO89" s="2112">
        <v>905.36434999999994</v>
      </c>
      <c r="BP89" s="2315">
        <v>45.141769999999951</v>
      </c>
      <c r="BQ89" s="1538">
        <v>0</v>
      </c>
      <c r="BR89" s="1661">
        <v>860.22257999999999</v>
      </c>
      <c r="BS89" s="2127">
        <v>860.22257999999999</v>
      </c>
      <c r="BT89" s="54">
        <v>860.22257999999999</v>
      </c>
      <c r="BU89" s="1607"/>
      <c r="BV89" s="1538">
        <v>0</v>
      </c>
      <c r="BW89" s="1376">
        <v>0</v>
      </c>
      <c r="BX89" s="2071">
        <v>0</v>
      </c>
      <c r="BY89" s="2171"/>
      <c r="BZ89" s="2100"/>
      <c r="CA89" s="2100"/>
      <c r="CB89" s="2172"/>
      <c r="CC89" s="2173"/>
      <c r="CD89" s="2101"/>
      <c r="CE89" s="2174"/>
      <c r="CG89" s="1253">
        <v>0</v>
      </c>
      <c r="CH89" s="1541">
        <v>0</v>
      </c>
      <c r="CI89" s="1548">
        <v>0</v>
      </c>
      <c r="CJ89" s="2072">
        <v>905.36434999999994</v>
      </c>
    </row>
    <row r="90" spans="1:98" s="961" customFormat="1" ht="26.25" hidden="1" thickBot="1" x14ac:dyDescent="0.3">
      <c r="A90" s="2429" t="s">
        <v>2038</v>
      </c>
      <c r="B90" s="2430" t="s">
        <v>2539</v>
      </c>
      <c r="C90" s="1570">
        <v>2019</v>
      </c>
      <c r="D90" s="979" t="s">
        <v>2506</v>
      </c>
      <c r="E90" s="1591" t="s">
        <v>80</v>
      </c>
      <c r="F90" s="1536" t="s">
        <v>80</v>
      </c>
      <c r="G90" s="2398" t="s">
        <v>2039</v>
      </c>
      <c r="H90" s="980">
        <v>1737.5721000000001</v>
      </c>
      <c r="I90" s="2533">
        <f t="shared" si="13"/>
        <v>0</v>
      </c>
      <c r="J90" s="2643">
        <f t="shared" si="10"/>
        <v>1737.5721000000001</v>
      </c>
      <c r="K90" s="2643">
        <f t="shared" si="11"/>
        <v>1737.5721000000001</v>
      </c>
      <c r="L90" s="2643">
        <f t="shared" si="12"/>
        <v>0</v>
      </c>
      <c r="M90" s="1759"/>
      <c r="N90" s="2361">
        <v>0</v>
      </c>
      <c r="O90" s="1548">
        <v>0</v>
      </c>
      <c r="P90" s="1541">
        <v>0</v>
      </c>
      <c r="Q90" s="1542">
        <v>0</v>
      </c>
      <c r="R90" s="2344">
        <v>69.882009999999809</v>
      </c>
      <c r="S90" s="1636">
        <v>-69.882009999999809</v>
      </c>
      <c r="T90" s="1545">
        <v>0</v>
      </c>
      <c r="U90" s="3182"/>
      <c r="V90" s="3182"/>
      <c r="W90" s="3182"/>
      <c r="X90" s="3182"/>
      <c r="Y90" s="1637">
        <v>0</v>
      </c>
      <c r="Z90" s="1539">
        <v>0</v>
      </c>
      <c r="AA90" s="1540">
        <v>0</v>
      </c>
      <c r="AB90" s="1539">
        <v>0</v>
      </c>
      <c r="AC90" s="1570" t="s">
        <v>2388</v>
      </c>
      <c r="AD90" s="979" t="s">
        <v>1329</v>
      </c>
      <c r="AE90" s="1638" t="s">
        <v>355</v>
      </c>
      <c r="AF90" s="1589" t="s">
        <v>1283</v>
      </c>
      <c r="AG90" s="1589" t="s">
        <v>1283</v>
      </c>
      <c r="AH90" s="2176">
        <v>7</v>
      </c>
      <c r="AI90" s="2175"/>
      <c r="AJ90" s="2416">
        <v>69.882010000000037</v>
      </c>
      <c r="AK90" s="516">
        <v>0</v>
      </c>
      <c r="AL90" s="1215">
        <v>0</v>
      </c>
      <c r="AM90" s="1217">
        <v>0</v>
      </c>
      <c r="AN90" s="1295"/>
      <c r="AO90" s="1295"/>
      <c r="AP90" s="1218"/>
      <c r="AQ90" s="1225" t="s">
        <v>74</v>
      </c>
      <c r="AR90" s="1219">
        <v>4</v>
      </c>
      <c r="AS90" s="1219">
        <v>5</v>
      </c>
      <c r="AT90" s="674">
        <v>6</v>
      </c>
      <c r="AU90" s="1296"/>
      <c r="AV90" s="455"/>
      <c r="AW90" s="1525"/>
      <c r="AX90" s="1525"/>
      <c r="AY90" s="1525"/>
      <c r="AZ90" s="1570" t="s">
        <v>2388</v>
      </c>
      <c r="BA90" s="1570"/>
      <c r="BB90" s="1639" t="s">
        <v>2393</v>
      </c>
      <c r="BC90" s="1526" t="s">
        <v>1209</v>
      </c>
      <c r="BD90" s="2177" t="s">
        <v>1209</v>
      </c>
      <c r="BE90" s="2178"/>
      <c r="BF90" s="2179"/>
      <c r="BG90" s="2168"/>
      <c r="BH90" s="407"/>
      <c r="BI90" s="2180"/>
      <c r="BJ90" s="2170"/>
      <c r="BK90" s="707"/>
      <c r="BL90" s="980">
        <v>0</v>
      </c>
      <c r="BM90" s="1759">
        <v>1737.5721000000001</v>
      </c>
      <c r="BN90" s="2112">
        <v>1807.4541100000001</v>
      </c>
      <c r="BO90" s="1640">
        <v>1807.4541100000001</v>
      </c>
      <c r="BP90" s="2317">
        <v>1807.4541100000001</v>
      </c>
      <c r="BQ90" s="1641">
        <v>0</v>
      </c>
      <c r="BR90" s="1653">
        <v>1738</v>
      </c>
      <c r="BS90" s="2133">
        <v>0</v>
      </c>
      <c r="BT90" s="54">
        <v>0</v>
      </c>
      <c r="BU90" s="1642"/>
      <c r="BV90" s="1632">
        <v>0</v>
      </c>
      <c r="BW90" s="2181">
        <v>0</v>
      </c>
      <c r="BX90" s="2182">
        <v>0</v>
      </c>
      <c r="BY90" s="2183"/>
      <c r="BZ90" s="2184"/>
      <c r="CA90" s="2184"/>
      <c r="CB90" s="2185"/>
      <c r="CC90" s="2186"/>
      <c r="CD90" s="1372"/>
      <c r="CE90" s="2187"/>
      <c r="CG90" s="1633">
        <v>0</v>
      </c>
      <c r="CH90" s="1635">
        <v>0</v>
      </c>
      <c r="CI90" s="1634">
        <v>0</v>
      </c>
      <c r="CJ90" s="2161">
        <v>1807.4541100000001</v>
      </c>
    </row>
    <row r="91" spans="1:98" s="985" customFormat="1" ht="26.25" hidden="1" thickBot="1" x14ac:dyDescent="0.3">
      <c r="A91" s="2429" t="s">
        <v>2042</v>
      </c>
      <c r="B91" s="2430" t="s">
        <v>2318</v>
      </c>
      <c r="C91" s="1570">
        <v>2019</v>
      </c>
      <c r="D91" s="979" t="s">
        <v>2506</v>
      </c>
      <c r="E91" s="1591" t="s">
        <v>80</v>
      </c>
      <c r="F91" s="1536" t="s">
        <v>80</v>
      </c>
      <c r="G91" s="1644" t="s">
        <v>2043</v>
      </c>
      <c r="H91" s="980">
        <v>3106.761</v>
      </c>
      <c r="I91" s="2533">
        <f t="shared" si="13"/>
        <v>0</v>
      </c>
      <c r="J91" s="2643">
        <f t="shared" si="10"/>
        <v>3106.761</v>
      </c>
      <c r="K91" s="2643">
        <f t="shared" si="11"/>
        <v>3106.761</v>
      </c>
      <c r="L91" s="2643">
        <f t="shared" si="12"/>
        <v>0</v>
      </c>
      <c r="M91" s="1759"/>
      <c r="N91" s="2361">
        <v>0</v>
      </c>
      <c r="O91" s="1548">
        <v>0</v>
      </c>
      <c r="P91" s="1541">
        <v>0</v>
      </c>
      <c r="Q91" s="1542">
        <v>0</v>
      </c>
      <c r="R91" s="2344">
        <v>49.00612000000001</v>
      </c>
      <c r="S91" s="1636">
        <v>-49.00612000000001</v>
      </c>
      <c r="T91" s="1545">
        <v>0</v>
      </c>
      <c r="U91" s="3182"/>
      <c r="V91" s="3182"/>
      <c r="W91" s="3182"/>
      <c r="X91" s="3182"/>
      <c r="Y91" s="1637">
        <v>0</v>
      </c>
      <c r="Z91" s="1539">
        <v>0</v>
      </c>
      <c r="AA91" s="1540">
        <v>0</v>
      </c>
      <c r="AB91" s="1539">
        <v>0</v>
      </c>
      <c r="AC91" s="1570" t="s">
        <v>2394</v>
      </c>
      <c r="AD91" s="979" t="s">
        <v>1329</v>
      </c>
      <c r="AE91" s="1638" t="s">
        <v>845</v>
      </c>
      <c r="AF91" s="1589" t="s">
        <v>1283</v>
      </c>
      <c r="AG91" s="1589" t="s">
        <v>1283</v>
      </c>
      <c r="AH91" s="2096">
        <v>9</v>
      </c>
      <c r="AI91" s="2166"/>
      <c r="AJ91" s="2416">
        <v>49.00612000000001</v>
      </c>
      <c r="AK91" s="516">
        <v>0</v>
      </c>
      <c r="AL91" s="1320">
        <v>0</v>
      </c>
      <c r="AM91" s="512">
        <v>0</v>
      </c>
      <c r="AN91" s="1171"/>
      <c r="AO91" s="1171"/>
      <c r="AP91" s="1177"/>
      <c r="AQ91" s="674" t="s">
        <v>74</v>
      </c>
      <c r="AR91" s="367">
        <v>4</v>
      </c>
      <c r="AS91" s="367">
        <v>5</v>
      </c>
      <c r="AT91" s="674">
        <v>6</v>
      </c>
      <c r="AU91" s="1178"/>
      <c r="AV91" s="455"/>
      <c r="AW91" s="1405"/>
      <c r="AX91" s="1405"/>
      <c r="AY91" s="1405"/>
      <c r="AZ91" s="1570" t="s">
        <v>2394</v>
      </c>
      <c r="BA91" s="1570"/>
      <c r="BB91" s="1570" t="s">
        <v>2394</v>
      </c>
      <c r="BC91" s="1570" t="s">
        <v>1209</v>
      </c>
      <c r="BD91" s="2167" t="s">
        <v>1209</v>
      </c>
      <c r="BE91" s="2059"/>
      <c r="BF91" s="981"/>
      <c r="BG91" s="2168"/>
      <c r="BH91" s="403"/>
      <c r="BI91" s="2169"/>
      <c r="BJ91" s="2170"/>
      <c r="BK91" s="454"/>
      <c r="BL91" s="980">
        <v>0</v>
      </c>
      <c r="BM91" s="1759">
        <v>3106.761</v>
      </c>
      <c r="BN91" s="2112">
        <v>3155.76712</v>
      </c>
      <c r="BO91" s="2112">
        <v>3155.76712</v>
      </c>
      <c r="BP91" s="2315">
        <v>49.00612000000001</v>
      </c>
      <c r="BQ91" s="1538">
        <v>0</v>
      </c>
      <c r="BR91" s="1661">
        <v>3107</v>
      </c>
      <c r="BS91" s="2127">
        <v>3106.761</v>
      </c>
      <c r="BT91" s="54">
        <v>3106.761</v>
      </c>
      <c r="BU91" s="1607"/>
      <c r="BV91" s="1538">
        <v>0</v>
      </c>
      <c r="BW91" s="1376">
        <v>0</v>
      </c>
      <c r="BX91" s="2071">
        <v>0</v>
      </c>
      <c r="BY91" s="2171"/>
      <c r="BZ91" s="2100"/>
      <c r="CA91" s="2100"/>
      <c r="CB91" s="2172"/>
      <c r="CC91" s="2173"/>
      <c r="CD91" s="2101"/>
      <c r="CE91" s="2174"/>
      <c r="CG91" s="1253">
        <v>0</v>
      </c>
      <c r="CH91" s="1541">
        <v>0</v>
      </c>
      <c r="CI91" s="1548">
        <v>0</v>
      </c>
      <c r="CJ91" s="2072">
        <v>3155.76712</v>
      </c>
    </row>
    <row r="92" spans="1:98" s="985" customFormat="1" ht="26.25" hidden="1" thickBot="1" x14ac:dyDescent="0.3">
      <c r="A92" s="2429" t="s">
        <v>2044</v>
      </c>
      <c r="B92" s="2430" t="s">
        <v>2319</v>
      </c>
      <c r="C92" s="1570">
        <v>2019</v>
      </c>
      <c r="D92" s="979" t="s">
        <v>2506</v>
      </c>
      <c r="E92" s="1591" t="s">
        <v>80</v>
      </c>
      <c r="F92" s="1536" t="s">
        <v>80</v>
      </c>
      <c r="G92" s="1644" t="s">
        <v>2045</v>
      </c>
      <c r="H92" s="980">
        <v>2276.0287600000001</v>
      </c>
      <c r="I92" s="2533">
        <f t="shared" si="13"/>
        <v>0</v>
      </c>
      <c r="J92" s="2643">
        <f t="shared" si="10"/>
        <v>2276.0287600000001</v>
      </c>
      <c r="K92" s="2643">
        <f t="shared" si="11"/>
        <v>2276.0287600000001</v>
      </c>
      <c r="L92" s="2643">
        <f t="shared" si="12"/>
        <v>0</v>
      </c>
      <c r="M92" s="1759"/>
      <c r="N92" s="2361">
        <v>0</v>
      </c>
      <c r="O92" s="1548">
        <v>0</v>
      </c>
      <c r="P92" s="1541">
        <v>0</v>
      </c>
      <c r="Q92" s="1542">
        <v>0</v>
      </c>
      <c r="R92" s="2344">
        <v>25.41181000000006</v>
      </c>
      <c r="S92" s="1636">
        <v>-25.41181000000006</v>
      </c>
      <c r="T92" s="1545">
        <v>0</v>
      </c>
      <c r="U92" s="3182"/>
      <c r="V92" s="3182"/>
      <c r="W92" s="3182"/>
      <c r="X92" s="3182"/>
      <c r="Y92" s="1637">
        <v>0</v>
      </c>
      <c r="Z92" s="1539">
        <v>0</v>
      </c>
      <c r="AA92" s="1540">
        <v>0</v>
      </c>
      <c r="AB92" s="1539">
        <v>0</v>
      </c>
      <c r="AC92" s="1570" t="s">
        <v>2199</v>
      </c>
      <c r="AD92" s="979" t="s">
        <v>1329</v>
      </c>
      <c r="AE92" s="1638" t="s">
        <v>845</v>
      </c>
      <c r="AF92" s="1589" t="s">
        <v>1283</v>
      </c>
      <c r="AG92" s="1589" t="s">
        <v>1283</v>
      </c>
      <c r="AH92" s="2096">
        <v>9</v>
      </c>
      <c r="AI92" s="2166"/>
      <c r="AJ92" s="2416">
        <v>25.411809999999605</v>
      </c>
      <c r="AK92" s="516">
        <v>0</v>
      </c>
      <c r="AL92" s="1320">
        <v>0</v>
      </c>
      <c r="AM92" s="512">
        <v>0</v>
      </c>
      <c r="AN92" s="1171"/>
      <c r="AO92" s="1171"/>
      <c r="AP92" s="1177"/>
      <c r="AQ92" s="674" t="s">
        <v>74</v>
      </c>
      <c r="AR92" s="367">
        <v>4</v>
      </c>
      <c r="AS92" s="367">
        <v>5</v>
      </c>
      <c r="AT92" s="674">
        <v>6</v>
      </c>
      <c r="AU92" s="1178"/>
      <c r="AV92" s="455"/>
      <c r="AW92" s="1405"/>
      <c r="AX92" s="1405"/>
      <c r="AY92" s="1405"/>
      <c r="AZ92" s="1570" t="s">
        <v>2199</v>
      </c>
      <c r="BA92" s="1570"/>
      <c r="BB92" s="1570" t="s">
        <v>2199</v>
      </c>
      <c r="BC92" s="1570" t="s">
        <v>1209</v>
      </c>
      <c r="BD92" s="2167" t="s">
        <v>1209</v>
      </c>
      <c r="BE92" s="2059"/>
      <c r="BF92" s="981"/>
      <c r="BG92" s="2168"/>
      <c r="BH92" s="403"/>
      <c r="BI92" s="2169"/>
      <c r="BJ92" s="2170"/>
      <c r="BK92" s="454"/>
      <c r="BL92" s="980">
        <v>0</v>
      </c>
      <c r="BM92" s="1759">
        <v>2276.0287600000001</v>
      </c>
      <c r="BN92" s="2112">
        <v>2301.4405699999998</v>
      </c>
      <c r="BO92" s="2112">
        <v>2301.4405699999998</v>
      </c>
      <c r="BP92" s="2315">
        <v>25.411809999999605</v>
      </c>
      <c r="BQ92" s="1538">
        <v>0</v>
      </c>
      <c r="BR92" s="1661">
        <v>2277</v>
      </c>
      <c r="BS92" s="2127">
        <v>2276.0287600000001</v>
      </c>
      <c r="BT92" s="54">
        <v>2276.0287600000001</v>
      </c>
      <c r="BU92" s="1607"/>
      <c r="BV92" s="1538">
        <v>0</v>
      </c>
      <c r="BW92" s="1376">
        <v>0</v>
      </c>
      <c r="BX92" s="2071">
        <v>0</v>
      </c>
      <c r="BY92" s="2171"/>
      <c r="BZ92" s="2100"/>
      <c r="CA92" s="2100"/>
      <c r="CB92" s="2172"/>
      <c r="CC92" s="2173"/>
      <c r="CD92" s="2101"/>
      <c r="CE92" s="2174"/>
      <c r="CG92" s="1253">
        <v>0</v>
      </c>
      <c r="CH92" s="1541">
        <v>0</v>
      </c>
      <c r="CI92" s="1548">
        <v>0</v>
      </c>
      <c r="CJ92" s="2072">
        <v>2301.4405699999998</v>
      </c>
    </row>
    <row r="93" spans="1:98" s="961" customFormat="1" ht="26.25" hidden="1" thickBot="1" x14ac:dyDescent="0.3">
      <c r="A93" s="2429" t="s">
        <v>2046</v>
      </c>
      <c r="B93" s="2430" t="s">
        <v>2540</v>
      </c>
      <c r="C93" s="1570">
        <v>2019</v>
      </c>
      <c r="D93" s="979" t="s">
        <v>2506</v>
      </c>
      <c r="E93" s="1591" t="s">
        <v>80</v>
      </c>
      <c r="F93" s="1536" t="s">
        <v>80</v>
      </c>
      <c r="G93" s="1600" t="s">
        <v>2047</v>
      </c>
      <c r="H93" s="980">
        <v>822.65480000000002</v>
      </c>
      <c r="I93" s="2533">
        <f t="shared" si="13"/>
        <v>0</v>
      </c>
      <c r="J93" s="2643">
        <f t="shared" si="10"/>
        <v>822.65480000000002</v>
      </c>
      <c r="K93" s="2643">
        <f t="shared" si="11"/>
        <v>822.65480000000002</v>
      </c>
      <c r="L93" s="2643">
        <f t="shared" si="12"/>
        <v>0</v>
      </c>
      <c r="M93" s="1759"/>
      <c r="N93" s="2361">
        <v>0</v>
      </c>
      <c r="O93" s="1548">
        <v>0</v>
      </c>
      <c r="P93" s="1541">
        <v>0</v>
      </c>
      <c r="Q93" s="1542">
        <v>0</v>
      </c>
      <c r="R93" s="2344">
        <v>25.463239999999928</v>
      </c>
      <c r="S93" s="1636">
        <v>-25.463239999999928</v>
      </c>
      <c r="T93" s="1545">
        <v>0</v>
      </c>
      <c r="U93" s="3182"/>
      <c r="V93" s="3182"/>
      <c r="W93" s="3182"/>
      <c r="X93" s="3182"/>
      <c r="Y93" s="1637">
        <v>0</v>
      </c>
      <c r="Z93" s="1539">
        <v>0</v>
      </c>
      <c r="AA93" s="1540">
        <v>0</v>
      </c>
      <c r="AB93" s="1539">
        <v>0</v>
      </c>
      <c r="AC93" s="1570" t="s">
        <v>2199</v>
      </c>
      <c r="AD93" s="979" t="s">
        <v>1329</v>
      </c>
      <c r="AE93" s="1638" t="s">
        <v>355</v>
      </c>
      <c r="AF93" s="1589" t="s">
        <v>1283</v>
      </c>
      <c r="AG93" s="1589" t="s">
        <v>1283</v>
      </c>
      <c r="AH93" s="2176">
        <v>12</v>
      </c>
      <c r="AI93" s="2175"/>
      <c r="AJ93" s="2416">
        <v>25.463240000000042</v>
      </c>
      <c r="AK93" s="516">
        <v>0</v>
      </c>
      <c r="AL93" s="1215">
        <v>0</v>
      </c>
      <c r="AM93" s="1217">
        <v>0</v>
      </c>
      <c r="AN93" s="1295"/>
      <c r="AO93" s="1295"/>
      <c r="AP93" s="1218"/>
      <c r="AQ93" s="1225" t="s">
        <v>74</v>
      </c>
      <c r="AR93" s="1219">
        <v>4</v>
      </c>
      <c r="AS93" s="1219">
        <v>5</v>
      </c>
      <c r="AT93" s="674">
        <v>6</v>
      </c>
      <c r="AU93" s="1296"/>
      <c r="AV93" s="455"/>
      <c r="AW93" s="1525"/>
      <c r="AX93" s="1525"/>
      <c r="AY93" s="1525"/>
      <c r="AZ93" s="1570" t="s">
        <v>2199</v>
      </c>
      <c r="BA93" s="1570"/>
      <c r="BB93" s="1639" t="s">
        <v>2499</v>
      </c>
      <c r="BC93" s="1526" t="s">
        <v>1209</v>
      </c>
      <c r="BD93" s="2177" t="s">
        <v>1209</v>
      </c>
      <c r="BE93" s="2178"/>
      <c r="BF93" s="2179"/>
      <c r="BG93" s="2168"/>
      <c r="BH93" s="407"/>
      <c r="BI93" s="2180"/>
      <c r="BJ93" s="2170"/>
      <c r="BK93" s="707"/>
      <c r="BL93" s="980">
        <v>0</v>
      </c>
      <c r="BM93" s="1759">
        <v>822.65480000000002</v>
      </c>
      <c r="BN93" s="2112">
        <v>848.11804000000006</v>
      </c>
      <c r="BO93" s="1640">
        <v>848.11804000000006</v>
      </c>
      <c r="BP93" s="2317">
        <v>848.11804000000006</v>
      </c>
      <c r="BQ93" s="1641">
        <v>0</v>
      </c>
      <c r="BR93" s="1653">
        <v>823</v>
      </c>
      <c r="BS93" s="2133">
        <v>0</v>
      </c>
      <c r="BT93" s="54">
        <v>0</v>
      </c>
      <c r="BU93" s="1603"/>
      <c r="BV93" s="1632">
        <v>0</v>
      </c>
      <c r="BW93" s="2181">
        <v>0</v>
      </c>
      <c r="BX93" s="2182">
        <v>0</v>
      </c>
      <c r="BY93" s="2183"/>
      <c r="BZ93" s="2184"/>
      <c r="CA93" s="2184"/>
      <c r="CB93" s="2185"/>
      <c r="CC93" s="2186"/>
      <c r="CD93" s="1372"/>
      <c r="CE93" s="2187"/>
      <c r="CG93" s="1633">
        <v>0</v>
      </c>
      <c r="CH93" s="1635">
        <v>0</v>
      </c>
      <c r="CI93" s="1634">
        <v>0</v>
      </c>
      <c r="CJ93" s="2161">
        <v>848.11804000000006</v>
      </c>
    </row>
    <row r="94" spans="1:98" s="1013" customFormat="1" ht="26.25" hidden="1" thickBot="1" x14ac:dyDescent="0.3">
      <c r="A94" s="173" t="s">
        <v>2048</v>
      </c>
      <c r="B94" s="144" t="s">
        <v>1230</v>
      </c>
      <c r="C94" s="191">
        <v>2019</v>
      </c>
      <c r="D94" s="75" t="s">
        <v>2506</v>
      </c>
      <c r="E94" s="76" t="s">
        <v>80</v>
      </c>
      <c r="F94" s="76" t="s">
        <v>80</v>
      </c>
      <c r="G94" s="221" t="s">
        <v>2049</v>
      </c>
      <c r="H94" s="25">
        <v>0</v>
      </c>
      <c r="I94" s="25">
        <v>0</v>
      </c>
      <c r="J94" s="42">
        <v>0</v>
      </c>
      <c r="K94" s="3105"/>
      <c r="L94" s="3105"/>
      <c r="M94" s="3105"/>
      <c r="N94" s="374">
        <v>0</v>
      </c>
      <c r="O94" s="437">
        <v>0</v>
      </c>
      <c r="P94" s="374">
        <v>0</v>
      </c>
      <c r="Q94" s="44">
        <v>0</v>
      </c>
      <c r="R94" s="2618">
        <v>6871.5343400000002</v>
      </c>
      <c r="S94" s="1452">
        <f>-6872+0.46566</f>
        <v>-6871.5343400000002</v>
      </c>
      <c r="T94" s="2732">
        <f>R94+S94</f>
        <v>0</v>
      </c>
      <c r="U94" s="542">
        <v>0</v>
      </c>
      <c r="V94" s="375">
        <v>0</v>
      </c>
      <c r="W94" s="375">
        <v>0</v>
      </c>
      <c r="X94" s="44">
        <v>0</v>
      </c>
      <c r="Y94" s="130">
        <v>0</v>
      </c>
      <c r="Z94" s="27">
        <v>0</v>
      </c>
      <c r="AA94" s="44">
        <v>0</v>
      </c>
      <c r="AB94" s="40">
        <v>0</v>
      </c>
      <c r="AC94" s="75" t="s">
        <v>2712</v>
      </c>
      <c r="AD94" s="75" t="s">
        <v>1300</v>
      </c>
      <c r="AE94" s="713" t="s">
        <v>986</v>
      </c>
      <c r="AF94" s="379" t="s">
        <v>1283</v>
      </c>
      <c r="AG94" s="74" t="s">
        <v>1283</v>
      </c>
      <c r="AH94" s="76">
        <v>9</v>
      </c>
      <c r="AI94" s="1034"/>
      <c r="AJ94" s="1035"/>
      <c r="AK94" s="1011">
        <f>H94-I94-T94-Y94-Z94-AA94-AB94</f>
        <v>0</v>
      </c>
      <c r="AL94" s="1084">
        <f>T94-R94-S94</f>
        <v>0</v>
      </c>
      <c r="AM94" s="2991">
        <f>T94-N94-O94-P94-Q94</f>
        <v>0</v>
      </c>
      <c r="AN94" s="513">
        <f>Y94-U94-V94-W94-X94</f>
        <v>0</v>
      </c>
      <c r="AO94" s="2992"/>
      <c r="AP94" s="496"/>
      <c r="AQ94" s="662" t="s">
        <v>74</v>
      </c>
      <c r="AR94" s="175">
        <v>4</v>
      </c>
      <c r="AS94" s="175">
        <v>5</v>
      </c>
      <c r="AT94" s="3170">
        <v>8</v>
      </c>
      <c r="AU94" s="1148"/>
      <c r="AV94" s="435"/>
      <c r="AW94" s="432"/>
      <c r="AX94" s="432"/>
      <c r="AY94" s="432" t="s">
        <v>1209</v>
      </c>
      <c r="AZ94" s="3061" t="s">
        <v>2500</v>
      </c>
      <c r="BA94" s="3061" t="s">
        <v>2500</v>
      </c>
      <c r="BB94" s="191" t="s">
        <v>1209</v>
      </c>
      <c r="BC94" s="1916" t="s">
        <v>1209</v>
      </c>
      <c r="BD94" s="1917"/>
      <c r="BE94" s="773"/>
      <c r="BF94" s="582"/>
      <c r="BG94" s="755"/>
      <c r="BH94" s="899"/>
      <c r="BI94" s="925"/>
      <c r="BJ94" s="433"/>
      <c r="BK94" s="25">
        <v>0</v>
      </c>
      <c r="BL94" s="1438">
        <v>0</v>
      </c>
      <c r="BM94" s="1438"/>
      <c r="BN94" s="1734">
        <v>6871.5343400000002</v>
      </c>
      <c r="BO94" s="2314">
        <v>6871.5343400000002</v>
      </c>
      <c r="BP94" s="2994">
        <v>0</v>
      </c>
      <c r="BQ94" s="1667">
        <v>0</v>
      </c>
      <c r="BR94" s="2118">
        <v>0</v>
      </c>
      <c r="BS94" s="1714">
        <f>BP94+BR94</f>
        <v>0</v>
      </c>
      <c r="BT94" s="841"/>
      <c r="BU94" s="1482">
        <v>0</v>
      </c>
      <c r="BV94" s="866">
        <v>0</v>
      </c>
      <c r="BW94" s="1913">
        <v>0</v>
      </c>
      <c r="BX94" s="1918"/>
      <c r="BY94" s="590"/>
      <c r="BZ94" s="590"/>
      <c r="CA94" s="1919"/>
      <c r="CB94" s="1914"/>
      <c r="CC94" s="1915"/>
      <c r="CD94" s="591"/>
      <c r="CF94" s="374">
        <v>0</v>
      </c>
      <c r="CG94" s="375">
        <v>0</v>
      </c>
      <c r="CH94" s="1037">
        <v>0</v>
      </c>
      <c r="CI94" s="1016">
        <v>6871.5343400000002</v>
      </c>
      <c r="CJ94" s="1552">
        <v>0</v>
      </c>
      <c r="CK94" s="1552">
        <v>0</v>
      </c>
      <c r="CL94" s="2980">
        <v>0</v>
      </c>
      <c r="CM94" s="823">
        <v>0</v>
      </c>
      <c r="CN94" s="2954">
        <v>0</v>
      </c>
      <c r="CO94" s="2954">
        <v>0</v>
      </c>
      <c r="CP94" s="2954">
        <v>0</v>
      </c>
      <c r="CQ94" s="823">
        <v>0</v>
      </c>
      <c r="CR94" s="3105"/>
      <c r="CS94" s="2980"/>
      <c r="CT94" s="2765"/>
    </row>
    <row r="95" spans="1:98" ht="26.25" hidden="1" thickBot="1" x14ac:dyDescent="0.3">
      <c r="A95" s="2429" t="s">
        <v>2050</v>
      </c>
      <c r="B95" s="2430" t="s">
        <v>2541</v>
      </c>
      <c r="C95" s="1570">
        <v>2019</v>
      </c>
      <c r="D95" s="979" t="s">
        <v>2506</v>
      </c>
      <c r="E95" s="1536" t="s">
        <v>80</v>
      </c>
      <c r="F95" s="1536" t="s">
        <v>80</v>
      </c>
      <c r="G95" s="1600" t="s">
        <v>2051</v>
      </c>
      <c r="H95" s="980">
        <f>2617.41997-43.43537</f>
        <v>2573.9845999999998</v>
      </c>
      <c r="I95" s="980">
        <v>2573.9845999999998</v>
      </c>
      <c r="J95" s="990"/>
      <c r="K95" s="822">
        <v>0</v>
      </c>
      <c r="L95" s="2772">
        <v>0</v>
      </c>
      <c r="M95" s="2781"/>
      <c r="N95" s="1825">
        <v>0</v>
      </c>
      <c r="O95" s="1540">
        <v>0</v>
      </c>
      <c r="P95" s="1541">
        <v>0</v>
      </c>
      <c r="Q95" s="1542">
        <v>0</v>
      </c>
      <c r="R95" s="2734">
        <v>43.435370000000098</v>
      </c>
      <c r="S95" s="2735">
        <v>-43.435369999999999</v>
      </c>
      <c r="T95" s="2618">
        <f>R95+S95</f>
        <v>9.9475983006414026E-14</v>
      </c>
      <c r="U95" s="2734"/>
      <c r="V95" s="2734"/>
      <c r="W95" s="2734"/>
      <c r="X95" s="2734"/>
      <c r="Y95" s="1637">
        <v>0</v>
      </c>
      <c r="Z95" s="1539">
        <v>0</v>
      </c>
      <c r="AA95" s="1540">
        <v>0</v>
      </c>
      <c r="AB95" s="1539">
        <v>0</v>
      </c>
      <c r="AC95" s="1405" t="s">
        <v>2609</v>
      </c>
      <c r="AD95" s="979" t="s">
        <v>1329</v>
      </c>
      <c r="AE95" s="1638" t="s">
        <v>1547</v>
      </c>
      <c r="AF95" s="1589" t="s">
        <v>1283</v>
      </c>
      <c r="AG95" s="1590" t="s">
        <v>1283</v>
      </c>
      <c r="AH95" s="1536">
        <v>9</v>
      </c>
      <c r="AI95" s="732"/>
      <c r="AJ95" s="363"/>
      <c r="AK95" s="516">
        <f>H95-I95-T95-Y95-Z95-AA95-AB95</f>
        <v>-9.9475983006414026E-14</v>
      </c>
      <c r="AL95" s="391">
        <f>T95-R95-S95</f>
        <v>0</v>
      </c>
      <c r="AM95" s="509">
        <f>T95-N95-O95-P95-Q95</f>
        <v>9.9475983006414026E-14</v>
      </c>
      <c r="AN95" s="1140"/>
      <c r="AO95" s="1140"/>
      <c r="AP95" s="338"/>
      <c r="AQ95" s="923" t="s">
        <v>74</v>
      </c>
      <c r="AR95" s="248">
        <v>4</v>
      </c>
      <c r="AS95" s="248">
        <v>5</v>
      </c>
      <c r="AT95" s="2737">
        <v>7</v>
      </c>
      <c r="AU95" s="1135"/>
      <c r="AV95" s="435"/>
      <c r="AW95" s="81"/>
      <c r="AX95" s="81"/>
      <c r="AY95" s="1405" t="s">
        <v>2609</v>
      </c>
      <c r="AZ95" s="1628" t="s">
        <v>2542</v>
      </c>
      <c r="BA95" s="1628"/>
      <c r="BB95" s="1628" t="s">
        <v>2501</v>
      </c>
      <c r="BC95" s="189" t="s">
        <v>1209</v>
      </c>
      <c r="BD95" s="1236" t="s">
        <v>1209</v>
      </c>
      <c r="BE95" s="1223"/>
      <c r="BF95" s="765"/>
      <c r="BG95" s="582"/>
      <c r="BH95" s="390"/>
      <c r="BI95" s="926"/>
      <c r="BJ95" s="925"/>
      <c r="BK95" s="2"/>
      <c r="BL95" s="20">
        <v>0</v>
      </c>
      <c r="BM95" s="364">
        <v>2573.9845999999998</v>
      </c>
      <c r="BN95" s="364"/>
      <c r="BO95" s="1577">
        <v>2617.4199700000004</v>
      </c>
      <c r="BP95" s="2313">
        <v>2617.4199700000004</v>
      </c>
      <c r="BQ95" s="1579">
        <v>0</v>
      </c>
      <c r="BR95" s="1666">
        <v>0</v>
      </c>
      <c r="BS95" s="1581">
        <v>0</v>
      </c>
      <c r="BT95" s="54">
        <f>BQ95+BS95</f>
        <v>0</v>
      </c>
      <c r="BU95" s="840"/>
      <c r="BV95" s="1443">
        <v>0</v>
      </c>
      <c r="BW95" s="264">
        <v>0</v>
      </c>
      <c r="BX95" s="973">
        <v>0</v>
      </c>
      <c r="BY95" s="974"/>
      <c r="BZ95" s="9"/>
      <c r="CA95" s="9"/>
      <c r="CB95" s="1224"/>
      <c r="CC95" s="1102"/>
      <c r="CD95" s="821"/>
      <c r="CE95" s="318"/>
      <c r="CG95" s="253">
        <v>0</v>
      </c>
      <c r="CH95" s="365">
        <v>0</v>
      </c>
      <c r="CI95" s="266">
        <v>0</v>
      </c>
      <c r="CJ95" s="369">
        <v>2617.4199700000004</v>
      </c>
      <c r="CK95" s="2672">
        <v>0</v>
      </c>
      <c r="CL95" s="2672">
        <v>0</v>
      </c>
      <c r="CM95" s="1209">
        <v>0</v>
      </c>
      <c r="CN95" s="1209"/>
      <c r="CO95" s="2766"/>
    </row>
    <row r="96" spans="1:98" s="985" customFormat="1" ht="26.25" hidden="1" thickBot="1" x14ac:dyDescent="0.3">
      <c r="A96" s="2429" t="s">
        <v>2052</v>
      </c>
      <c r="B96" s="2430" t="s">
        <v>2323</v>
      </c>
      <c r="C96" s="1570">
        <v>2019</v>
      </c>
      <c r="D96" s="979" t="s">
        <v>2506</v>
      </c>
      <c r="E96" s="1591" t="s">
        <v>80</v>
      </c>
      <c r="F96" s="1536" t="s">
        <v>80</v>
      </c>
      <c r="G96" s="1600" t="s">
        <v>2053</v>
      </c>
      <c r="H96" s="980">
        <v>769.40027999999995</v>
      </c>
      <c r="I96" s="2533">
        <f t="shared" si="13"/>
        <v>0</v>
      </c>
      <c r="J96" s="2643">
        <f t="shared" si="10"/>
        <v>769.40027999999995</v>
      </c>
      <c r="K96" s="2643">
        <f t="shared" si="11"/>
        <v>769.40027999999995</v>
      </c>
      <c r="L96" s="2643">
        <f t="shared" si="12"/>
        <v>0</v>
      </c>
      <c r="M96" s="1759"/>
      <c r="N96" s="2361">
        <v>0</v>
      </c>
      <c r="O96" s="1548">
        <v>0</v>
      </c>
      <c r="P96" s="1541">
        <v>0</v>
      </c>
      <c r="Q96" s="1542">
        <v>0</v>
      </c>
      <c r="R96" s="2344">
        <v>14.135220000000004</v>
      </c>
      <c r="S96" s="1636">
        <v>-14.135220000000004</v>
      </c>
      <c r="T96" s="1545">
        <v>0</v>
      </c>
      <c r="U96" s="3182"/>
      <c r="V96" s="3182"/>
      <c r="W96" s="3182"/>
      <c r="X96" s="3182"/>
      <c r="Y96" s="1637">
        <v>0</v>
      </c>
      <c r="Z96" s="1539">
        <v>0</v>
      </c>
      <c r="AA96" s="1540">
        <v>0</v>
      </c>
      <c r="AB96" s="1539">
        <v>0</v>
      </c>
      <c r="AC96" s="1570" t="s">
        <v>2395</v>
      </c>
      <c r="AD96" s="979" t="s">
        <v>1329</v>
      </c>
      <c r="AE96" s="1638" t="s">
        <v>355</v>
      </c>
      <c r="AF96" s="1589" t="s">
        <v>1283</v>
      </c>
      <c r="AG96" s="1589" t="s">
        <v>1283</v>
      </c>
      <c r="AH96" s="2096">
        <v>8</v>
      </c>
      <c r="AI96" s="2166"/>
      <c r="AJ96" s="2416">
        <v>14.135220000000004</v>
      </c>
      <c r="AK96" s="516">
        <v>0</v>
      </c>
      <c r="AL96" s="1320">
        <v>0</v>
      </c>
      <c r="AM96" s="512">
        <v>0</v>
      </c>
      <c r="AN96" s="1171"/>
      <c r="AO96" s="1171"/>
      <c r="AP96" s="1177"/>
      <c r="AQ96" s="674" t="s">
        <v>74</v>
      </c>
      <c r="AR96" s="367">
        <v>4</v>
      </c>
      <c r="AS96" s="367">
        <v>5</v>
      </c>
      <c r="AT96" s="674">
        <v>6</v>
      </c>
      <c r="AU96" s="1178"/>
      <c r="AV96" s="455"/>
      <c r="AW96" s="1405"/>
      <c r="AX96" s="1405"/>
      <c r="AY96" s="1405"/>
      <c r="AZ96" s="1570" t="s">
        <v>2395</v>
      </c>
      <c r="BA96" s="1570"/>
      <c r="BB96" s="1570" t="s">
        <v>2395</v>
      </c>
      <c r="BC96" s="1570" t="s">
        <v>1209</v>
      </c>
      <c r="BD96" s="2167" t="s">
        <v>1209</v>
      </c>
      <c r="BE96" s="2059"/>
      <c r="BF96" s="981"/>
      <c r="BG96" s="2168"/>
      <c r="BH96" s="403"/>
      <c r="BI96" s="2169"/>
      <c r="BJ96" s="2170"/>
      <c r="BK96" s="454"/>
      <c r="BL96" s="980">
        <v>0</v>
      </c>
      <c r="BM96" s="1759">
        <v>769.40027999999995</v>
      </c>
      <c r="BN96" s="2112">
        <v>783.53549999999996</v>
      </c>
      <c r="BO96" s="2112">
        <v>783.53549999999996</v>
      </c>
      <c r="BP96" s="2315">
        <v>14.135220000000004</v>
      </c>
      <c r="BQ96" s="1538">
        <v>0</v>
      </c>
      <c r="BR96" s="1661">
        <v>770</v>
      </c>
      <c r="BS96" s="2127">
        <v>769.40027999999995</v>
      </c>
      <c r="BT96" s="54">
        <v>769.40027999999995</v>
      </c>
      <c r="BU96" s="1607"/>
      <c r="BV96" s="1538">
        <v>0</v>
      </c>
      <c r="BW96" s="1376">
        <v>0</v>
      </c>
      <c r="BX96" s="2071">
        <v>0</v>
      </c>
      <c r="BY96" s="2171"/>
      <c r="BZ96" s="2100"/>
      <c r="CA96" s="2100"/>
      <c r="CB96" s="2172"/>
      <c r="CC96" s="2173"/>
      <c r="CD96" s="2101"/>
      <c r="CE96" s="2174"/>
      <c r="CG96" s="1253">
        <v>0</v>
      </c>
      <c r="CH96" s="1541">
        <v>0</v>
      </c>
      <c r="CI96" s="1548">
        <v>0</v>
      </c>
      <c r="CJ96" s="2072">
        <v>783.53549999999996</v>
      </c>
    </row>
    <row r="97" spans="1:88" s="985" customFormat="1" ht="26.25" hidden="1" thickBot="1" x14ac:dyDescent="0.3">
      <c r="A97" s="2429" t="s">
        <v>2054</v>
      </c>
      <c r="B97" s="2430" t="s">
        <v>2320</v>
      </c>
      <c r="C97" s="1570">
        <v>2019</v>
      </c>
      <c r="D97" s="979" t="s">
        <v>2506</v>
      </c>
      <c r="E97" s="1536" t="s">
        <v>80</v>
      </c>
      <c r="F97" s="1536" t="s">
        <v>80</v>
      </c>
      <c r="G97" s="1600" t="s">
        <v>2055</v>
      </c>
      <c r="H97" s="980">
        <v>3753.5219299999999</v>
      </c>
      <c r="I97" s="2533">
        <f t="shared" si="13"/>
        <v>0</v>
      </c>
      <c r="J97" s="2643">
        <f t="shared" si="10"/>
        <v>3753.5219299999999</v>
      </c>
      <c r="K97" s="2643">
        <f t="shared" si="11"/>
        <v>3753.5219299999999</v>
      </c>
      <c r="L97" s="2643">
        <f t="shared" si="12"/>
        <v>0</v>
      </c>
      <c r="M97" s="1759"/>
      <c r="N97" s="2361">
        <v>0</v>
      </c>
      <c r="O97" s="1548">
        <v>0</v>
      </c>
      <c r="P97" s="1541">
        <v>0</v>
      </c>
      <c r="Q97" s="1542">
        <v>0</v>
      </c>
      <c r="R97" s="2344">
        <v>86.201320000000123</v>
      </c>
      <c r="S97" s="1636">
        <v>-86.201320000000123</v>
      </c>
      <c r="T97" s="1545">
        <v>0</v>
      </c>
      <c r="U97" s="3182"/>
      <c r="V97" s="3182"/>
      <c r="W97" s="3182"/>
      <c r="X97" s="3182"/>
      <c r="Y97" s="1637">
        <v>0</v>
      </c>
      <c r="Z97" s="1539">
        <v>0</v>
      </c>
      <c r="AA97" s="1540">
        <v>0</v>
      </c>
      <c r="AB97" s="1539">
        <v>0</v>
      </c>
      <c r="AC97" s="1570" t="s">
        <v>2396</v>
      </c>
      <c r="AD97" s="979" t="s">
        <v>1329</v>
      </c>
      <c r="AE97" s="1638" t="s">
        <v>845</v>
      </c>
      <c r="AF97" s="1589" t="s">
        <v>1283</v>
      </c>
      <c r="AG97" s="1589" t="s">
        <v>1283</v>
      </c>
      <c r="AH97" s="2096">
        <v>11</v>
      </c>
      <c r="AI97" s="2166"/>
      <c r="AJ97" s="2416">
        <v>86.201320000000123</v>
      </c>
      <c r="AK97" s="516">
        <v>0</v>
      </c>
      <c r="AL97" s="1320">
        <v>0</v>
      </c>
      <c r="AM97" s="512">
        <v>0</v>
      </c>
      <c r="AN97" s="1171"/>
      <c r="AO97" s="1171"/>
      <c r="AP97" s="1177"/>
      <c r="AQ97" s="674" t="s">
        <v>74</v>
      </c>
      <c r="AR97" s="367">
        <v>4</v>
      </c>
      <c r="AS97" s="367">
        <v>5</v>
      </c>
      <c r="AT97" s="674">
        <v>6</v>
      </c>
      <c r="AU97" s="1178"/>
      <c r="AV97" s="455"/>
      <c r="AW97" s="1405"/>
      <c r="AX97" s="1405"/>
      <c r="AY97" s="1405"/>
      <c r="AZ97" s="1570" t="s">
        <v>2396</v>
      </c>
      <c r="BA97" s="1570"/>
      <c r="BB97" s="1570" t="s">
        <v>2396</v>
      </c>
      <c r="BC97" s="1570" t="s">
        <v>1209</v>
      </c>
      <c r="BD97" s="2167" t="s">
        <v>1209</v>
      </c>
      <c r="BE97" s="2059"/>
      <c r="BF97" s="981"/>
      <c r="BG97" s="2168"/>
      <c r="BH97" s="403"/>
      <c r="BI97" s="2169"/>
      <c r="BJ97" s="2170"/>
      <c r="BK97" s="454"/>
      <c r="BL97" s="980">
        <v>0</v>
      </c>
      <c r="BM97" s="1759">
        <v>3753.5219299999999</v>
      </c>
      <c r="BN97" s="2112">
        <v>3839.72325</v>
      </c>
      <c r="BO97" s="2112">
        <v>3839.72325</v>
      </c>
      <c r="BP97" s="2315">
        <v>86.201320000000123</v>
      </c>
      <c r="BQ97" s="1538">
        <v>0</v>
      </c>
      <c r="BR97" s="1661">
        <v>3753.5219299999999</v>
      </c>
      <c r="BS97" s="2127">
        <v>3753.5219299999999</v>
      </c>
      <c r="BT97" s="54">
        <v>3753.5219299999999</v>
      </c>
      <c r="BU97" s="1607"/>
      <c r="BV97" s="1538">
        <v>0</v>
      </c>
      <c r="BW97" s="1376">
        <v>0</v>
      </c>
      <c r="BX97" s="2071">
        <v>0</v>
      </c>
      <c r="BY97" s="2171"/>
      <c r="BZ97" s="2100"/>
      <c r="CA97" s="2100"/>
      <c r="CB97" s="2172"/>
      <c r="CC97" s="2173"/>
      <c r="CD97" s="2101"/>
      <c r="CE97" s="2174"/>
      <c r="CG97" s="1253">
        <v>0</v>
      </c>
      <c r="CH97" s="1541">
        <v>0</v>
      </c>
      <c r="CI97" s="1548">
        <v>0</v>
      </c>
      <c r="CJ97" s="2072">
        <v>3839.72325</v>
      </c>
    </row>
    <row r="98" spans="1:88" s="961" customFormat="1" ht="26.25" hidden="1" thickBot="1" x14ac:dyDescent="0.3">
      <c r="A98" s="2429" t="s">
        <v>2057</v>
      </c>
      <c r="B98" s="2430" t="s">
        <v>2543</v>
      </c>
      <c r="C98" s="1570">
        <v>2019</v>
      </c>
      <c r="D98" s="979" t="s">
        <v>2506</v>
      </c>
      <c r="E98" s="1591" t="s">
        <v>80</v>
      </c>
      <c r="F98" s="1536" t="s">
        <v>80</v>
      </c>
      <c r="G98" s="1600" t="s">
        <v>2058</v>
      </c>
      <c r="H98" s="980">
        <v>2337.6242900000002</v>
      </c>
      <c r="I98" s="2533">
        <f t="shared" si="13"/>
        <v>0</v>
      </c>
      <c r="J98" s="2643">
        <f t="shared" si="10"/>
        <v>2337.6242900000002</v>
      </c>
      <c r="K98" s="2643">
        <f t="shared" si="11"/>
        <v>2337.6242900000002</v>
      </c>
      <c r="L98" s="2643">
        <f t="shared" si="12"/>
        <v>0</v>
      </c>
      <c r="M98" s="1759"/>
      <c r="N98" s="2364">
        <v>0</v>
      </c>
      <c r="O98" s="1541">
        <v>0</v>
      </c>
      <c r="P98" s="1541">
        <v>0</v>
      </c>
      <c r="Q98" s="1542">
        <v>0</v>
      </c>
      <c r="R98" s="2338">
        <v>335.27901999999995</v>
      </c>
      <c r="S98" s="1636">
        <v>-335.27902</v>
      </c>
      <c r="T98" s="1545">
        <v>0</v>
      </c>
      <c r="U98" s="3182"/>
      <c r="V98" s="3182"/>
      <c r="W98" s="3182"/>
      <c r="X98" s="3182"/>
      <c r="Y98" s="1637">
        <v>0</v>
      </c>
      <c r="Z98" s="1539">
        <v>0</v>
      </c>
      <c r="AA98" s="1540">
        <v>0</v>
      </c>
      <c r="AB98" s="1539">
        <v>0</v>
      </c>
      <c r="AC98" s="1570" t="s">
        <v>2544</v>
      </c>
      <c r="AD98" s="979" t="s">
        <v>1329</v>
      </c>
      <c r="AE98" s="1638" t="s">
        <v>355</v>
      </c>
      <c r="AF98" s="1589" t="s">
        <v>1283</v>
      </c>
      <c r="AG98" s="1589" t="s">
        <v>1283</v>
      </c>
      <c r="AH98" s="2176">
        <v>10</v>
      </c>
      <c r="AI98" s="2175" t="s">
        <v>2943</v>
      </c>
      <c r="AJ98" s="2416">
        <v>335.27901999999995</v>
      </c>
      <c r="AK98" s="516">
        <v>0</v>
      </c>
      <c r="AL98" s="1215">
        <v>0</v>
      </c>
      <c r="AM98" s="1217">
        <v>0</v>
      </c>
      <c r="AN98" s="1295"/>
      <c r="AO98" s="1295"/>
      <c r="AP98" s="1218"/>
      <c r="AQ98" s="1225" t="s">
        <v>74</v>
      </c>
      <c r="AR98" s="1219">
        <v>4</v>
      </c>
      <c r="AS98" s="1219">
        <v>5</v>
      </c>
      <c r="AT98" s="674">
        <v>6</v>
      </c>
      <c r="AU98" s="1296"/>
      <c r="AV98" s="455"/>
      <c r="AW98" s="1525"/>
      <c r="AX98" s="1525"/>
      <c r="AY98" s="1525"/>
      <c r="AZ98" s="1570" t="s">
        <v>2544</v>
      </c>
      <c r="BA98" s="1570"/>
      <c r="BB98" s="1639" t="s">
        <v>2502</v>
      </c>
      <c r="BC98" s="1526" t="s">
        <v>1209</v>
      </c>
      <c r="BD98" s="2177" t="s">
        <v>1209</v>
      </c>
      <c r="BE98" s="2178"/>
      <c r="BF98" s="2179"/>
      <c r="BG98" s="2168"/>
      <c r="BH98" s="407"/>
      <c r="BI98" s="2180"/>
      <c r="BJ98" s="2170"/>
      <c r="BK98" s="707"/>
      <c r="BL98" s="980"/>
      <c r="BM98" s="1759">
        <v>2337.6242900000002</v>
      </c>
      <c r="BN98" s="2112">
        <v>2672.9033100000001</v>
      </c>
      <c r="BO98" s="1640">
        <v>2672.9033100000001</v>
      </c>
      <c r="BP98" s="2317">
        <v>2672.9033100000001</v>
      </c>
      <c r="BQ98" s="1641">
        <v>0</v>
      </c>
      <c r="BR98" s="1653">
        <v>2337.6242900000002</v>
      </c>
      <c r="BS98" s="2133">
        <v>0</v>
      </c>
      <c r="BT98" s="54">
        <v>0</v>
      </c>
      <c r="BU98" s="1603"/>
      <c r="BV98" s="1632">
        <v>0</v>
      </c>
      <c r="BW98" s="2181">
        <v>0</v>
      </c>
      <c r="BX98" s="2182">
        <v>0</v>
      </c>
      <c r="BY98" s="2183"/>
      <c r="BZ98" s="2184"/>
      <c r="CA98" s="2184"/>
      <c r="CB98" s="2185"/>
      <c r="CC98" s="2186"/>
      <c r="CD98" s="1372"/>
      <c r="CE98" s="2187"/>
      <c r="CG98" s="1633">
        <v>0</v>
      </c>
      <c r="CH98" s="1635">
        <v>0</v>
      </c>
      <c r="CI98" s="1634">
        <v>0</v>
      </c>
      <c r="CJ98" s="2161">
        <v>2672.9033100000001</v>
      </c>
    </row>
    <row r="99" spans="1:88" s="961" customFormat="1" ht="26.25" hidden="1" thickBot="1" x14ac:dyDescent="0.3">
      <c r="A99" s="2429" t="s">
        <v>2059</v>
      </c>
      <c r="B99" s="2430" t="s">
        <v>2545</v>
      </c>
      <c r="C99" s="1570">
        <v>2019</v>
      </c>
      <c r="D99" s="979" t="s">
        <v>2506</v>
      </c>
      <c r="E99" s="1591" t="s">
        <v>80</v>
      </c>
      <c r="F99" s="1536" t="s">
        <v>80</v>
      </c>
      <c r="G99" s="1600" t="s">
        <v>2060</v>
      </c>
      <c r="H99" s="980">
        <v>576.11125000000004</v>
      </c>
      <c r="I99" s="2533">
        <f t="shared" si="13"/>
        <v>0</v>
      </c>
      <c r="J99" s="2643">
        <f t="shared" si="10"/>
        <v>576.11125000000004</v>
      </c>
      <c r="K99" s="2643">
        <f t="shared" si="11"/>
        <v>576.11125000000004</v>
      </c>
      <c r="L99" s="2643">
        <f t="shared" si="12"/>
        <v>0</v>
      </c>
      <c r="M99" s="1759"/>
      <c r="N99" s="2361">
        <v>0</v>
      </c>
      <c r="O99" s="1548">
        <v>0</v>
      </c>
      <c r="P99" s="1541">
        <v>0</v>
      </c>
      <c r="Q99" s="1542">
        <v>0</v>
      </c>
      <c r="R99" s="2338">
        <v>209.62675000000002</v>
      </c>
      <c r="S99" s="1636">
        <v>-209.62675000000002</v>
      </c>
      <c r="T99" s="1545">
        <v>0</v>
      </c>
      <c r="U99" s="3182"/>
      <c r="V99" s="3182"/>
      <c r="W99" s="3182"/>
      <c r="X99" s="3182"/>
      <c r="Y99" s="1637">
        <v>0</v>
      </c>
      <c r="Z99" s="1539">
        <v>0</v>
      </c>
      <c r="AA99" s="1540">
        <v>0</v>
      </c>
      <c r="AB99" s="1539">
        <v>0</v>
      </c>
      <c r="AC99" s="1570" t="s">
        <v>2546</v>
      </c>
      <c r="AD99" s="979" t="s">
        <v>1329</v>
      </c>
      <c r="AE99" s="1638" t="s">
        <v>355</v>
      </c>
      <c r="AF99" s="1589" t="s">
        <v>1283</v>
      </c>
      <c r="AG99" s="1589" t="s">
        <v>1283</v>
      </c>
      <c r="AH99" s="2176">
        <v>3</v>
      </c>
      <c r="AI99" s="2175"/>
      <c r="AJ99" s="2416">
        <v>209.62675000000002</v>
      </c>
      <c r="AK99" s="516">
        <v>0</v>
      </c>
      <c r="AL99" s="1215">
        <v>0</v>
      </c>
      <c r="AM99" s="1217">
        <v>0</v>
      </c>
      <c r="AN99" s="1295"/>
      <c r="AO99" s="1295"/>
      <c r="AP99" s="1218"/>
      <c r="AQ99" s="1225" t="s">
        <v>74</v>
      </c>
      <c r="AR99" s="1219">
        <v>4</v>
      </c>
      <c r="AS99" s="1219">
        <v>5</v>
      </c>
      <c r="AT99" s="674">
        <v>6</v>
      </c>
      <c r="AU99" s="1296"/>
      <c r="AV99" s="455"/>
      <c r="AW99" s="1525"/>
      <c r="AX99" s="1525"/>
      <c r="AY99" s="1525"/>
      <c r="AZ99" s="1570" t="s">
        <v>2546</v>
      </c>
      <c r="BA99" s="1570"/>
      <c r="BB99" s="1639" t="s">
        <v>2397</v>
      </c>
      <c r="BC99" s="1526" t="s">
        <v>1209</v>
      </c>
      <c r="BD99" s="2177" t="s">
        <v>1209</v>
      </c>
      <c r="BE99" s="2178"/>
      <c r="BF99" s="2179"/>
      <c r="BG99" s="2168"/>
      <c r="BH99" s="407"/>
      <c r="BI99" s="2180"/>
      <c r="BJ99" s="2170"/>
      <c r="BK99" s="707"/>
      <c r="BL99" s="980">
        <v>0</v>
      </c>
      <c r="BM99" s="1759">
        <v>576.11125000000004</v>
      </c>
      <c r="BN99" s="2112">
        <v>785.73800000000006</v>
      </c>
      <c r="BO99" s="1640">
        <v>785.73800000000006</v>
      </c>
      <c r="BP99" s="2317">
        <v>785.73800000000006</v>
      </c>
      <c r="BQ99" s="1641">
        <v>0</v>
      </c>
      <c r="BR99" s="1653">
        <v>577</v>
      </c>
      <c r="BS99" s="2133">
        <v>0</v>
      </c>
      <c r="BT99" s="54">
        <v>0</v>
      </c>
      <c r="BU99" s="1642"/>
      <c r="BV99" s="1632">
        <v>0</v>
      </c>
      <c r="BW99" s="2181">
        <v>0</v>
      </c>
      <c r="BX99" s="2182">
        <v>0</v>
      </c>
      <c r="BY99" s="2183"/>
      <c r="BZ99" s="2184"/>
      <c r="CA99" s="2184"/>
      <c r="CB99" s="2185"/>
      <c r="CC99" s="2186"/>
      <c r="CD99" s="1372"/>
      <c r="CE99" s="2187"/>
      <c r="CG99" s="1633">
        <v>0</v>
      </c>
      <c r="CH99" s="1635">
        <v>0</v>
      </c>
      <c r="CI99" s="1634">
        <v>0</v>
      </c>
      <c r="CJ99" s="2161">
        <v>785.73800000000006</v>
      </c>
    </row>
    <row r="100" spans="1:88" s="985" customFormat="1" ht="26.25" hidden="1" thickBot="1" x14ac:dyDescent="0.3">
      <c r="A100" s="2429" t="s">
        <v>2061</v>
      </c>
      <c r="B100" s="2430" t="s">
        <v>2300</v>
      </c>
      <c r="C100" s="1570">
        <v>2019</v>
      </c>
      <c r="D100" s="979" t="s">
        <v>2506</v>
      </c>
      <c r="E100" s="1591" t="s">
        <v>80</v>
      </c>
      <c r="F100" s="1536" t="s">
        <v>80</v>
      </c>
      <c r="G100" s="1600" t="s">
        <v>2062</v>
      </c>
      <c r="H100" s="980">
        <v>7092.4319999999998</v>
      </c>
      <c r="I100" s="2533">
        <f t="shared" si="13"/>
        <v>0</v>
      </c>
      <c r="J100" s="2643">
        <f t="shared" si="10"/>
        <v>7092.4319999999998</v>
      </c>
      <c r="K100" s="2643">
        <f t="shared" si="11"/>
        <v>7092.4319999999998</v>
      </c>
      <c r="L100" s="2643">
        <f t="shared" si="12"/>
        <v>0</v>
      </c>
      <c r="M100" s="1759"/>
      <c r="N100" s="2361">
        <v>0</v>
      </c>
      <c r="O100" s="1637">
        <v>0</v>
      </c>
      <c r="P100" s="1645">
        <v>0</v>
      </c>
      <c r="Q100" s="2362">
        <v>0</v>
      </c>
      <c r="R100" s="2631">
        <v>107.56800000000021</v>
      </c>
      <c r="S100" s="1636">
        <v>-107.56800000000021</v>
      </c>
      <c r="T100" s="1543">
        <v>0</v>
      </c>
      <c r="U100" s="3184"/>
      <c r="V100" s="3184"/>
      <c r="W100" s="3184"/>
      <c r="X100" s="3184"/>
      <c r="Y100" s="1637">
        <v>0</v>
      </c>
      <c r="Z100" s="1539">
        <v>0</v>
      </c>
      <c r="AA100" s="1540">
        <v>0</v>
      </c>
      <c r="AB100" s="1539">
        <v>0</v>
      </c>
      <c r="AC100" s="1570" t="s">
        <v>2503</v>
      </c>
      <c r="AD100" s="979" t="s">
        <v>1329</v>
      </c>
      <c r="AE100" s="1638" t="s">
        <v>845</v>
      </c>
      <c r="AF100" s="1589" t="s">
        <v>1283</v>
      </c>
      <c r="AG100" s="1589" t="s">
        <v>1283</v>
      </c>
      <c r="AH100" s="2096">
        <v>11</v>
      </c>
      <c r="AI100" s="2166"/>
      <c r="AJ100" s="2416">
        <v>107.56800000000021</v>
      </c>
      <c r="AK100" s="516">
        <v>0</v>
      </c>
      <c r="AL100" s="1320">
        <v>0</v>
      </c>
      <c r="AM100" s="512">
        <v>0</v>
      </c>
      <c r="AN100" s="1171"/>
      <c r="AO100" s="1171"/>
      <c r="AP100" s="1177"/>
      <c r="AQ100" s="674" t="s">
        <v>74</v>
      </c>
      <c r="AR100" s="367">
        <v>4</v>
      </c>
      <c r="AS100" s="367">
        <v>5</v>
      </c>
      <c r="AT100" s="674">
        <v>6</v>
      </c>
      <c r="AU100" s="1178"/>
      <c r="AV100" s="455"/>
      <c r="AW100" s="1405"/>
      <c r="AX100" s="1405"/>
      <c r="AY100" s="1405"/>
      <c r="AZ100" s="1570" t="s">
        <v>2503</v>
      </c>
      <c r="BA100" s="1570"/>
      <c r="BB100" s="1570" t="s">
        <v>2503</v>
      </c>
      <c r="BC100" s="1570" t="s">
        <v>1209</v>
      </c>
      <c r="BD100" s="2167" t="s">
        <v>1209</v>
      </c>
      <c r="BE100" s="2059"/>
      <c r="BF100" s="981"/>
      <c r="BG100" s="2168"/>
      <c r="BH100" s="403"/>
      <c r="BI100" s="2169"/>
      <c r="BJ100" s="2170"/>
      <c r="BK100" s="454"/>
      <c r="BL100" s="980">
        <v>0</v>
      </c>
      <c r="BM100" s="1759">
        <v>7092.4319999999998</v>
      </c>
      <c r="BN100" s="2112">
        <v>7200</v>
      </c>
      <c r="BO100" s="2112">
        <v>7200</v>
      </c>
      <c r="BP100" s="2315">
        <v>107.56800000000021</v>
      </c>
      <c r="BQ100" s="1538">
        <v>0</v>
      </c>
      <c r="BR100" s="1661">
        <v>7092.4319999999998</v>
      </c>
      <c r="BS100" s="2127">
        <v>7092.4319999999998</v>
      </c>
      <c r="BT100" s="54">
        <v>7092.4319999999998</v>
      </c>
      <c r="BU100" s="1607"/>
      <c r="BV100" s="1538">
        <v>0</v>
      </c>
      <c r="BW100" s="1376">
        <v>0</v>
      </c>
      <c r="BX100" s="2071">
        <v>0</v>
      </c>
      <c r="BY100" s="2171"/>
      <c r="BZ100" s="2100"/>
      <c r="CA100" s="2100"/>
      <c r="CB100" s="2172"/>
      <c r="CC100" s="2173"/>
      <c r="CD100" s="2101"/>
      <c r="CE100" s="2174"/>
      <c r="CG100" s="1253">
        <v>0</v>
      </c>
      <c r="CH100" s="1541">
        <v>0</v>
      </c>
      <c r="CI100" s="1548">
        <v>0</v>
      </c>
      <c r="CJ100" s="2072">
        <v>7200</v>
      </c>
    </row>
    <row r="101" spans="1:88" s="985" customFormat="1" ht="15.75" hidden="1" thickBot="1" x14ac:dyDescent="0.3">
      <c r="A101" s="2538"/>
      <c r="B101" s="2539"/>
      <c r="C101" s="1177"/>
      <c r="D101" s="2057"/>
      <c r="E101" s="2540"/>
      <c r="F101" s="2096"/>
      <c r="G101" s="1606"/>
      <c r="H101" s="2100"/>
      <c r="I101" s="2533">
        <f t="shared" si="13"/>
        <v>0</v>
      </c>
      <c r="J101" s="2643">
        <f t="shared" si="10"/>
        <v>0</v>
      </c>
      <c r="K101" s="2643">
        <f t="shared" si="11"/>
        <v>0</v>
      </c>
      <c r="L101" s="2643">
        <f t="shared" si="12"/>
        <v>0</v>
      </c>
      <c r="M101" s="2101"/>
      <c r="N101" s="2628"/>
      <c r="O101" s="2629"/>
      <c r="P101" s="2629"/>
      <c r="Q101" s="2543"/>
      <c r="R101" s="2630"/>
      <c r="S101" s="2544"/>
      <c r="T101" s="2632"/>
      <c r="U101" s="3185"/>
      <c r="V101" s="3185"/>
      <c r="W101" s="3185"/>
      <c r="X101" s="3185"/>
      <c r="Y101" s="2542"/>
      <c r="Z101" s="2545"/>
      <c r="AA101" s="2312"/>
      <c r="AB101" s="1876"/>
      <c r="AC101" s="2054"/>
      <c r="AD101" s="2057"/>
      <c r="AE101" s="2546"/>
      <c r="AF101" s="2547"/>
      <c r="AG101" s="2547"/>
      <c r="AH101" s="2096"/>
      <c r="AI101" s="2166"/>
      <c r="AJ101" s="2416"/>
      <c r="AK101" s="516"/>
      <c r="AL101" s="1320"/>
      <c r="AM101" s="512"/>
      <c r="AN101" s="1171"/>
      <c r="AO101" s="1171"/>
      <c r="AP101" s="1177"/>
      <c r="AQ101" s="674"/>
      <c r="AR101" s="367"/>
      <c r="AS101" s="367"/>
      <c r="AT101" s="674"/>
      <c r="AU101" s="1178"/>
      <c r="AV101" s="455"/>
      <c r="AW101" s="2054"/>
      <c r="AX101" s="2054"/>
      <c r="AY101" s="2054"/>
      <c r="AZ101" s="2054"/>
      <c r="BA101" s="2054"/>
      <c r="BB101" s="2054"/>
      <c r="BC101" s="2054"/>
      <c r="BD101" s="2548"/>
      <c r="BE101" s="2061"/>
      <c r="BF101" s="2054"/>
      <c r="BG101" s="2054"/>
      <c r="BH101" s="403"/>
      <c r="BI101" s="403"/>
      <c r="BJ101" s="366"/>
      <c r="BK101" s="454"/>
      <c r="BL101" s="2100"/>
      <c r="BM101" s="2101"/>
      <c r="BN101" s="2541"/>
      <c r="BO101" s="2541"/>
      <c r="BP101" s="2315"/>
      <c r="BQ101" s="2101"/>
      <c r="BR101" s="2549"/>
      <c r="BS101" s="2174"/>
      <c r="BT101" s="872"/>
      <c r="BU101" s="2550"/>
      <c r="BV101" s="2551"/>
      <c r="BW101" s="2101"/>
      <c r="BX101" s="2172"/>
      <c r="BY101" s="2552"/>
      <c r="BZ101" s="2100"/>
      <c r="CA101" s="2100"/>
      <c r="CB101" s="2172"/>
      <c r="CC101" s="2173"/>
      <c r="CD101" s="2101"/>
      <c r="CE101" s="2174"/>
      <c r="CG101" s="2458"/>
      <c r="CH101" s="2458"/>
      <c r="CI101" s="2553"/>
      <c r="CJ101" s="2554"/>
    </row>
    <row r="102" spans="1:88" ht="33" hidden="1" customHeight="1" thickBot="1" x14ac:dyDescent="0.3">
      <c r="A102" s="2310" t="s">
        <v>1209</v>
      </c>
      <c r="B102" s="2311" t="s">
        <v>1209</v>
      </c>
      <c r="C102" s="210" t="s">
        <v>1209</v>
      </c>
      <c r="D102" s="140" t="s">
        <v>1209</v>
      </c>
      <c r="E102" s="1188" t="s">
        <v>1209</v>
      </c>
      <c r="F102" s="210" t="s">
        <v>1209</v>
      </c>
      <c r="G102" s="1190" t="s">
        <v>1465</v>
      </c>
      <c r="H102" s="113">
        <f>SUM(H26:H101)</f>
        <v>497972.49634999997</v>
      </c>
      <c r="I102" s="2533">
        <f t="shared" si="13"/>
        <v>1168.8611600000295</v>
      </c>
      <c r="J102" s="2643">
        <f t="shared" si="10"/>
        <v>496803.63518999994</v>
      </c>
      <c r="K102" s="2643">
        <f t="shared" si="11"/>
        <v>497972.49634999997</v>
      </c>
      <c r="L102" s="2643">
        <f t="shared" si="12"/>
        <v>0</v>
      </c>
      <c r="M102" s="113"/>
      <c r="N102" s="113">
        <f t="shared" ref="N102:T102" si="14">SUM(N26:N101)</f>
        <v>0</v>
      </c>
      <c r="O102" s="113">
        <f t="shared" si="14"/>
        <v>0</v>
      </c>
      <c r="P102" s="113">
        <f t="shared" si="14"/>
        <v>0</v>
      </c>
      <c r="Q102" s="113">
        <f t="shared" si="14"/>
        <v>0</v>
      </c>
      <c r="R102" s="113">
        <f t="shared" si="14"/>
        <v>79049.633520000018</v>
      </c>
      <c r="S102" s="113">
        <f t="shared" si="14"/>
        <v>-79049.633520000018</v>
      </c>
      <c r="T102" s="113">
        <f t="shared" si="14"/>
        <v>2.8776980798284058E-13</v>
      </c>
      <c r="U102" s="113"/>
      <c r="V102" s="113"/>
      <c r="W102" s="113"/>
      <c r="X102" s="113"/>
      <c r="Y102" s="113">
        <f>SUM(Y26:Y101)</f>
        <v>0</v>
      </c>
      <c r="Z102" s="113">
        <f>SUM(Z26:Z101)</f>
        <v>0</v>
      </c>
      <c r="AA102" s="113">
        <f>SUM(AA26:AA101)</f>
        <v>0</v>
      </c>
      <c r="AB102" s="113">
        <f>SUM(AB26:AB101)</f>
        <v>0</v>
      </c>
      <c r="AC102" s="165" t="s">
        <v>2547</v>
      </c>
      <c r="AD102" s="114" t="s">
        <v>1209</v>
      </c>
      <c r="AE102" s="1505" t="s">
        <v>1209</v>
      </c>
      <c r="AF102" s="114" t="s">
        <v>1209</v>
      </c>
      <c r="AG102" s="122" t="s">
        <v>1209</v>
      </c>
      <c r="AH102" s="305" t="s">
        <v>1209</v>
      </c>
      <c r="AI102" s="723" t="s">
        <v>1209</v>
      </c>
      <c r="AJ102" s="2416">
        <v>262585.8548000002</v>
      </c>
      <c r="AK102" s="516">
        <v>-4.6566128730773926E-10</v>
      </c>
      <c r="AL102" s="352">
        <v>0</v>
      </c>
      <c r="AM102" s="514">
        <v>0</v>
      </c>
      <c r="AN102" s="1141"/>
      <c r="AO102" s="1141"/>
      <c r="AP102" s="441">
        <v>1</v>
      </c>
      <c r="AQ102" s="1521" t="s">
        <v>74</v>
      </c>
      <c r="AR102" s="443">
        <v>4</v>
      </c>
      <c r="AS102" s="443"/>
      <c r="AT102" s="443"/>
      <c r="AU102" s="1490"/>
      <c r="AV102" s="521"/>
      <c r="AW102" s="734"/>
      <c r="AX102" s="1524"/>
      <c r="AY102" s="1524"/>
      <c r="AZ102" s="165" t="s">
        <v>2547</v>
      </c>
      <c r="BA102" s="165"/>
      <c r="BB102" s="165" t="s">
        <v>2256</v>
      </c>
      <c r="BC102" s="165" t="s">
        <v>2234</v>
      </c>
      <c r="BD102" s="165" t="s">
        <v>2146</v>
      </c>
      <c r="BE102" s="165" t="s">
        <v>1695</v>
      </c>
      <c r="BF102" s="165" t="s">
        <v>1695</v>
      </c>
      <c r="BG102" s="165" t="s">
        <v>1373</v>
      </c>
      <c r="BH102" s="518"/>
      <c r="BI102" s="518"/>
      <c r="BJ102" s="519"/>
      <c r="BK102" s="525"/>
      <c r="BL102" s="113">
        <f t="shared" ref="BL102:CJ102" si="15">SUM(BL26:BL101)</f>
        <v>162626.36363000004</v>
      </c>
      <c r="BM102" s="113">
        <f t="shared" si="15"/>
        <v>334177.27155999991</v>
      </c>
      <c r="BN102" s="113">
        <f t="shared" si="15"/>
        <v>359078.61432999989</v>
      </c>
      <c r="BO102" s="113">
        <f t="shared" si="15"/>
        <v>366850.45585999987</v>
      </c>
      <c r="BP102" s="113">
        <f t="shared" si="15"/>
        <v>31519.804145999999</v>
      </c>
      <c r="BQ102" s="113">
        <f t="shared" si="15"/>
        <v>169275.01570400002</v>
      </c>
      <c r="BR102" s="113">
        <f t="shared" si="15"/>
        <v>171427.29209600005</v>
      </c>
      <c r="BS102" s="113">
        <f t="shared" si="15"/>
        <v>163934.53904999999</v>
      </c>
      <c r="BT102" s="113">
        <f t="shared" si="15"/>
        <v>315122.51517999987</v>
      </c>
      <c r="BU102" s="113">
        <f t="shared" si="15"/>
        <v>2446.2186900000002</v>
      </c>
      <c r="BV102" s="113">
        <f t="shared" si="15"/>
        <v>153634.19481999998</v>
      </c>
      <c r="BW102" s="113">
        <f t="shared" si="15"/>
        <v>45593.945630000002</v>
      </c>
      <c r="BX102" s="113">
        <f t="shared" si="15"/>
        <v>110486.46788000001</v>
      </c>
      <c r="BY102" s="113">
        <f t="shared" si="15"/>
        <v>2615.6186900000002</v>
      </c>
      <c r="BZ102" s="113">
        <f t="shared" si="15"/>
        <v>112763.28657</v>
      </c>
      <c r="CA102" s="113">
        <f t="shared" si="15"/>
        <v>110288.98879999999</v>
      </c>
      <c r="CB102" s="113">
        <f t="shared" si="15"/>
        <v>94641.320359999998</v>
      </c>
      <c r="CC102" s="113">
        <f t="shared" si="15"/>
        <v>2232.5863199999999</v>
      </c>
      <c r="CD102" s="113">
        <f t="shared" si="15"/>
        <v>78315.33262999999</v>
      </c>
      <c r="CE102" s="113">
        <f t="shared" si="15"/>
        <v>75314.767349999995</v>
      </c>
      <c r="CF102" s="113">
        <f t="shared" si="15"/>
        <v>2232.5863199999999</v>
      </c>
      <c r="CG102" s="113">
        <f t="shared" si="15"/>
        <v>75528.399720000001</v>
      </c>
      <c r="CH102" s="113">
        <f t="shared" si="15"/>
        <v>19326.553010000003</v>
      </c>
      <c r="CI102" s="113">
        <f t="shared" si="15"/>
        <v>38499.502064</v>
      </c>
      <c r="CJ102" s="113">
        <f t="shared" si="15"/>
        <v>233709.633436</v>
      </c>
    </row>
    <row r="103" spans="1:88" s="985" customFormat="1" ht="30.75" hidden="1" thickBot="1" x14ac:dyDescent="0.3">
      <c r="A103" s="268" t="s">
        <v>1740</v>
      </c>
      <c r="B103" s="144" t="s">
        <v>176</v>
      </c>
      <c r="C103" s="75">
        <v>2016</v>
      </c>
      <c r="D103" s="75" t="s">
        <v>1714</v>
      </c>
      <c r="E103" s="76" t="s">
        <v>26</v>
      </c>
      <c r="F103" s="84" t="s">
        <v>177</v>
      </c>
      <c r="G103" s="227" t="s">
        <v>178</v>
      </c>
      <c r="H103" s="25">
        <v>10769.87269</v>
      </c>
      <c r="I103" s="2533">
        <f t="shared" si="13"/>
        <v>0</v>
      </c>
      <c r="J103" s="2643">
        <f t="shared" si="10"/>
        <v>10769.87269</v>
      </c>
      <c r="K103" s="2643">
        <f t="shared" si="11"/>
        <v>10769.87269</v>
      </c>
      <c r="L103" s="2643">
        <f t="shared" si="12"/>
        <v>0</v>
      </c>
      <c r="M103" s="866"/>
      <c r="N103" s="542">
        <v>0</v>
      </c>
      <c r="O103" s="943">
        <v>0</v>
      </c>
      <c r="P103" s="1470">
        <v>0</v>
      </c>
      <c r="Q103" s="378">
        <v>0</v>
      </c>
      <c r="R103" s="2335">
        <v>0</v>
      </c>
      <c r="S103" s="1449">
        <v>0</v>
      </c>
      <c r="T103" s="1463">
        <v>0</v>
      </c>
      <c r="U103" s="1463"/>
      <c r="V103" s="1463"/>
      <c r="W103" s="1463"/>
      <c r="X103" s="1463"/>
      <c r="Y103" s="27">
        <v>0</v>
      </c>
      <c r="Z103" s="27">
        <v>0</v>
      </c>
      <c r="AA103" s="26">
        <v>0</v>
      </c>
      <c r="AB103" s="26">
        <v>0</v>
      </c>
      <c r="AC103" s="41" t="s">
        <v>1209</v>
      </c>
      <c r="AD103" s="75" t="s">
        <v>1329</v>
      </c>
      <c r="AE103" s="379" t="s">
        <v>37</v>
      </c>
      <c r="AF103" s="74" t="s">
        <v>1283</v>
      </c>
      <c r="AG103" s="74" t="s">
        <v>1283</v>
      </c>
      <c r="AH103" s="415">
        <v>12</v>
      </c>
      <c r="AI103" s="722" t="s">
        <v>1447</v>
      </c>
      <c r="AJ103" s="2416">
        <v>0</v>
      </c>
      <c r="AK103" s="516">
        <v>0</v>
      </c>
      <c r="AL103" s="1320">
        <v>0</v>
      </c>
      <c r="AM103" s="512">
        <v>0</v>
      </c>
      <c r="AN103" s="1171"/>
      <c r="AO103" s="1171"/>
      <c r="AP103" s="1321"/>
      <c r="AQ103" s="674" t="s">
        <v>1349</v>
      </c>
      <c r="AR103" s="1323">
        <v>5</v>
      </c>
      <c r="AS103" s="1323"/>
      <c r="AT103" s="674">
        <v>5</v>
      </c>
      <c r="AU103" s="1491"/>
      <c r="AV103" s="455"/>
      <c r="AW103" s="979" t="s">
        <v>1808</v>
      </c>
      <c r="AX103" s="982"/>
      <c r="AY103" s="982"/>
      <c r="AZ103" s="41" t="s">
        <v>1209</v>
      </c>
      <c r="BA103" s="41"/>
      <c r="BB103" s="41" t="s">
        <v>1209</v>
      </c>
      <c r="BC103" s="41" t="s">
        <v>2204</v>
      </c>
      <c r="BD103" s="1288" t="s">
        <v>2182</v>
      </c>
      <c r="BE103" s="1288" t="s">
        <v>1209</v>
      </c>
      <c r="BF103" s="1379" t="s">
        <v>1583</v>
      </c>
      <c r="BG103" s="1288" t="s">
        <v>1287</v>
      </c>
      <c r="BH103" s="403">
        <v>1</v>
      </c>
      <c r="BI103" s="403">
        <v>0</v>
      </c>
      <c r="BJ103" s="983"/>
      <c r="BK103" s="1325"/>
      <c r="BL103" s="25">
        <v>83.66</v>
      </c>
      <c r="BM103" s="866">
        <v>10686.21269</v>
      </c>
      <c r="BN103" s="2399">
        <v>10686.21269</v>
      </c>
      <c r="BO103" s="2263">
        <v>10686.21269</v>
      </c>
      <c r="BP103" s="2314">
        <v>0</v>
      </c>
      <c r="BQ103" s="1482">
        <v>10686.21269</v>
      </c>
      <c r="BR103" s="27">
        <v>0</v>
      </c>
      <c r="BS103" s="866">
        <v>0</v>
      </c>
      <c r="BT103" s="54">
        <v>10686.21269</v>
      </c>
      <c r="BU103" s="44"/>
      <c r="BV103" s="1482">
        <v>10686.21269</v>
      </c>
      <c r="BW103" s="866">
        <v>0</v>
      </c>
      <c r="BX103" s="1952">
        <v>10686.21269</v>
      </c>
      <c r="BY103" s="1377">
        <v>2881.8602900000001</v>
      </c>
      <c r="BZ103" s="1380">
        <v>7804.3523999999998</v>
      </c>
      <c r="CA103" s="1380">
        <v>4403.2749999999996</v>
      </c>
      <c r="CB103" s="984">
        <v>2987.9540000000002</v>
      </c>
      <c r="CC103" s="984"/>
      <c r="CD103" s="1378">
        <v>806.76400000000001</v>
      </c>
      <c r="CE103" s="1244">
        <v>449.07900000000001</v>
      </c>
      <c r="CF103" s="985">
        <v>9</v>
      </c>
      <c r="CG103" s="374">
        <v>449.07900000000001</v>
      </c>
      <c r="CH103" s="374">
        <v>2538.875</v>
      </c>
      <c r="CI103" s="1037">
        <v>7698.2586900000006</v>
      </c>
      <c r="CJ103" s="1037">
        <v>0</v>
      </c>
    </row>
    <row r="104" spans="1:88" s="1013" customFormat="1" ht="26.25" hidden="1" thickBot="1" x14ac:dyDescent="0.3">
      <c r="A104" s="268" t="s">
        <v>1741</v>
      </c>
      <c r="B104" s="146" t="s">
        <v>183</v>
      </c>
      <c r="C104" s="83">
        <v>2017</v>
      </c>
      <c r="D104" s="83" t="s">
        <v>182</v>
      </c>
      <c r="E104" s="90" t="s">
        <v>26</v>
      </c>
      <c r="F104" s="1761" t="s">
        <v>184</v>
      </c>
      <c r="G104" s="1813" t="s">
        <v>185</v>
      </c>
      <c r="H104" s="85">
        <v>13490.83691</v>
      </c>
      <c r="I104" s="2533">
        <f t="shared" si="13"/>
        <v>0</v>
      </c>
      <c r="J104" s="2643">
        <f t="shared" si="10"/>
        <v>13490.836909999998</v>
      </c>
      <c r="K104" s="2643">
        <f t="shared" si="11"/>
        <v>13490.836909999998</v>
      </c>
      <c r="L104" s="2643">
        <f t="shared" si="12"/>
        <v>0</v>
      </c>
      <c r="M104" s="1438"/>
      <c r="N104" s="2363">
        <v>0</v>
      </c>
      <c r="O104" s="563">
        <v>0</v>
      </c>
      <c r="P104" s="1476">
        <v>0</v>
      </c>
      <c r="Q104" s="564">
        <v>0</v>
      </c>
      <c r="R104" s="2337">
        <v>0</v>
      </c>
      <c r="S104" s="1814">
        <v>0</v>
      </c>
      <c r="T104" s="1463">
        <v>0</v>
      </c>
      <c r="U104" s="1463"/>
      <c r="V104" s="1463"/>
      <c r="W104" s="1463"/>
      <c r="X104" s="1463"/>
      <c r="Y104" s="45">
        <v>0</v>
      </c>
      <c r="Z104" s="45">
        <v>0</v>
      </c>
      <c r="AA104" s="46">
        <v>0</v>
      </c>
      <c r="AB104" s="564">
        <v>0</v>
      </c>
      <c r="AC104" s="150" t="s">
        <v>1209</v>
      </c>
      <c r="AD104" s="83" t="s">
        <v>1329</v>
      </c>
      <c r="AE104" s="1815" t="s">
        <v>369</v>
      </c>
      <c r="AF104" s="1424" t="s">
        <v>1283</v>
      </c>
      <c r="AG104" s="1424" t="s">
        <v>1283</v>
      </c>
      <c r="AH104" s="415">
        <v>11</v>
      </c>
      <c r="AI104" s="722" t="s">
        <v>1447</v>
      </c>
      <c r="AJ104" s="2416">
        <v>0</v>
      </c>
      <c r="AK104" s="516">
        <v>1.8189894035458565E-12</v>
      </c>
      <c r="AL104" s="452">
        <v>0</v>
      </c>
      <c r="AM104" s="513">
        <v>0</v>
      </c>
      <c r="AN104" s="1142"/>
      <c r="AO104" s="1142"/>
      <c r="AP104" s="1050"/>
      <c r="AQ104" s="662" t="s">
        <v>1349</v>
      </c>
      <c r="AR104" s="1051">
        <v>5</v>
      </c>
      <c r="AS104" s="1051"/>
      <c r="AT104" s="662">
        <v>4</v>
      </c>
      <c r="AU104" s="1493"/>
      <c r="AV104" s="435"/>
      <c r="AW104" s="75" t="s">
        <v>1809</v>
      </c>
      <c r="AX104" s="150"/>
      <c r="AY104" s="150"/>
      <c r="AZ104" s="150" t="s">
        <v>1209</v>
      </c>
      <c r="BA104" s="150"/>
      <c r="BB104" s="150" t="s">
        <v>1209</v>
      </c>
      <c r="BC104" s="143" t="s">
        <v>1209</v>
      </c>
      <c r="BD104" s="1069" t="s">
        <v>1209</v>
      </c>
      <c r="BE104" s="1067" t="s">
        <v>1287</v>
      </c>
      <c r="BF104" s="425" t="s">
        <v>1209</v>
      </c>
      <c r="BG104" s="425" t="s">
        <v>1209</v>
      </c>
      <c r="BH104" s="755">
        <v>1</v>
      </c>
      <c r="BI104" s="755">
        <v>0</v>
      </c>
      <c r="BJ104" s="497"/>
      <c r="BK104" s="1048"/>
      <c r="BL104" s="85">
        <v>10130.188659999998</v>
      </c>
      <c r="BM104" s="1438">
        <v>3360.6482500000002</v>
      </c>
      <c r="BN104" s="2400">
        <v>3360.6482500000002</v>
      </c>
      <c r="BO104" s="2264">
        <v>3360.6482500000002</v>
      </c>
      <c r="BP104" s="2314">
        <v>0</v>
      </c>
      <c r="BQ104" s="1483">
        <v>3360.6482500000002</v>
      </c>
      <c r="BR104" s="45">
        <v>0</v>
      </c>
      <c r="BS104" s="1438">
        <v>0</v>
      </c>
      <c r="BT104" s="54">
        <v>3360.6482500000002</v>
      </c>
      <c r="BU104" s="86"/>
      <c r="BV104" s="1483">
        <v>3360.6482500000002</v>
      </c>
      <c r="BW104" s="1438">
        <v>0</v>
      </c>
      <c r="BX104" s="85">
        <v>3360.6482500000002</v>
      </c>
      <c r="BY104" s="866"/>
      <c r="BZ104" s="1195">
        <v>3360.6482500000002</v>
      </c>
      <c r="CA104" s="1119">
        <v>3360.6482500000002</v>
      </c>
      <c r="CB104" s="984">
        <v>3360.6482500000002</v>
      </c>
      <c r="CC104" s="984"/>
      <c r="CD104" s="1052">
        <v>3360.6482500000002</v>
      </c>
      <c r="CE104" s="418">
        <v>3360.6482500000002</v>
      </c>
      <c r="CG104" s="1417">
        <v>3360.6482500000002</v>
      </c>
      <c r="CH104" s="1417">
        <v>0</v>
      </c>
      <c r="CI104" s="1018">
        <v>0</v>
      </c>
      <c r="CJ104" s="1018">
        <v>0</v>
      </c>
    </row>
    <row r="105" spans="1:88" s="1013" customFormat="1" ht="26.25" hidden="1" thickBot="1" x14ac:dyDescent="0.3">
      <c r="A105" s="268" t="s">
        <v>1742</v>
      </c>
      <c r="B105" s="144" t="s">
        <v>196</v>
      </c>
      <c r="C105" s="75">
        <v>2017</v>
      </c>
      <c r="D105" s="75" t="s">
        <v>1702</v>
      </c>
      <c r="E105" s="76" t="s">
        <v>197</v>
      </c>
      <c r="F105" s="84" t="s">
        <v>197</v>
      </c>
      <c r="G105" s="227" t="s">
        <v>198</v>
      </c>
      <c r="H105" s="25">
        <v>0</v>
      </c>
      <c r="I105" s="2533">
        <f t="shared" si="13"/>
        <v>0</v>
      </c>
      <c r="J105" s="2643">
        <f t="shared" si="10"/>
        <v>0</v>
      </c>
      <c r="K105" s="2643">
        <f t="shared" si="11"/>
        <v>0</v>
      </c>
      <c r="L105" s="2643">
        <f t="shared" si="12"/>
        <v>0</v>
      </c>
      <c r="M105" s="866"/>
      <c r="N105" s="540">
        <v>0</v>
      </c>
      <c r="O105" s="483">
        <v>0</v>
      </c>
      <c r="P105" s="437">
        <v>0</v>
      </c>
      <c r="Q105" s="131">
        <v>0</v>
      </c>
      <c r="R105" s="2345">
        <v>1527</v>
      </c>
      <c r="S105" s="1849">
        <v>-1527</v>
      </c>
      <c r="T105" s="1463">
        <v>0</v>
      </c>
      <c r="U105" s="1463"/>
      <c r="V105" s="1463"/>
      <c r="W105" s="1463"/>
      <c r="X105" s="1463"/>
      <c r="Y105" s="1820">
        <v>0</v>
      </c>
      <c r="Z105" s="1817">
        <v>0</v>
      </c>
      <c r="AA105" s="1819">
        <v>0</v>
      </c>
      <c r="AB105" s="936">
        <v>0</v>
      </c>
      <c r="AC105" s="143" t="s">
        <v>1209</v>
      </c>
      <c r="AD105" s="75" t="s">
        <v>1300</v>
      </c>
      <c r="AE105" s="379" t="s">
        <v>355</v>
      </c>
      <c r="AF105" s="1821" t="s">
        <v>1282</v>
      </c>
      <c r="AG105" s="1821" t="s">
        <v>1282</v>
      </c>
      <c r="AH105" s="415">
        <v>2</v>
      </c>
      <c r="AI105" s="722"/>
      <c r="AJ105" s="2416">
        <v>0</v>
      </c>
      <c r="AK105" s="516">
        <v>0</v>
      </c>
      <c r="AL105" s="452">
        <v>0</v>
      </c>
      <c r="AM105" s="513">
        <v>0</v>
      </c>
      <c r="AN105" s="1142"/>
      <c r="AO105" s="1142"/>
      <c r="AP105" s="1050"/>
      <c r="AQ105" s="662" t="s">
        <v>1349</v>
      </c>
      <c r="AR105" s="1051">
        <v>5</v>
      </c>
      <c r="AS105" s="1051"/>
      <c r="AT105" s="884">
        <v>6</v>
      </c>
      <c r="AU105" s="1493"/>
      <c r="AV105" s="435"/>
      <c r="AW105" s="75" t="s">
        <v>1810</v>
      </c>
      <c r="AX105" s="143"/>
      <c r="AY105" s="143"/>
      <c r="AZ105" s="143" t="s">
        <v>1209</v>
      </c>
      <c r="BA105" s="143"/>
      <c r="BB105" s="143" t="s">
        <v>1209</v>
      </c>
      <c r="BC105" s="143" t="s">
        <v>1209</v>
      </c>
      <c r="BD105" s="425" t="s">
        <v>1209</v>
      </c>
      <c r="BE105" s="425" t="s">
        <v>1209</v>
      </c>
      <c r="BF105" s="768" t="s">
        <v>1209</v>
      </c>
      <c r="BG105" s="143" t="s">
        <v>1351</v>
      </c>
      <c r="BH105" s="755">
        <v>1</v>
      </c>
      <c r="BI105" s="755">
        <v>0</v>
      </c>
      <c r="BJ105" s="497"/>
      <c r="BK105" s="1048">
        <v>20</v>
      </c>
      <c r="BL105" s="2322">
        <v>0</v>
      </c>
      <c r="BM105" s="866">
        <v>0</v>
      </c>
      <c r="BN105" s="2399">
        <v>0</v>
      </c>
      <c r="BO105" s="2266">
        <v>0</v>
      </c>
      <c r="BP105" s="2314">
        <v>0</v>
      </c>
      <c r="BQ105" s="1816">
        <v>0</v>
      </c>
      <c r="BR105" s="1817">
        <v>0</v>
      </c>
      <c r="BS105" s="866">
        <v>0</v>
      </c>
      <c r="BT105" s="54">
        <v>0</v>
      </c>
      <c r="BU105" s="1818"/>
      <c r="BV105" s="1482">
        <v>0</v>
      </c>
      <c r="BW105" s="866">
        <v>0</v>
      </c>
      <c r="BX105" s="25">
        <v>0</v>
      </c>
      <c r="BY105" s="1374"/>
      <c r="BZ105" s="695">
        <v>0</v>
      </c>
      <c r="CA105" s="695">
        <v>0</v>
      </c>
      <c r="CB105" s="695">
        <v>0</v>
      </c>
      <c r="CC105" s="695"/>
      <c r="CD105" s="695">
        <v>0</v>
      </c>
      <c r="CE105" s="419">
        <v>0</v>
      </c>
      <c r="CG105" s="374">
        <v>0</v>
      </c>
      <c r="CH105" s="374">
        <v>0</v>
      </c>
      <c r="CI105" s="1037">
        <v>0</v>
      </c>
      <c r="CJ105" s="1037">
        <v>0</v>
      </c>
    </row>
    <row r="106" spans="1:88" s="1013" customFormat="1" ht="39" hidden="1" thickBot="1" x14ac:dyDescent="0.3">
      <c r="A106" s="268" t="s">
        <v>1743</v>
      </c>
      <c r="B106" s="144" t="s">
        <v>201</v>
      </c>
      <c r="C106" s="75">
        <v>2017</v>
      </c>
      <c r="D106" s="75" t="s">
        <v>1702</v>
      </c>
      <c r="E106" s="76" t="s">
        <v>200</v>
      </c>
      <c r="F106" s="84" t="s">
        <v>200</v>
      </c>
      <c r="G106" s="227" t="s">
        <v>202</v>
      </c>
      <c r="H106" s="25">
        <v>1372.1410000000001</v>
      </c>
      <c r="I106" s="2533">
        <f t="shared" si="13"/>
        <v>0</v>
      </c>
      <c r="J106" s="2643">
        <f t="shared" si="10"/>
        <v>1372.1409999999998</v>
      </c>
      <c r="K106" s="2643">
        <f t="shared" si="11"/>
        <v>1372.1409999999998</v>
      </c>
      <c r="L106" s="2643">
        <f t="shared" si="12"/>
        <v>0</v>
      </c>
      <c r="M106" s="866"/>
      <c r="N106" s="540">
        <v>0</v>
      </c>
      <c r="O106" s="483">
        <v>0</v>
      </c>
      <c r="P106" s="437">
        <v>0</v>
      </c>
      <c r="Q106" s="131">
        <v>0</v>
      </c>
      <c r="R106" s="2345">
        <v>0</v>
      </c>
      <c r="S106" s="1455">
        <v>0</v>
      </c>
      <c r="T106" s="1463">
        <v>0</v>
      </c>
      <c r="U106" s="1463"/>
      <c r="V106" s="1463"/>
      <c r="W106" s="1463"/>
      <c r="X106" s="1463"/>
      <c r="Y106" s="27">
        <v>0</v>
      </c>
      <c r="Z106" s="27">
        <v>0</v>
      </c>
      <c r="AA106" s="26">
        <v>0</v>
      </c>
      <c r="AB106" s="131">
        <v>0</v>
      </c>
      <c r="AC106" s="143" t="s">
        <v>1209</v>
      </c>
      <c r="AD106" s="75" t="s">
        <v>1329</v>
      </c>
      <c r="AE106" s="379" t="s">
        <v>37</v>
      </c>
      <c r="AF106" s="74" t="s">
        <v>1283</v>
      </c>
      <c r="AG106" s="74" t="s">
        <v>2203</v>
      </c>
      <c r="AH106" s="415">
        <v>9</v>
      </c>
      <c r="AI106" s="722" t="s">
        <v>1448</v>
      </c>
      <c r="AJ106" s="2416">
        <v>0</v>
      </c>
      <c r="AK106" s="516">
        <v>2.2737367544323206E-13</v>
      </c>
      <c r="AL106" s="452">
        <v>0</v>
      </c>
      <c r="AM106" s="513">
        <v>0</v>
      </c>
      <c r="AN106" s="1142"/>
      <c r="AO106" s="1142"/>
      <c r="AP106" s="1050"/>
      <c r="AQ106" s="662" t="s">
        <v>1349</v>
      </c>
      <c r="AR106" s="1051">
        <v>5</v>
      </c>
      <c r="AS106" s="1051"/>
      <c r="AT106" s="662">
        <v>5</v>
      </c>
      <c r="AU106" s="1493"/>
      <c r="AV106" s="435"/>
      <c r="AW106" s="75" t="s">
        <v>1951</v>
      </c>
      <c r="AX106" s="143"/>
      <c r="AY106" s="143"/>
      <c r="AZ106" s="143" t="s">
        <v>1209</v>
      </c>
      <c r="BA106" s="143"/>
      <c r="BB106" s="143" t="s">
        <v>1209</v>
      </c>
      <c r="BC106" s="143" t="s">
        <v>2205</v>
      </c>
      <c r="BD106" s="1067" t="s">
        <v>1209</v>
      </c>
      <c r="BE106" s="425" t="s">
        <v>1209</v>
      </c>
      <c r="BF106" s="768" t="s">
        <v>1209</v>
      </c>
      <c r="BG106" s="143" t="s">
        <v>1209</v>
      </c>
      <c r="BH106" s="755">
        <v>0</v>
      </c>
      <c r="BI106" s="755">
        <v>1</v>
      </c>
      <c r="BJ106" s="497"/>
      <c r="BK106" s="1048"/>
      <c r="BL106" s="181">
        <v>42.35</v>
      </c>
      <c r="BM106" s="866">
        <v>1329.7909999999999</v>
      </c>
      <c r="BN106" s="2399">
        <v>1329.7910000000002</v>
      </c>
      <c r="BO106" s="2266">
        <v>1329.7910000000002</v>
      </c>
      <c r="BP106" s="2314">
        <v>0</v>
      </c>
      <c r="BQ106" s="1482">
        <v>1329.7909999999999</v>
      </c>
      <c r="BR106" s="27">
        <v>0</v>
      </c>
      <c r="BS106" s="866">
        <v>0</v>
      </c>
      <c r="BT106" s="54">
        <v>1329.7909999999999</v>
      </c>
      <c r="BU106" s="44"/>
      <c r="BV106" s="1482">
        <v>1329.7909999999999</v>
      </c>
      <c r="BW106" s="1498">
        <v>187.542</v>
      </c>
      <c r="BX106" s="980">
        <v>1142.249</v>
      </c>
      <c r="BY106" s="1373"/>
      <c r="BZ106" s="1118">
        <v>1142.249</v>
      </c>
      <c r="CA106" s="1118">
        <v>1118.049</v>
      </c>
      <c r="CB106" s="837">
        <v>240.15799999999999</v>
      </c>
      <c r="CC106" s="837"/>
      <c r="CD106" s="695">
        <v>0</v>
      </c>
      <c r="CE106" s="419">
        <v>0</v>
      </c>
      <c r="CF106" s="1327">
        <v>9</v>
      </c>
      <c r="CG106" s="374">
        <v>0</v>
      </c>
      <c r="CH106" s="374">
        <v>240.15799999999999</v>
      </c>
      <c r="CI106" s="44">
        <v>902.09100000000001</v>
      </c>
      <c r="CJ106" s="1037">
        <v>187.542</v>
      </c>
    </row>
    <row r="107" spans="1:88" s="985" customFormat="1" ht="64.5" hidden="1" thickBot="1" x14ac:dyDescent="0.3">
      <c r="A107" s="1822" t="s">
        <v>1745</v>
      </c>
      <c r="B107" s="1280" t="s">
        <v>215</v>
      </c>
      <c r="C107" s="1318">
        <v>2017</v>
      </c>
      <c r="D107" s="1281" t="s">
        <v>1702</v>
      </c>
      <c r="E107" s="1282" t="s">
        <v>216</v>
      </c>
      <c r="F107" s="1283" t="s">
        <v>216</v>
      </c>
      <c r="G107" s="1284" t="s">
        <v>217</v>
      </c>
      <c r="H107" s="980">
        <v>4544.8600100000003</v>
      </c>
      <c r="I107" s="2533">
        <f t="shared" si="13"/>
        <v>0</v>
      </c>
      <c r="J107" s="2643">
        <f t="shared" si="10"/>
        <v>4544.8600099999994</v>
      </c>
      <c r="K107" s="2643">
        <f t="shared" si="11"/>
        <v>4544.8600099999994</v>
      </c>
      <c r="L107" s="2643">
        <f t="shared" si="12"/>
        <v>0</v>
      </c>
      <c r="M107" s="1376"/>
      <c r="N107" s="2364">
        <v>0</v>
      </c>
      <c r="O107" s="1672">
        <v>0</v>
      </c>
      <c r="P107" s="1657">
        <v>0</v>
      </c>
      <c r="Q107" s="1658">
        <v>0</v>
      </c>
      <c r="R107" s="2346">
        <v>255.13099</v>
      </c>
      <c r="S107" s="1673">
        <v>-255.13099</v>
      </c>
      <c r="T107" s="1545">
        <v>0</v>
      </c>
      <c r="U107" s="1545"/>
      <c r="V107" s="1545"/>
      <c r="W107" s="1545"/>
      <c r="X107" s="1545"/>
      <c r="Y107" s="1286">
        <v>0</v>
      </c>
      <c r="Z107" s="1317">
        <v>0</v>
      </c>
      <c r="AA107" s="1287">
        <v>0</v>
      </c>
      <c r="AB107" s="1292">
        <v>0</v>
      </c>
      <c r="AC107" s="982" t="s">
        <v>2463</v>
      </c>
      <c r="AD107" s="1318" t="s">
        <v>1329</v>
      </c>
      <c r="AE107" s="1290" t="s">
        <v>845</v>
      </c>
      <c r="AF107" s="1289" t="s">
        <v>1283</v>
      </c>
      <c r="AG107" s="1289" t="s">
        <v>1283</v>
      </c>
      <c r="AH107" s="1282">
        <v>4</v>
      </c>
      <c r="AI107" s="1319" t="s">
        <v>1448</v>
      </c>
      <c r="AJ107" s="2416">
        <v>255.13998999999967</v>
      </c>
      <c r="AK107" s="516">
        <v>9.0949470177292824E-13</v>
      </c>
      <c r="AL107" s="1320">
        <v>0</v>
      </c>
      <c r="AM107" s="512">
        <v>0</v>
      </c>
      <c r="AN107" s="1171"/>
      <c r="AO107" s="1171"/>
      <c r="AP107" s="1321"/>
      <c r="AQ107" s="674" t="s">
        <v>1349</v>
      </c>
      <c r="AR107" s="1323">
        <v>5</v>
      </c>
      <c r="AS107" s="1323"/>
      <c r="AT107" s="674">
        <v>6</v>
      </c>
      <c r="AU107" s="1491"/>
      <c r="AV107" s="455"/>
      <c r="AW107" s="979" t="s">
        <v>1952</v>
      </c>
      <c r="AX107" s="982"/>
      <c r="AY107" s="982"/>
      <c r="AZ107" s="982" t="s">
        <v>2463</v>
      </c>
      <c r="BA107" s="982"/>
      <c r="BB107" s="982" t="s">
        <v>2463</v>
      </c>
      <c r="BC107" s="982" t="s">
        <v>2206</v>
      </c>
      <c r="BD107" s="1067" t="s">
        <v>2118</v>
      </c>
      <c r="BE107" s="924"/>
      <c r="BF107" s="767" t="s">
        <v>1380</v>
      </c>
      <c r="BG107" s="982" t="s">
        <v>1380</v>
      </c>
      <c r="BH107" s="403">
        <v>1</v>
      </c>
      <c r="BI107" s="403">
        <v>0</v>
      </c>
      <c r="BJ107" s="983"/>
      <c r="BK107" s="1325" t="s">
        <v>1487</v>
      </c>
      <c r="BL107" s="704">
        <v>291.61</v>
      </c>
      <c r="BM107" s="1376">
        <v>4253.2500099999997</v>
      </c>
      <c r="BN107" s="2401">
        <v>4508.3899999999994</v>
      </c>
      <c r="BO107" s="2267">
        <v>4508.3899999999994</v>
      </c>
      <c r="BP107" s="2315">
        <v>255.13998999999967</v>
      </c>
      <c r="BQ107" s="1823">
        <v>4127.9110099999998</v>
      </c>
      <c r="BR107" s="1286">
        <v>125.3389</v>
      </c>
      <c r="BS107" s="1376">
        <v>125.339</v>
      </c>
      <c r="BT107" s="54">
        <v>4253.2500099999997</v>
      </c>
      <c r="BU107" s="1824"/>
      <c r="BV107" s="1538">
        <v>4127.9110099999998</v>
      </c>
      <c r="BW107" s="1376">
        <v>0</v>
      </c>
      <c r="BX107" s="1952">
        <v>4127.9110099999998</v>
      </c>
      <c r="BY107" s="1953">
        <v>671.27738999999997</v>
      </c>
      <c r="BZ107" s="1954">
        <v>3456.6336199999996</v>
      </c>
      <c r="CA107" s="1954">
        <v>1567.9119499999999</v>
      </c>
      <c r="CB107" s="1847">
        <v>802.23</v>
      </c>
      <c r="CC107" s="1847"/>
      <c r="CD107" s="1070">
        <v>0</v>
      </c>
      <c r="CE107" s="704">
        <v>0</v>
      </c>
      <c r="CF107" s="985">
        <v>9</v>
      </c>
      <c r="CG107" s="1253">
        <v>0</v>
      </c>
      <c r="CH107" s="1253">
        <v>802.23</v>
      </c>
      <c r="CI107" s="1548">
        <v>3325.6810099999998</v>
      </c>
      <c r="CJ107" s="1548">
        <v>380.47899000000001</v>
      </c>
    </row>
    <row r="108" spans="1:88" s="1013" customFormat="1" ht="26.25" hidden="1" thickBot="1" x14ac:dyDescent="0.3">
      <c r="A108" s="268" t="s">
        <v>1746</v>
      </c>
      <c r="B108" s="144" t="s">
        <v>221</v>
      </c>
      <c r="C108" s="75">
        <v>2017</v>
      </c>
      <c r="D108" s="75" t="s">
        <v>1702</v>
      </c>
      <c r="E108" s="76" t="s">
        <v>222</v>
      </c>
      <c r="F108" s="84" t="s">
        <v>222</v>
      </c>
      <c r="G108" s="227" t="s">
        <v>223</v>
      </c>
      <c r="H108" s="25">
        <v>7700</v>
      </c>
      <c r="I108" s="2533">
        <f t="shared" si="13"/>
        <v>0</v>
      </c>
      <c r="J108" s="2643">
        <f t="shared" si="10"/>
        <v>7700.0000000000009</v>
      </c>
      <c r="K108" s="2643">
        <f t="shared" si="11"/>
        <v>7700.0000000000009</v>
      </c>
      <c r="L108" s="2643">
        <f t="shared" si="12"/>
        <v>0</v>
      </c>
      <c r="M108" s="866"/>
      <c r="N108" s="540">
        <v>0</v>
      </c>
      <c r="O108" s="483">
        <v>0</v>
      </c>
      <c r="P108" s="437">
        <v>0</v>
      </c>
      <c r="Q108" s="131">
        <v>0</v>
      </c>
      <c r="R108" s="2335">
        <v>0</v>
      </c>
      <c r="S108" s="1449">
        <v>0</v>
      </c>
      <c r="T108" s="1463">
        <v>0</v>
      </c>
      <c r="U108" s="1463"/>
      <c r="V108" s="1463"/>
      <c r="W108" s="1463"/>
      <c r="X108" s="1463"/>
      <c r="Y108" s="27">
        <v>0</v>
      </c>
      <c r="Z108" s="23">
        <v>0</v>
      </c>
      <c r="AA108" s="26">
        <v>0</v>
      </c>
      <c r="AB108" s="131">
        <v>0</v>
      </c>
      <c r="AC108" s="143" t="s">
        <v>1209</v>
      </c>
      <c r="AD108" s="75" t="s">
        <v>1329</v>
      </c>
      <c r="AE108" s="379" t="s">
        <v>912</v>
      </c>
      <c r="AF108" s="74" t="s">
        <v>1283</v>
      </c>
      <c r="AG108" s="74" t="s">
        <v>1283</v>
      </c>
      <c r="AH108" s="415">
        <v>7</v>
      </c>
      <c r="AI108" s="722" t="s">
        <v>1447</v>
      </c>
      <c r="AJ108" s="2416">
        <v>0</v>
      </c>
      <c r="AK108" s="516">
        <v>-9.0949470177292824E-13</v>
      </c>
      <c r="AL108" s="452">
        <v>0</v>
      </c>
      <c r="AM108" s="513">
        <v>0</v>
      </c>
      <c r="AN108" s="1142"/>
      <c r="AO108" s="1142"/>
      <c r="AP108" s="1050"/>
      <c r="AQ108" s="662" t="s">
        <v>1349</v>
      </c>
      <c r="AR108" s="1051">
        <v>5</v>
      </c>
      <c r="AS108" s="1051"/>
      <c r="AT108" s="662">
        <v>5</v>
      </c>
      <c r="AU108" s="1493"/>
      <c r="AV108" s="435"/>
      <c r="AW108" s="75" t="s">
        <v>1953</v>
      </c>
      <c r="AX108" s="143"/>
      <c r="AY108" s="143"/>
      <c r="AZ108" s="143" t="s">
        <v>1209</v>
      </c>
      <c r="BA108" s="143"/>
      <c r="BB108" s="143" t="s">
        <v>1209</v>
      </c>
      <c r="BC108" s="143" t="s">
        <v>1209</v>
      </c>
      <c r="BD108" s="425" t="s">
        <v>2158</v>
      </c>
      <c r="BE108" s="425" t="s">
        <v>1209</v>
      </c>
      <c r="BF108" s="768" t="s">
        <v>1209</v>
      </c>
      <c r="BG108" s="425" t="s">
        <v>1209</v>
      </c>
      <c r="BH108" s="755">
        <v>1</v>
      </c>
      <c r="BI108" s="755">
        <v>2</v>
      </c>
      <c r="BJ108" s="497"/>
      <c r="BK108" s="1048"/>
      <c r="BL108" s="25">
        <v>223.85</v>
      </c>
      <c r="BM108" s="866">
        <v>7476.1500000000005</v>
      </c>
      <c r="BN108" s="2399">
        <v>7476.15</v>
      </c>
      <c r="BO108" s="2263">
        <v>7476.15</v>
      </c>
      <c r="BP108" s="2314">
        <v>0</v>
      </c>
      <c r="BQ108" s="1482">
        <v>7476.1500000000005</v>
      </c>
      <c r="BR108" s="27">
        <v>0</v>
      </c>
      <c r="BS108" s="866">
        <v>0</v>
      </c>
      <c r="BT108" s="54">
        <v>7476.1500000000005</v>
      </c>
      <c r="BU108" s="44"/>
      <c r="BV108" s="1482">
        <v>7476.1500000000005</v>
      </c>
      <c r="BW108" s="866">
        <v>0</v>
      </c>
      <c r="BX108" s="25">
        <v>7476.1500000000005</v>
      </c>
      <c r="BY108" s="1383">
        <v>1085.5027700000001</v>
      </c>
      <c r="BZ108" s="1118">
        <v>6390.6472300000005</v>
      </c>
      <c r="CA108" s="1118">
        <v>5162.0200199999999</v>
      </c>
      <c r="CB108" s="837">
        <v>3958.5160299999998</v>
      </c>
      <c r="CC108" s="837"/>
      <c r="CD108" s="695">
        <v>1588.4178899999999</v>
      </c>
      <c r="CE108" s="419">
        <v>951.55007999999998</v>
      </c>
      <c r="CG108" s="374">
        <v>951.55007999999998</v>
      </c>
      <c r="CH108" s="374">
        <v>3006.9659499999998</v>
      </c>
      <c r="CI108" s="1037">
        <v>3517.6339699999999</v>
      </c>
      <c r="CJ108" s="1037">
        <v>0</v>
      </c>
    </row>
    <row r="109" spans="1:88" s="1013" customFormat="1" ht="26.25" hidden="1" thickBot="1" x14ac:dyDescent="0.3">
      <c r="A109" s="268" t="s">
        <v>1748</v>
      </c>
      <c r="B109" s="144" t="s">
        <v>234</v>
      </c>
      <c r="C109" s="75">
        <v>2018</v>
      </c>
      <c r="D109" s="75" t="s">
        <v>1712</v>
      </c>
      <c r="E109" s="76" t="s">
        <v>212</v>
      </c>
      <c r="F109" s="84" t="s">
        <v>212</v>
      </c>
      <c r="G109" s="227" t="s">
        <v>235</v>
      </c>
      <c r="H109" s="25">
        <v>5650.5428199999997</v>
      </c>
      <c r="I109" s="2533">
        <f t="shared" si="13"/>
        <v>0</v>
      </c>
      <c r="J109" s="2643">
        <f t="shared" si="10"/>
        <v>5650.5428199999997</v>
      </c>
      <c r="K109" s="2643">
        <f t="shared" si="11"/>
        <v>5650.5428199999997</v>
      </c>
      <c r="L109" s="2643">
        <f t="shared" si="12"/>
        <v>0</v>
      </c>
      <c r="M109" s="866"/>
      <c r="N109" s="540">
        <v>0</v>
      </c>
      <c r="O109" s="483">
        <v>0</v>
      </c>
      <c r="P109" s="437">
        <v>0</v>
      </c>
      <c r="Q109" s="131">
        <v>0</v>
      </c>
      <c r="R109" s="2335">
        <v>0</v>
      </c>
      <c r="S109" s="1449">
        <v>0</v>
      </c>
      <c r="T109" s="1463">
        <v>0</v>
      </c>
      <c r="U109" s="1463"/>
      <c r="V109" s="1463"/>
      <c r="W109" s="1463"/>
      <c r="X109" s="1463"/>
      <c r="Y109" s="27">
        <v>0</v>
      </c>
      <c r="Z109" s="23">
        <v>0</v>
      </c>
      <c r="AA109" s="26">
        <v>0</v>
      </c>
      <c r="AB109" s="131">
        <v>0</v>
      </c>
      <c r="AC109" s="143" t="s">
        <v>1209</v>
      </c>
      <c r="AD109" s="75" t="s">
        <v>1329</v>
      </c>
      <c r="AE109" s="379" t="s">
        <v>1178</v>
      </c>
      <c r="AF109" s="74" t="s">
        <v>1283</v>
      </c>
      <c r="AG109" s="74" t="s">
        <v>1283</v>
      </c>
      <c r="AH109" s="415">
        <v>12</v>
      </c>
      <c r="AI109" s="722" t="s">
        <v>1447</v>
      </c>
      <c r="AJ109" s="2416">
        <v>0</v>
      </c>
      <c r="AK109" s="516">
        <v>0</v>
      </c>
      <c r="AL109" s="452">
        <v>0</v>
      </c>
      <c r="AM109" s="513">
        <v>0</v>
      </c>
      <c r="AN109" s="1142"/>
      <c r="AO109" s="1142"/>
      <c r="AP109" s="1050"/>
      <c r="AQ109" s="662" t="s">
        <v>1349</v>
      </c>
      <c r="AR109" s="1051">
        <v>5</v>
      </c>
      <c r="AS109" s="1051"/>
      <c r="AT109" s="662">
        <v>3</v>
      </c>
      <c r="AU109" s="1493"/>
      <c r="AV109" s="435"/>
      <c r="AW109" s="75" t="s">
        <v>1809</v>
      </c>
      <c r="AX109" s="143"/>
      <c r="AY109" s="143"/>
      <c r="AZ109" s="143" t="s">
        <v>1209</v>
      </c>
      <c r="BA109" s="143"/>
      <c r="BB109" s="143" t="s">
        <v>1209</v>
      </c>
      <c r="BC109" s="143" t="s">
        <v>1209</v>
      </c>
      <c r="BD109" s="425" t="s">
        <v>1209</v>
      </c>
      <c r="BE109" s="425" t="s">
        <v>1209</v>
      </c>
      <c r="BF109" s="767" t="s">
        <v>910</v>
      </c>
      <c r="BG109" s="425" t="s">
        <v>1209</v>
      </c>
      <c r="BH109" s="755">
        <v>1</v>
      </c>
      <c r="BI109" s="755">
        <v>0</v>
      </c>
      <c r="BJ109" s="497"/>
      <c r="BK109" s="1048"/>
      <c r="BL109" s="25">
        <v>0</v>
      </c>
      <c r="BM109" s="866">
        <v>5650.5428199999997</v>
      </c>
      <c r="BN109" s="2399">
        <v>5650.5428199999997</v>
      </c>
      <c r="BO109" s="2263">
        <v>5650.5428199999997</v>
      </c>
      <c r="BP109" s="2314">
        <v>0</v>
      </c>
      <c r="BQ109" s="1482">
        <v>5650.5428199999997</v>
      </c>
      <c r="BR109" s="27">
        <v>0</v>
      </c>
      <c r="BS109" s="866">
        <v>0</v>
      </c>
      <c r="BT109" s="54">
        <v>5650.5428199999997</v>
      </c>
      <c r="BU109" s="44"/>
      <c r="BV109" s="1482">
        <v>5650.5428199999997</v>
      </c>
      <c r="BW109" s="866">
        <v>0</v>
      </c>
      <c r="BX109" s="25">
        <v>5650.5428199999997</v>
      </c>
      <c r="BY109" s="1374"/>
      <c r="BZ109" s="1198">
        <v>5650.5428199999997</v>
      </c>
      <c r="CA109" s="1118">
        <v>5650.5428199999997</v>
      </c>
      <c r="CB109" s="837">
        <v>5650.5428199999997</v>
      </c>
      <c r="CC109" s="837"/>
      <c r="CD109" s="695">
        <v>5650.5428199999997</v>
      </c>
      <c r="CE109" s="704">
        <v>341.89499999999998</v>
      </c>
      <c r="CG109" s="374">
        <v>341.89499999999998</v>
      </c>
      <c r="CH109" s="374">
        <v>5308.6478200000001</v>
      </c>
      <c r="CI109" s="1037">
        <v>0</v>
      </c>
      <c r="CJ109" s="1037">
        <v>0</v>
      </c>
    </row>
    <row r="110" spans="1:88" s="985" customFormat="1" ht="31.5" hidden="1" customHeight="1" thickBot="1" x14ac:dyDescent="0.3">
      <c r="A110" s="1826" t="s">
        <v>1749</v>
      </c>
      <c r="B110" s="1827" t="s">
        <v>236</v>
      </c>
      <c r="C110" s="1828">
        <v>2018</v>
      </c>
      <c r="D110" s="1828" t="s">
        <v>1712</v>
      </c>
      <c r="E110" s="1829" t="s">
        <v>26</v>
      </c>
      <c r="F110" s="1830" t="s">
        <v>237</v>
      </c>
      <c r="G110" s="1831" t="s">
        <v>238</v>
      </c>
      <c r="H110" s="1832">
        <v>13883.616739999999</v>
      </c>
      <c r="I110" s="2533">
        <f t="shared" si="13"/>
        <v>0</v>
      </c>
      <c r="J110" s="2643">
        <f t="shared" si="10"/>
        <v>13883.616739999999</v>
      </c>
      <c r="K110" s="2643">
        <f t="shared" si="11"/>
        <v>13883.616739999999</v>
      </c>
      <c r="L110" s="2643">
        <f t="shared" si="12"/>
        <v>0</v>
      </c>
      <c r="M110" s="2442"/>
      <c r="N110" s="2365">
        <v>0</v>
      </c>
      <c r="O110" s="1836">
        <v>0</v>
      </c>
      <c r="P110" s="1837">
        <v>0</v>
      </c>
      <c r="Q110" s="1838">
        <v>0</v>
      </c>
      <c r="R110" s="1838">
        <v>16.38326</v>
      </c>
      <c r="S110" s="1836">
        <v>-16.38326</v>
      </c>
      <c r="T110" s="1770">
        <v>0</v>
      </c>
      <c r="U110" s="1770"/>
      <c r="V110" s="1770"/>
      <c r="W110" s="1770"/>
      <c r="X110" s="1770"/>
      <c r="Y110" s="1840">
        <v>0</v>
      </c>
      <c r="Z110" s="1841">
        <v>0</v>
      </c>
      <c r="AA110" s="1839">
        <v>0</v>
      </c>
      <c r="AB110" s="1838">
        <v>0</v>
      </c>
      <c r="AC110" s="2283" t="s">
        <v>2464</v>
      </c>
      <c r="AD110" s="1828" t="s">
        <v>1329</v>
      </c>
      <c r="AE110" s="1843" t="s">
        <v>355</v>
      </c>
      <c r="AF110" s="1842" t="s">
        <v>1283</v>
      </c>
      <c r="AG110" s="1842" t="s">
        <v>1283</v>
      </c>
      <c r="AH110" s="1282">
        <v>1</v>
      </c>
      <c r="AI110" s="1319" t="s">
        <v>1447</v>
      </c>
      <c r="AJ110" s="2416">
        <v>16.383260000000519</v>
      </c>
      <c r="AK110" s="516">
        <v>0</v>
      </c>
      <c r="AL110" s="1320">
        <v>0</v>
      </c>
      <c r="AM110" s="512">
        <v>0</v>
      </c>
      <c r="AN110" s="1171"/>
      <c r="AO110" s="1171"/>
      <c r="AP110" s="1321"/>
      <c r="AQ110" s="674" t="s">
        <v>1349</v>
      </c>
      <c r="AR110" s="1323">
        <v>5</v>
      </c>
      <c r="AS110" s="1323"/>
      <c r="AT110" s="674">
        <v>6</v>
      </c>
      <c r="AU110" s="1491">
        <v>2</v>
      </c>
      <c r="AV110" s="455"/>
      <c r="AW110" s="979" t="s">
        <v>1955</v>
      </c>
      <c r="AX110" s="982"/>
      <c r="AY110" s="982"/>
      <c r="AZ110" s="2283" t="s">
        <v>2464</v>
      </c>
      <c r="BA110" s="2283"/>
      <c r="BB110" s="2283" t="s">
        <v>2464</v>
      </c>
      <c r="BC110" s="982" t="s">
        <v>1475</v>
      </c>
      <c r="BD110" s="924" t="s">
        <v>1475</v>
      </c>
      <c r="BE110" s="924" t="s">
        <v>1475</v>
      </c>
      <c r="BF110" s="767" t="s">
        <v>1475</v>
      </c>
      <c r="BG110" s="982" t="s">
        <v>1381</v>
      </c>
      <c r="BH110" s="403">
        <v>1</v>
      </c>
      <c r="BI110" s="403">
        <v>0</v>
      </c>
      <c r="BJ110" s="983"/>
      <c r="BK110" s="1325" t="s">
        <v>1487</v>
      </c>
      <c r="BL110" s="2268">
        <v>0</v>
      </c>
      <c r="BM110" s="2442">
        <v>13883.616739999999</v>
      </c>
      <c r="BN110" s="2268">
        <v>13900</v>
      </c>
      <c r="BO110" s="2268">
        <v>13900</v>
      </c>
      <c r="BP110" s="2315">
        <v>16.383260000000519</v>
      </c>
      <c r="BQ110" s="1833">
        <v>8615.1769299999996</v>
      </c>
      <c r="BR110" s="1770">
        <v>5268.4398099999999</v>
      </c>
      <c r="BS110" s="1835">
        <v>5268.4398099999999</v>
      </c>
      <c r="BT110" s="54">
        <v>13883.616739999999</v>
      </c>
      <c r="BU110" s="1834"/>
      <c r="BV110" s="1538">
        <v>8615.1769299999996</v>
      </c>
      <c r="BW110" s="1377">
        <v>5000.8033999999998</v>
      </c>
      <c r="BX110" s="980">
        <v>3614.3735299999998</v>
      </c>
      <c r="BY110" s="2188">
        <v>1204.8327200000001</v>
      </c>
      <c r="BZ110" s="1954">
        <v>2409.54081</v>
      </c>
      <c r="CA110" s="1954">
        <v>145.19999999999999</v>
      </c>
      <c r="CB110" s="1847">
        <v>108.9</v>
      </c>
      <c r="CC110" s="1847"/>
      <c r="CD110" s="1070">
        <v>36.299999999999997</v>
      </c>
      <c r="CE110" s="704">
        <v>0</v>
      </c>
      <c r="CG110" s="1253">
        <v>0</v>
      </c>
      <c r="CH110" s="1253">
        <v>108.9</v>
      </c>
      <c r="CI110" s="1548">
        <v>3505.4735300000011</v>
      </c>
      <c r="CJ110" s="2189">
        <v>10285.626469999999</v>
      </c>
    </row>
    <row r="111" spans="1:88" s="1013" customFormat="1" ht="26.25" hidden="1" thickBot="1" x14ac:dyDescent="0.3">
      <c r="A111" s="268" t="s">
        <v>1750</v>
      </c>
      <c r="B111" s="144" t="s">
        <v>270</v>
      </c>
      <c r="C111" s="75">
        <v>2018</v>
      </c>
      <c r="D111" s="75" t="s">
        <v>248</v>
      </c>
      <c r="E111" s="76" t="s">
        <v>271</v>
      </c>
      <c r="F111" s="84" t="s">
        <v>271</v>
      </c>
      <c r="G111" s="227" t="s">
        <v>272</v>
      </c>
      <c r="H111" s="25">
        <v>180.35824</v>
      </c>
      <c r="I111" s="2533">
        <f t="shared" si="13"/>
        <v>0</v>
      </c>
      <c r="J111" s="2643">
        <f t="shared" si="10"/>
        <v>180.35824</v>
      </c>
      <c r="K111" s="2643">
        <f t="shared" si="11"/>
        <v>180.35824</v>
      </c>
      <c r="L111" s="2643">
        <f t="shared" si="12"/>
        <v>0</v>
      </c>
      <c r="M111" s="866"/>
      <c r="N111" s="540">
        <v>0</v>
      </c>
      <c r="O111" s="483">
        <v>0</v>
      </c>
      <c r="P111" s="437">
        <v>0</v>
      </c>
      <c r="Q111" s="131">
        <v>0</v>
      </c>
      <c r="R111" s="2345">
        <v>0</v>
      </c>
      <c r="S111" s="1455">
        <v>0</v>
      </c>
      <c r="T111" s="1463">
        <v>0</v>
      </c>
      <c r="U111" s="1463"/>
      <c r="V111" s="1463"/>
      <c r="W111" s="1463"/>
      <c r="X111" s="1463"/>
      <c r="Y111" s="27">
        <v>0</v>
      </c>
      <c r="Z111" s="23">
        <v>0</v>
      </c>
      <c r="AA111" s="26">
        <v>0</v>
      </c>
      <c r="AB111" s="131">
        <v>0</v>
      </c>
      <c r="AC111" s="143" t="s">
        <v>1209</v>
      </c>
      <c r="AD111" s="75" t="s">
        <v>1329</v>
      </c>
      <c r="AE111" s="379" t="s">
        <v>1178</v>
      </c>
      <c r="AF111" s="74" t="s">
        <v>1283</v>
      </c>
      <c r="AG111" s="74" t="s">
        <v>1283</v>
      </c>
      <c r="AH111" s="415">
        <v>9</v>
      </c>
      <c r="AI111" s="722" t="s">
        <v>1447</v>
      </c>
      <c r="AJ111" s="2416">
        <v>-2.3999999999091415E-4</v>
      </c>
      <c r="AK111" s="516">
        <v>0</v>
      </c>
      <c r="AL111" s="452">
        <v>0</v>
      </c>
      <c r="AM111" s="513">
        <v>0</v>
      </c>
      <c r="AN111" s="1142"/>
      <c r="AO111" s="1142"/>
      <c r="AP111" s="1050"/>
      <c r="AQ111" s="662" t="s">
        <v>1349</v>
      </c>
      <c r="AR111" s="1051">
        <v>5</v>
      </c>
      <c r="AS111" s="1051"/>
      <c r="AT111" s="662">
        <v>4</v>
      </c>
      <c r="AU111" s="1493"/>
      <c r="AV111" s="435"/>
      <c r="AW111" s="75" t="s">
        <v>1812</v>
      </c>
      <c r="AX111" s="143"/>
      <c r="AY111" s="143"/>
      <c r="AZ111" s="143" t="s">
        <v>1209</v>
      </c>
      <c r="BA111" s="143"/>
      <c r="BB111" s="143" t="s">
        <v>1209</v>
      </c>
      <c r="BC111" s="143" t="s">
        <v>1209</v>
      </c>
      <c r="BD111" s="425" t="s">
        <v>1209</v>
      </c>
      <c r="BE111" s="425" t="s">
        <v>1209</v>
      </c>
      <c r="BF111" s="767" t="s">
        <v>910</v>
      </c>
      <c r="BG111" s="425" t="s">
        <v>1209</v>
      </c>
      <c r="BH111" s="755">
        <v>1</v>
      </c>
      <c r="BI111" s="755">
        <v>0</v>
      </c>
      <c r="BJ111" s="497"/>
      <c r="BK111" s="1048"/>
      <c r="BL111" s="181">
        <v>0</v>
      </c>
      <c r="BM111" s="866">
        <v>180.35824</v>
      </c>
      <c r="BN111" s="2399">
        <v>180.358</v>
      </c>
      <c r="BO111" s="2263">
        <v>180.358</v>
      </c>
      <c r="BP111" s="2314">
        <v>-2.3999999999091415E-4</v>
      </c>
      <c r="BQ111" s="1482">
        <v>180.35824</v>
      </c>
      <c r="BR111" s="27">
        <v>0</v>
      </c>
      <c r="BS111" s="866">
        <v>0</v>
      </c>
      <c r="BT111" s="54">
        <v>180.35824</v>
      </c>
      <c r="BU111" s="44"/>
      <c r="BV111" s="1482">
        <v>180.35824</v>
      </c>
      <c r="BW111" s="866">
        <v>0</v>
      </c>
      <c r="BX111" s="25">
        <v>180.35824</v>
      </c>
      <c r="BY111" s="1374"/>
      <c r="BZ111" s="1198">
        <v>180.35824</v>
      </c>
      <c r="CA111" s="1118">
        <v>180.35824</v>
      </c>
      <c r="CB111" s="938">
        <v>180.35824</v>
      </c>
      <c r="CC111" s="938"/>
      <c r="CD111" s="695">
        <v>0</v>
      </c>
      <c r="CE111" s="419">
        <v>0</v>
      </c>
      <c r="CG111" s="374">
        <v>0</v>
      </c>
      <c r="CH111" s="374">
        <v>180.35824</v>
      </c>
      <c r="CI111" s="1037">
        <v>-2.4000000000000001E-4</v>
      </c>
      <c r="CJ111" s="1037">
        <v>0</v>
      </c>
    </row>
    <row r="112" spans="1:88" s="985" customFormat="1" ht="39" hidden="1" thickBot="1" x14ac:dyDescent="0.3">
      <c r="A112" s="173" t="s">
        <v>1751</v>
      </c>
      <c r="B112" s="144" t="s">
        <v>283</v>
      </c>
      <c r="C112" s="75">
        <v>2018</v>
      </c>
      <c r="D112" s="75" t="s">
        <v>284</v>
      </c>
      <c r="E112" s="76" t="s">
        <v>285</v>
      </c>
      <c r="F112" s="84" t="s">
        <v>285</v>
      </c>
      <c r="G112" s="228" t="s">
        <v>286</v>
      </c>
      <c r="H112" s="25">
        <v>6062.57</v>
      </c>
      <c r="I112" s="2533">
        <f t="shared" si="13"/>
        <v>5800</v>
      </c>
      <c r="J112" s="2643">
        <f t="shared" si="10"/>
        <v>262.57</v>
      </c>
      <c r="K112" s="2643">
        <f t="shared" si="11"/>
        <v>6062.57</v>
      </c>
      <c r="L112" s="2643">
        <f t="shared" si="12"/>
        <v>0</v>
      </c>
      <c r="M112" s="866"/>
      <c r="N112" s="540">
        <v>0</v>
      </c>
      <c r="O112" s="483">
        <v>0</v>
      </c>
      <c r="P112" s="437">
        <v>0</v>
      </c>
      <c r="Q112" s="131">
        <v>0</v>
      </c>
      <c r="R112" s="2345">
        <v>0</v>
      </c>
      <c r="S112" s="1455">
        <v>0</v>
      </c>
      <c r="T112" s="1462">
        <v>0</v>
      </c>
      <c r="U112" s="1462"/>
      <c r="V112" s="1462"/>
      <c r="W112" s="1462"/>
      <c r="X112" s="1462"/>
      <c r="Y112" s="132">
        <v>0</v>
      </c>
      <c r="Z112" s="26">
        <v>0</v>
      </c>
      <c r="AA112" s="26">
        <v>3100</v>
      </c>
      <c r="AB112" s="131">
        <v>2700</v>
      </c>
      <c r="AC112" s="143" t="s">
        <v>2253</v>
      </c>
      <c r="AD112" s="75" t="s">
        <v>1329</v>
      </c>
      <c r="AE112" s="379" t="s">
        <v>1352</v>
      </c>
      <c r="AF112" s="74" t="s">
        <v>1283</v>
      </c>
      <c r="AG112" s="74" t="s">
        <v>1282</v>
      </c>
      <c r="AH112" s="76">
        <v>1</v>
      </c>
      <c r="AI112" s="722" t="s">
        <v>1447</v>
      </c>
      <c r="AJ112" s="2416">
        <v>0</v>
      </c>
      <c r="AK112" s="516">
        <v>0</v>
      </c>
      <c r="AL112" s="452">
        <v>0</v>
      </c>
      <c r="AM112" s="513">
        <v>0</v>
      </c>
      <c r="AN112" s="1142"/>
      <c r="AO112" s="1142"/>
      <c r="AP112" s="1050"/>
      <c r="AQ112" s="662" t="s">
        <v>1349</v>
      </c>
      <c r="AR112" s="1051">
        <v>5</v>
      </c>
      <c r="AS112" s="1051"/>
      <c r="AT112" s="662">
        <v>4</v>
      </c>
      <c r="AU112" s="1493"/>
      <c r="AV112" s="455"/>
      <c r="AW112" s="979" t="s">
        <v>1862</v>
      </c>
      <c r="AX112" s="982"/>
      <c r="AY112" s="982"/>
      <c r="AZ112" s="143" t="s">
        <v>2253</v>
      </c>
      <c r="BA112" s="143"/>
      <c r="BB112" s="143" t="s">
        <v>2253</v>
      </c>
      <c r="BC112" s="143" t="s">
        <v>1861</v>
      </c>
      <c r="BD112" s="143" t="s">
        <v>1861</v>
      </c>
      <c r="BE112" s="964" t="s">
        <v>1861</v>
      </c>
      <c r="BF112" s="767" t="s">
        <v>1477</v>
      </c>
      <c r="BG112" s="924" t="s">
        <v>1360</v>
      </c>
      <c r="BH112" s="403">
        <v>1</v>
      </c>
      <c r="BI112" s="403">
        <v>0</v>
      </c>
      <c r="BJ112" s="983"/>
      <c r="BK112" s="1048"/>
      <c r="BL112" s="181">
        <v>0</v>
      </c>
      <c r="BM112" s="866">
        <v>262.57</v>
      </c>
      <c r="BN112" s="2399">
        <v>262.57</v>
      </c>
      <c r="BO112" s="2263">
        <v>262.57</v>
      </c>
      <c r="BP112" s="2314">
        <v>0</v>
      </c>
      <c r="BQ112" s="1482">
        <v>262.57</v>
      </c>
      <c r="BR112" s="27">
        <v>0</v>
      </c>
      <c r="BS112" s="866">
        <v>0</v>
      </c>
      <c r="BT112" s="54">
        <v>262.57</v>
      </c>
      <c r="BU112" s="44"/>
      <c r="BV112" s="1482">
        <v>262.57</v>
      </c>
      <c r="BW112" s="866">
        <v>0</v>
      </c>
      <c r="BX112" s="25">
        <v>262.57</v>
      </c>
      <c r="BY112" s="1374"/>
      <c r="BZ112" s="1198">
        <v>262.57</v>
      </c>
      <c r="CA112" s="1118">
        <v>262.57</v>
      </c>
      <c r="CB112" s="963">
        <v>262.57</v>
      </c>
      <c r="CC112" s="963"/>
      <c r="CD112" s="1070">
        <v>262.57</v>
      </c>
      <c r="CE112" s="704">
        <v>262.57</v>
      </c>
      <c r="CG112" s="374">
        <v>262.57</v>
      </c>
      <c r="CH112" s="374">
        <v>0</v>
      </c>
      <c r="CI112" s="1037">
        <v>0</v>
      </c>
      <c r="CJ112" s="1037">
        <v>0</v>
      </c>
    </row>
    <row r="113" spans="1:98" s="1013" customFormat="1" ht="26.25" hidden="1" thickBot="1" x14ac:dyDescent="0.3">
      <c r="A113" s="1418" t="s">
        <v>1752</v>
      </c>
      <c r="B113" s="1419" t="s">
        <v>848</v>
      </c>
      <c r="C113" s="75">
        <v>2018</v>
      </c>
      <c r="D113" s="1420" t="s">
        <v>1241</v>
      </c>
      <c r="E113" s="1420" t="s">
        <v>307</v>
      </c>
      <c r="F113" s="1420" t="s">
        <v>307</v>
      </c>
      <c r="G113" s="1421" t="s">
        <v>308</v>
      </c>
      <c r="H113" s="1422">
        <v>714.23400000000004</v>
      </c>
      <c r="I113" s="2533">
        <f t="shared" si="13"/>
        <v>0</v>
      </c>
      <c r="J113" s="2643">
        <f t="shared" si="10"/>
        <v>714.23400000000004</v>
      </c>
      <c r="K113" s="2643">
        <f t="shared" si="11"/>
        <v>714.23400000000004</v>
      </c>
      <c r="L113" s="2643">
        <f t="shared" si="12"/>
        <v>0</v>
      </c>
      <c r="M113" s="866"/>
      <c r="N113" s="540">
        <v>0</v>
      </c>
      <c r="O113" s="483">
        <v>0</v>
      </c>
      <c r="P113" s="437">
        <v>0</v>
      </c>
      <c r="Q113" s="131">
        <v>0</v>
      </c>
      <c r="R113" s="2335">
        <v>0</v>
      </c>
      <c r="S113" s="1449">
        <v>0</v>
      </c>
      <c r="T113" s="1463">
        <v>0</v>
      </c>
      <c r="U113" s="1463"/>
      <c r="V113" s="1463"/>
      <c r="W113" s="1463"/>
      <c r="X113" s="1463"/>
      <c r="Y113" s="27">
        <v>0</v>
      </c>
      <c r="Z113" s="23">
        <v>0</v>
      </c>
      <c r="AA113" s="26">
        <v>0</v>
      </c>
      <c r="AB113" s="131">
        <v>0</v>
      </c>
      <c r="AC113" s="143" t="s">
        <v>1209</v>
      </c>
      <c r="AD113" s="75" t="s">
        <v>1329</v>
      </c>
      <c r="AE113" s="379" t="s">
        <v>911</v>
      </c>
      <c r="AF113" s="74" t="s">
        <v>1209</v>
      </c>
      <c r="AG113" s="74" t="s">
        <v>1209</v>
      </c>
      <c r="AH113" s="423">
        <v>11</v>
      </c>
      <c r="AI113" s="722" t="s">
        <v>1447</v>
      </c>
      <c r="AJ113" s="2416">
        <v>0</v>
      </c>
      <c r="AK113" s="516">
        <v>0</v>
      </c>
      <c r="AL113" s="452">
        <v>0</v>
      </c>
      <c r="AM113" s="513">
        <v>0</v>
      </c>
      <c r="AN113" s="1142"/>
      <c r="AO113" s="1142"/>
      <c r="AP113" s="1050"/>
      <c r="AQ113" s="662" t="s">
        <v>1349</v>
      </c>
      <c r="AR113" s="1051">
        <v>5</v>
      </c>
      <c r="AS113" s="1051"/>
      <c r="AT113" s="662">
        <v>2</v>
      </c>
      <c r="AU113" s="1493"/>
      <c r="AV113" s="435"/>
      <c r="AW113" s="75"/>
      <c r="AX113" s="143"/>
      <c r="AY113" s="143"/>
      <c r="AZ113" s="143" t="s">
        <v>1209</v>
      </c>
      <c r="BA113" s="143"/>
      <c r="BB113" s="143" t="s">
        <v>1209</v>
      </c>
      <c r="BC113" s="143" t="s">
        <v>1209</v>
      </c>
      <c r="BD113" s="425" t="s">
        <v>1209</v>
      </c>
      <c r="BE113" s="425" t="s">
        <v>1209</v>
      </c>
      <c r="BF113" s="768" t="s">
        <v>1209</v>
      </c>
      <c r="BG113" s="425" t="s">
        <v>1209</v>
      </c>
      <c r="BH113" s="755">
        <v>1</v>
      </c>
      <c r="BI113" s="755">
        <v>0</v>
      </c>
      <c r="BJ113" s="983"/>
      <c r="BK113" s="1048"/>
      <c r="BL113" s="1422">
        <v>0</v>
      </c>
      <c r="BM113" s="866">
        <v>714.23400000000004</v>
      </c>
      <c r="BN113" s="2399">
        <v>714.23400000000004</v>
      </c>
      <c r="BO113" s="2263">
        <v>714.23400000000004</v>
      </c>
      <c r="BP113" s="2314">
        <v>0</v>
      </c>
      <c r="BQ113" s="1482">
        <v>714.23400000000004</v>
      </c>
      <c r="BR113" s="269">
        <v>0</v>
      </c>
      <c r="BS113" s="866">
        <v>0</v>
      </c>
      <c r="BT113" s="54">
        <v>714.23400000000004</v>
      </c>
      <c r="BU113" s="1522"/>
      <c r="BV113" s="1482">
        <v>714.23400000000004</v>
      </c>
      <c r="BW113" s="866">
        <v>0</v>
      </c>
      <c r="BX113" s="25">
        <v>714.23400000000004</v>
      </c>
      <c r="BY113" s="1375"/>
      <c r="BZ113" s="1199">
        <v>714.23400000000004</v>
      </c>
      <c r="CA113" s="1120">
        <v>714.23400000000004</v>
      </c>
      <c r="CB113" s="1045">
        <v>714.23400000000004</v>
      </c>
      <c r="CC113" s="1045"/>
      <c r="CD113" s="826">
        <v>714.23400000000004</v>
      </c>
      <c r="CE113" s="424">
        <v>714.23400000000004</v>
      </c>
      <c r="CG113" s="1423">
        <v>714.23400000000004</v>
      </c>
      <c r="CH113" s="1423">
        <v>0</v>
      </c>
      <c r="CI113" s="1444">
        <v>0</v>
      </c>
      <c r="CJ113" s="1444">
        <v>0</v>
      </c>
    </row>
    <row r="114" spans="1:98" s="1013" customFormat="1" ht="26.25" hidden="1" thickBot="1" x14ac:dyDescent="0.3">
      <c r="A114" s="1418" t="s">
        <v>1753</v>
      </c>
      <c r="B114" s="1419" t="s">
        <v>849</v>
      </c>
      <c r="C114" s="75">
        <v>2018</v>
      </c>
      <c r="D114" s="1420" t="s">
        <v>1242</v>
      </c>
      <c r="E114" s="1420" t="s">
        <v>307</v>
      </c>
      <c r="F114" s="1420" t="s">
        <v>307</v>
      </c>
      <c r="G114" s="1421" t="s">
        <v>309</v>
      </c>
      <c r="H114" s="1422">
        <v>654.97299999999996</v>
      </c>
      <c r="I114" s="2533">
        <f t="shared" si="13"/>
        <v>0</v>
      </c>
      <c r="J114" s="2643">
        <f t="shared" si="10"/>
        <v>654.97299999999996</v>
      </c>
      <c r="K114" s="2643">
        <f t="shared" si="11"/>
        <v>654.97299999999996</v>
      </c>
      <c r="L114" s="2643">
        <f t="shared" si="12"/>
        <v>0</v>
      </c>
      <c r="M114" s="866"/>
      <c r="N114" s="540">
        <v>0</v>
      </c>
      <c r="O114" s="483">
        <v>0</v>
      </c>
      <c r="P114" s="437">
        <v>0</v>
      </c>
      <c r="Q114" s="131">
        <v>0</v>
      </c>
      <c r="R114" s="2335">
        <v>0</v>
      </c>
      <c r="S114" s="1449">
        <v>0</v>
      </c>
      <c r="T114" s="1463">
        <v>0</v>
      </c>
      <c r="U114" s="1463"/>
      <c r="V114" s="1463"/>
      <c r="W114" s="1463"/>
      <c r="X114" s="1463"/>
      <c r="Y114" s="27">
        <v>0</v>
      </c>
      <c r="Z114" s="23">
        <v>0</v>
      </c>
      <c r="AA114" s="26">
        <v>0</v>
      </c>
      <c r="AB114" s="131">
        <v>0</v>
      </c>
      <c r="AC114" s="143" t="s">
        <v>1209</v>
      </c>
      <c r="AD114" s="75" t="s">
        <v>1329</v>
      </c>
      <c r="AE114" s="379" t="s">
        <v>911</v>
      </c>
      <c r="AF114" s="74" t="s">
        <v>1209</v>
      </c>
      <c r="AG114" s="74" t="s">
        <v>1209</v>
      </c>
      <c r="AH114" s="423">
        <v>11</v>
      </c>
      <c r="AI114" s="722" t="s">
        <v>1447</v>
      </c>
      <c r="AJ114" s="2416">
        <v>0</v>
      </c>
      <c r="AK114" s="516">
        <v>0</v>
      </c>
      <c r="AL114" s="452">
        <v>0</v>
      </c>
      <c r="AM114" s="513">
        <v>0</v>
      </c>
      <c r="AN114" s="1142"/>
      <c r="AO114" s="1142"/>
      <c r="AP114" s="1050"/>
      <c r="AQ114" s="662" t="s">
        <v>1349</v>
      </c>
      <c r="AR114" s="1051">
        <v>5</v>
      </c>
      <c r="AS114" s="1051"/>
      <c r="AT114" s="662">
        <v>2</v>
      </c>
      <c r="AU114" s="1493"/>
      <c r="AV114" s="435"/>
      <c r="AW114" s="75"/>
      <c r="AX114" s="143"/>
      <c r="AY114" s="143"/>
      <c r="AZ114" s="143" t="s">
        <v>1209</v>
      </c>
      <c r="BA114" s="143"/>
      <c r="BB114" s="143" t="s">
        <v>1209</v>
      </c>
      <c r="BC114" s="143" t="s">
        <v>1209</v>
      </c>
      <c r="BD114" s="425" t="s">
        <v>1209</v>
      </c>
      <c r="BE114" s="425" t="s">
        <v>1209</v>
      </c>
      <c r="BF114" s="768" t="s">
        <v>1209</v>
      </c>
      <c r="BG114" s="425" t="s">
        <v>1209</v>
      </c>
      <c r="BH114" s="755">
        <v>1</v>
      </c>
      <c r="BI114" s="755">
        <v>0</v>
      </c>
      <c r="BJ114" s="983"/>
      <c r="BK114" s="1048"/>
      <c r="BL114" s="1422">
        <v>0</v>
      </c>
      <c r="BM114" s="866">
        <v>654.97299999999996</v>
      </c>
      <c r="BN114" s="2399">
        <v>654.97299999999996</v>
      </c>
      <c r="BO114" s="2263">
        <v>654.97299999999996</v>
      </c>
      <c r="BP114" s="2314">
        <v>0</v>
      </c>
      <c r="BQ114" s="1482">
        <v>654.97299999999996</v>
      </c>
      <c r="BR114" s="269">
        <v>0</v>
      </c>
      <c r="BS114" s="866">
        <v>0</v>
      </c>
      <c r="BT114" s="54">
        <v>654.97299999999996</v>
      </c>
      <c r="BU114" s="1522"/>
      <c r="BV114" s="1482">
        <v>654.97299999999996</v>
      </c>
      <c r="BW114" s="866">
        <v>0</v>
      </c>
      <c r="BX114" s="25">
        <v>654.97299999999996</v>
      </c>
      <c r="BY114" s="1375"/>
      <c r="BZ114" s="1199">
        <v>654.97299999999996</v>
      </c>
      <c r="CA114" s="1120">
        <v>654.97299999999996</v>
      </c>
      <c r="CB114" s="1045">
        <v>654.97299999999996</v>
      </c>
      <c r="CC114" s="1045"/>
      <c r="CD114" s="826">
        <v>654.97299999999996</v>
      </c>
      <c r="CE114" s="424">
        <v>654.97299999999996</v>
      </c>
      <c r="CG114" s="1423">
        <v>654.97299999999996</v>
      </c>
      <c r="CH114" s="1423">
        <v>0</v>
      </c>
      <c r="CI114" s="1444">
        <v>0</v>
      </c>
      <c r="CJ114" s="1444">
        <v>0</v>
      </c>
    </row>
    <row r="115" spans="1:98" s="985" customFormat="1" ht="26.25" hidden="1" thickBot="1" x14ac:dyDescent="0.3">
      <c r="A115" s="1788" t="s">
        <v>1754</v>
      </c>
      <c r="B115" s="1248" t="s">
        <v>850</v>
      </c>
      <c r="C115" s="979">
        <v>2018</v>
      </c>
      <c r="D115" s="1352" t="s">
        <v>101</v>
      </c>
      <c r="E115" s="1791" t="s">
        <v>307</v>
      </c>
      <c r="F115" s="1791" t="s">
        <v>307</v>
      </c>
      <c r="G115" s="1774" t="s">
        <v>310</v>
      </c>
      <c r="H115" s="980">
        <v>4959.8766699999996</v>
      </c>
      <c r="I115" s="2533">
        <f t="shared" si="13"/>
        <v>0</v>
      </c>
      <c r="J115" s="2643">
        <f t="shared" si="10"/>
        <v>4959.8766699999996</v>
      </c>
      <c r="K115" s="2643">
        <f t="shared" si="11"/>
        <v>4959.8766699999996</v>
      </c>
      <c r="L115" s="2643">
        <f t="shared" si="12"/>
        <v>0</v>
      </c>
      <c r="M115" s="1376"/>
      <c r="N115" s="2364">
        <v>0</v>
      </c>
      <c r="O115" s="1672">
        <v>0</v>
      </c>
      <c r="P115" s="1657">
        <v>0</v>
      </c>
      <c r="Q115" s="1658">
        <v>0</v>
      </c>
      <c r="R115" s="2346">
        <v>223</v>
      </c>
      <c r="S115" s="1849">
        <v>-223</v>
      </c>
      <c r="T115" s="1545">
        <v>0</v>
      </c>
      <c r="U115" s="1545"/>
      <c r="V115" s="1545"/>
      <c r="W115" s="1545"/>
      <c r="X115" s="1545"/>
      <c r="Y115" s="1539">
        <v>0</v>
      </c>
      <c r="Z115" s="1261">
        <v>0</v>
      </c>
      <c r="AA115" s="1542">
        <v>0</v>
      </c>
      <c r="AB115" s="1658">
        <v>0</v>
      </c>
      <c r="AC115" s="982" t="s">
        <v>2465</v>
      </c>
      <c r="AD115" s="979" t="s">
        <v>1329</v>
      </c>
      <c r="AE115" s="1590" t="s">
        <v>845</v>
      </c>
      <c r="AF115" s="1589" t="s">
        <v>1283</v>
      </c>
      <c r="AG115" s="1589" t="s">
        <v>1283</v>
      </c>
      <c r="AH115" s="2190">
        <v>11</v>
      </c>
      <c r="AI115" s="1319" t="s">
        <v>1447</v>
      </c>
      <c r="AJ115" s="2416">
        <v>223</v>
      </c>
      <c r="AK115" s="516">
        <v>0</v>
      </c>
      <c r="AL115" s="1320">
        <v>0</v>
      </c>
      <c r="AM115" s="512">
        <v>0</v>
      </c>
      <c r="AN115" s="1171"/>
      <c r="AO115" s="1171"/>
      <c r="AP115" s="1321"/>
      <c r="AQ115" s="674" t="s">
        <v>1349</v>
      </c>
      <c r="AR115" s="1323">
        <v>5</v>
      </c>
      <c r="AS115" s="1323"/>
      <c r="AT115" s="674">
        <v>6</v>
      </c>
      <c r="AU115" s="1491"/>
      <c r="AV115" s="455"/>
      <c r="AW115" s="979" t="s">
        <v>1956</v>
      </c>
      <c r="AX115" s="982"/>
      <c r="AY115" s="982"/>
      <c r="AZ115" s="982" t="s">
        <v>2465</v>
      </c>
      <c r="BA115" s="982"/>
      <c r="BB115" s="982" t="s">
        <v>2465</v>
      </c>
      <c r="BC115" s="982" t="s">
        <v>1209</v>
      </c>
      <c r="BD115" s="924" t="s">
        <v>1209</v>
      </c>
      <c r="BE115" s="924" t="s">
        <v>1829</v>
      </c>
      <c r="BF115" s="767" t="s">
        <v>972</v>
      </c>
      <c r="BG115" s="924" t="s">
        <v>1209</v>
      </c>
      <c r="BH115" s="403">
        <v>1</v>
      </c>
      <c r="BI115" s="403">
        <v>0</v>
      </c>
      <c r="BJ115" s="983"/>
      <c r="BK115" s="1325"/>
      <c r="BL115" s="980">
        <v>0</v>
      </c>
      <c r="BM115" s="1376">
        <v>4959.8766699999996</v>
      </c>
      <c r="BN115" s="2401">
        <v>5182.8766699999996</v>
      </c>
      <c r="BO115" s="2269">
        <v>5182.8766699999996</v>
      </c>
      <c r="BP115" s="2315">
        <v>223</v>
      </c>
      <c r="BQ115" s="1538">
        <v>1584.64517</v>
      </c>
      <c r="BR115" s="1539">
        <v>3375.2314999999999</v>
      </c>
      <c r="BS115" s="1376">
        <v>3375.2314999999999</v>
      </c>
      <c r="BT115" s="54">
        <v>4959.8766699999996</v>
      </c>
      <c r="BU115" s="1540"/>
      <c r="BV115" s="1538">
        <v>1584.64517</v>
      </c>
      <c r="BW115" s="1376">
        <v>0</v>
      </c>
      <c r="BX115" s="980">
        <v>1584.64517</v>
      </c>
      <c r="BY115" s="1953">
        <v>1584.64517</v>
      </c>
      <c r="BZ115" s="1070">
        <v>0</v>
      </c>
      <c r="CA115" s="1070">
        <v>0</v>
      </c>
      <c r="CB115" s="1070">
        <v>0</v>
      </c>
      <c r="CC115" s="1070"/>
      <c r="CD115" s="1070">
        <v>0</v>
      </c>
      <c r="CE115" s="704">
        <v>0</v>
      </c>
      <c r="CF115" s="985">
        <v>10</v>
      </c>
      <c r="CG115" s="1253">
        <v>0</v>
      </c>
      <c r="CH115" s="1253">
        <v>0</v>
      </c>
      <c r="CI115" s="1548">
        <v>1584.64517</v>
      </c>
      <c r="CJ115" s="1548">
        <v>3598.2314999999999</v>
      </c>
    </row>
    <row r="116" spans="1:98" s="985" customFormat="1" ht="26.25" hidden="1" thickBot="1" x14ac:dyDescent="0.3">
      <c r="A116" s="1788" t="s">
        <v>1755</v>
      </c>
      <c r="B116" s="1248" t="s">
        <v>851</v>
      </c>
      <c r="C116" s="979">
        <v>2018</v>
      </c>
      <c r="D116" s="1352" t="s">
        <v>101</v>
      </c>
      <c r="E116" s="1791" t="s">
        <v>311</v>
      </c>
      <c r="F116" s="1591" t="s">
        <v>258</v>
      </c>
      <c r="G116" s="1774" t="s">
        <v>312</v>
      </c>
      <c r="H116" s="980">
        <v>798.12699999999995</v>
      </c>
      <c r="I116" s="2533">
        <f t="shared" si="13"/>
        <v>0</v>
      </c>
      <c r="J116" s="2643">
        <f t="shared" si="10"/>
        <v>798.12699999999995</v>
      </c>
      <c r="K116" s="2643">
        <f t="shared" si="11"/>
        <v>798.12699999999995</v>
      </c>
      <c r="L116" s="2643">
        <f t="shared" si="12"/>
        <v>0</v>
      </c>
      <c r="M116" s="1376"/>
      <c r="N116" s="2364">
        <v>0</v>
      </c>
      <c r="O116" s="1672">
        <v>0</v>
      </c>
      <c r="P116" s="1657">
        <v>0</v>
      </c>
      <c r="Q116" s="1658">
        <v>0</v>
      </c>
      <c r="R116" s="2346">
        <v>211.87299999999999</v>
      </c>
      <c r="S116" s="1849">
        <v>-211.87299999999999</v>
      </c>
      <c r="T116" s="1545">
        <v>0</v>
      </c>
      <c r="U116" s="1545"/>
      <c r="V116" s="1545"/>
      <c r="W116" s="1545"/>
      <c r="X116" s="1545"/>
      <c r="Y116" s="1539">
        <v>0</v>
      </c>
      <c r="Z116" s="1261">
        <v>0</v>
      </c>
      <c r="AA116" s="1542">
        <v>0</v>
      </c>
      <c r="AB116" s="1658">
        <v>0</v>
      </c>
      <c r="AC116" s="982" t="s">
        <v>2466</v>
      </c>
      <c r="AD116" s="979" t="s">
        <v>1329</v>
      </c>
      <c r="AE116" s="1590" t="s">
        <v>355</v>
      </c>
      <c r="AF116" s="1589" t="s">
        <v>1282</v>
      </c>
      <c r="AG116" s="1589" t="s">
        <v>1282</v>
      </c>
      <c r="AH116" s="1536">
        <v>11</v>
      </c>
      <c r="AI116" s="1319"/>
      <c r="AJ116" s="2416">
        <v>211.87300000000005</v>
      </c>
      <c r="AK116" s="516">
        <v>0</v>
      </c>
      <c r="AL116" s="1320">
        <v>0</v>
      </c>
      <c r="AM116" s="512">
        <v>0</v>
      </c>
      <c r="AN116" s="1171"/>
      <c r="AO116" s="1171"/>
      <c r="AP116" s="1321"/>
      <c r="AQ116" s="674" t="s">
        <v>1349</v>
      </c>
      <c r="AR116" s="1323">
        <v>5</v>
      </c>
      <c r="AS116" s="1323"/>
      <c r="AT116" s="674">
        <v>6</v>
      </c>
      <c r="AU116" s="1491"/>
      <c r="AV116" s="455"/>
      <c r="AW116" s="979" t="s">
        <v>1957</v>
      </c>
      <c r="AX116" s="982"/>
      <c r="AY116" s="982"/>
      <c r="AZ116" s="982" t="s">
        <v>2466</v>
      </c>
      <c r="BA116" s="982"/>
      <c r="BB116" s="982" t="s">
        <v>2466</v>
      </c>
      <c r="BC116" s="982" t="s">
        <v>1209</v>
      </c>
      <c r="BD116" s="982" t="s">
        <v>1209</v>
      </c>
      <c r="BE116" s="964" t="s">
        <v>1830</v>
      </c>
      <c r="BF116" s="767" t="s">
        <v>1209</v>
      </c>
      <c r="BG116" s="982" t="s">
        <v>1281</v>
      </c>
      <c r="BH116" s="403">
        <v>1</v>
      </c>
      <c r="BI116" s="403">
        <v>0</v>
      </c>
      <c r="BJ116" s="983"/>
      <c r="BK116" s="1325"/>
      <c r="BL116" s="980">
        <v>0</v>
      </c>
      <c r="BM116" s="1376">
        <v>798.12699999999995</v>
      </c>
      <c r="BN116" s="2401">
        <v>1010</v>
      </c>
      <c r="BO116" s="2269">
        <v>1010</v>
      </c>
      <c r="BP116" s="2315">
        <v>211.87300000000005</v>
      </c>
      <c r="BQ116" s="1538">
        <v>0</v>
      </c>
      <c r="BR116" s="1539">
        <v>798.12699999999995</v>
      </c>
      <c r="BS116" s="1376">
        <v>798.12699999999995</v>
      </c>
      <c r="BT116" s="54">
        <v>798.12699999999995</v>
      </c>
      <c r="BU116" s="1540"/>
      <c r="BV116" s="1538">
        <v>0</v>
      </c>
      <c r="BW116" s="1376">
        <v>0</v>
      </c>
      <c r="BX116" s="980">
        <v>0</v>
      </c>
      <c r="BY116" s="1895"/>
      <c r="BZ116" s="1847">
        <v>0</v>
      </c>
      <c r="CA116" s="1847">
        <v>0</v>
      </c>
      <c r="CB116" s="963">
        <v>0</v>
      </c>
      <c r="CC116" s="963"/>
      <c r="CD116" s="1070">
        <v>0</v>
      </c>
      <c r="CE116" s="704">
        <v>0</v>
      </c>
      <c r="CG116" s="1253">
        <v>0</v>
      </c>
      <c r="CH116" s="1253">
        <v>0</v>
      </c>
      <c r="CI116" s="1548">
        <v>0</v>
      </c>
      <c r="CJ116" s="1548">
        <v>1010</v>
      </c>
    </row>
    <row r="117" spans="1:98" s="1013" customFormat="1" ht="26.25" hidden="1" thickBot="1" x14ac:dyDescent="0.3">
      <c r="A117" s="268" t="s">
        <v>1756</v>
      </c>
      <c r="B117" s="144" t="s">
        <v>853</v>
      </c>
      <c r="C117" s="75">
        <v>2018</v>
      </c>
      <c r="D117" s="78" t="s">
        <v>101</v>
      </c>
      <c r="E117" s="90" t="s">
        <v>315</v>
      </c>
      <c r="F117" s="287" t="s">
        <v>315</v>
      </c>
      <c r="G117" s="228" t="s">
        <v>316</v>
      </c>
      <c r="H117" s="25">
        <v>498.12700000000001</v>
      </c>
      <c r="I117" s="2533">
        <f t="shared" si="13"/>
        <v>0</v>
      </c>
      <c r="J117" s="2643">
        <f t="shared" si="10"/>
        <v>498.12699999999995</v>
      </c>
      <c r="K117" s="2643">
        <f t="shared" si="11"/>
        <v>498.12699999999995</v>
      </c>
      <c r="L117" s="2643">
        <f t="shared" si="12"/>
        <v>0</v>
      </c>
      <c r="M117" s="866"/>
      <c r="N117" s="540">
        <v>0</v>
      </c>
      <c r="O117" s="483">
        <v>0</v>
      </c>
      <c r="P117" s="437">
        <v>0</v>
      </c>
      <c r="Q117" s="131">
        <v>0</v>
      </c>
      <c r="R117" s="2345">
        <v>0</v>
      </c>
      <c r="S117" s="1455">
        <v>0</v>
      </c>
      <c r="T117" s="1463">
        <v>0</v>
      </c>
      <c r="U117" s="1463"/>
      <c r="V117" s="1463"/>
      <c r="W117" s="1463"/>
      <c r="X117" s="1463"/>
      <c r="Y117" s="27">
        <v>0</v>
      </c>
      <c r="Z117" s="23">
        <v>0</v>
      </c>
      <c r="AA117" s="26">
        <v>0</v>
      </c>
      <c r="AB117" s="131">
        <v>0</v>
      </c>
      <c r="AC117" s="143" t="s">
        <v>1209</v>
      </c>
      <c r="AD117" s="75" t="s">
        <v>1329</v>
      </c>
      <c r="AE117" s="379" t="s">
        <v>1178</v>
      </c>
      <c r="AF117" s="74" t="s">
        <v>1283</v>
      </c>
      <c r="AG117" s="74" t="s">
        <v>1283</v>
      </c>
      <c r="AH117" s="556">
        <v>4</v>
      </c>
      <c r="AI117" s="722" t="s">
        <v>1447</v>
      </c>
      <c r="AJ117" s="2416">
        <v>0</v>
      </c>
      <c r="AK117" s="516">
        <v>2.8421709430404007E-14</v>
      </c>
      <c r="AL117" s="452">
        <v>0</v>
      </c>
      <c r="AM117" s="513">
        <v>0</v>
      </c>
      <c r="AN117" s="1142"/>
      <c r="AO117" s="1142"/>
      <c r="AP117" s="1050"/>
      <c r="AQ117" s="662" t="s">
        <v>1349</v>
      </c>
      <c r="AR117" s="1051">
        <v>5</v>
      </c>
      <c r="AS117" s="1051"/>
      <c r="AT117" s="662">
        <v>4</v>
      </c>
      <c r="AU117" s="1493"/>
      <c r="AV117" s="435"/>
      <c r="AW117" s="75" t="s">
        <v>1813</v>
      </c>
      <c r="AX117" s="143"/>
      <c r="AY117" s="143"/>
      <c r="AZ117" s="143" t="s">
        <v>1209</v>
      </c>
      <c r="BA117" s="143"/>
      <c r="BB117" s="143" t="s">
        <v>1209</v>
      </c>
      <c r="BC117" s="143" t="s">
        <v>1209</v>
      </c>
      <c r="BD117" s="425" t="s">
        <v>1209</v>
      </c>
      <c r="BE117" s="425" t="s">
        <v>1209</v>
      </c>
      <c r="BF117" s="767" t="s">
        <v>910</v>
      </c>
      <c r="BG117" s="425" t="s">
        <v>1209</v>
      </c>
      <c r="BH117" s="755">
        <v>1</v>
      </c>
      <c r="BI117" s="755">
        <v>0</v>
      </c>
      <c r="BJ117" s="497"/>
      <c r="BK117" s="1048"/>
      <c r="BL117" s="181">
        <v>345.9</v>
      </c>
      <c r="BM117" s="866">
        <v>152.227</v>
      </c>
      <c r="BN117" s="2399">
        <v>152.22700000000003</v>
      </c>
      <c r="BO117" s="2263">
        <v>152.22700000000003</v>
      </c>
      <c r="BP117" s="2314">
        <v>0</v>
      </c>
      <c r="BQ117" s="1482">
        <v>152.227</v>
      </c>
      <c r="BR117" s="27">
        <v>0</v>
      </c>
      <c r="BS117" s="866">
        <v>0</v>
      </c>
      <c r="BT117" s="54">
        <v>152.227</v>
      </c>
      <c r="BU117" s="44"/>
      <c r="BV117" s="1482">
        <v>152.227</v>
      </c>
      <c r="BW117" s="866">
        <v>0</v>
      </c>
      <c r="BX117" s="25">
        <v>152.227</v>
      </c>
      <c r="BY117" s="1374"/>
      <c r="BZ117" s="1198">
        <v>152.227</v>
      </c>
      <c r="CA117" s="1118">
        <v>152.227</v>
      </c>
      <c r="CB117" s="938">
        <v>152.227</v>
      </c>
      <c r="CC117" s="938"/>
      <c r="CD117" s="695">
        <v>0</v>
      </c>
      <c r="CE117" s="704">
        <v>0</v>
      </c>
      <c r="CG117" s="374">
        <v>0</v>
      </c>
      <c r="CH117" s="374">
        <v>152.227</v>
      </c>
      <c r="CI117" s="1037">
        <v>0</v>
      </c>
      <c r="CJ117" s="1037">
        <v>0</v>
      </c>
    </row>
    <row r="118" spans="1:98" s="1013" customFormat="1" ht="26.25" hidden="1" thickBot="1" x14ac:dyDescent="0.3">
      <c r="A118" s="268" t="s">
        <v>1757</v>
      </c>
      <c r="B118" s="144" t="s">
        <v>855</v>
      </c>
      <c r="C118" s="75">
        <v>2018</v>
      </c>
      <c r="D118" s="78" t="s">
        <v>101</v>
      </c>
      <c r="E118" s="90" t="s">
        <v>318</v>
      </c>
      <c r="F118" s="287" t="s">
        <v>318</v>
      </c>
      <c r="G118" s="228" t="s">
        <v>319</v>
      </c>
      <c r="H118" s="25">
        <v>655.82</v>
      </c>
      <c r="I118" s="2533">
        <f t="shared" si="13"/>
        <v>0</v>
      </c>
      <c r="J118" s="2643">
        <f t="shared" si="10"/>
        <v>655.82</v>
      </c>
      <c r="K118" s="2643">
        <f t="shared" si="11"/>
        <v>655.82</v>
      </c>
      <c r="L118" s="2643">
        <f t="shared" si="12"/>
        <v>0</v>
      </c>
      <c r="M118" s="866"/>
      <c r="N118" s="540">
        <v>0</v>
      </c>
      <c r="O118" s="483">
        <v>0</v>
      </c>
      <c r="P118" s="437">
        <v>0</v>
      </c>
      <c r="Q118" s="131">
        <v>0</v>
      </c>
      <c r="R118" s="2345">
        <v>0</v>
      </c>
      <c r="S118" s="1455">
        <v>0</v>
      </c>
      <c r="T118" s="1463">
        <v>0</v>
      </c>
      <c r="U118" s="1463"/>
      <c r="V118" s="1463"/>
      <c r="W118" s="1463"/>
      <c r="X118" s="1463"/>
      <c r="Y118" s="27">
        <v>0</v>
      </c>
      <c r="Z118" s="23">
        <v>0</v>
      </c>
      <c r="AA118" s="26">
        <v>0</v>
      </c>
      <c r="AB118" s="131">
        <v>0</v>
      </c>
      <c r="AC118" s="150" t="s">
        <v>1209</v>
      </c>
      <c r="AD118" s="83" t="s">
        <v>1329</v>
      </c>
      <c r="AE118" s="1815" t="s">
        <v>1007</v>
      </c>
      <c r="AF118" s="74" t="s">
        <v>1283</v>
      </c>
      <c r="AG118" s="1424" t="s">
        <v>1283</v>
      </c>
      <c r="AH118" s="556">
        <v>8</v>
      </c>
      <c r="AI118" s="722" t="s">
        <v>1448</v>
      </c>
      <c r="AJ118" s="2416">
        <v>0</v>
      </c>
      <c r="AK118" s="516">
        <v>0</v>
      </c>
      <c r="AL118" s="452">
        <v>0</v>
      </c>
      <c r="AM118" s="513">
        <v>0</v>
      </c>
      <c r="AN118" s="1142"/>
      <c r="AO118" s="1142"/>
      <c r="AP118" s="1050"/>
      <c r="AQ118" s="662" t="s">
        <v>1349</v>
      </c>
      <c r="AR118" s="1051">
        <v>5</v>
      </c>
      <c r="AS118" s="1051"/>
      <c r="AT118" s="662">
        <v>4</v>
      </c>
      <c r="AU118" s="1493"/>
      <c r="AV118" s="435"/>
      <c r="AW118" s="75" t="s">
        <v>1814</v>
      </c>
      <c r="AX118" s="150"/>
      <c r="AY118" s="150"/>
      <c r="AZ118" s="150" t="s">
        <v>1209</v>
      </c>
      <c r="BA118" s="150"/>
      <c r="BB118" s="150" t="s">
        <v>1209</v>
      </c>
      <c r="BC118" s="150" t="s">
        <v>1209</v>
      </c>
      <c r="BD118" s="1073" t="s">
        <v>1209</v>
      </c>
      <c r="BE118" s="940" t="s">
        <v>1831</v>
      </c>
      <c r="BF118" s="1072" t="s">
        <v>1209</v>
      </c>
      <c r="BG118" s="1073" t="s">
        <v>1209</v>
      </c>
      <c r="BH118" s="755">
        <v>1</v>
      </c>
      <c r="BI118" s="755">
        <v>0</v>
      </c>
      <c r="BJ118" s="497"/>
      <c r="BK118" s="433"/>
      <c r="BL118" s="181">
        <v>0</v>
      </c>
      <c r="BM118" s="866">
        <v>655.82</v>
      </c>
      <c r="BN118" s="2399">
        <v>655.82</v>
      </c>
      <c r="BO118" s="2263">
        <v>655.82</v>
      </c>
      <c r="BP118" s="2314">
        <v>0</v>
      </c>
      <c r="BQ118" s="1482">
        <v>655.82</v>
      </c>
      <c r="BR118" s="27">
        <v>0</v>
      </c>
      <c r="BS118" s="866">
        <v>0</v>
      </c>
      <c r="BT118" s="54">
        <v>655.82</v>
      </c>
      <c r="BU118" s="44"/>
      <c r="BV118" s="1482">
        <v>655.82</v>
      </c>
      <c r="BW118" s="866">
        <v>0</v>
      </c>
      <c r="BX118" s="25">
        <v>655.82</v>
      </c>
      <c r="BY118" s="1374"/>
      <c r="BZ118" s="1198">
        <v>655.82</v>
      </c>
      <c r="CA118" s="1118">
        <v>655.82</v>
      </c>
      <c r="CB118" s="837">
        <v>655.82</v>
      </c>
      <c r="CC118" s="837"/>
      <c r="CD118" s="695">
        <v>0</v>
      </c>
      <c r="CE118" s="419">
        <v>0</v>
      </c>
      <c r="CG118" s="374">
        <v>0</v>
      </c>
      <c r="CH118" s="375">
        <v>655.82</v>
      </c>
      <c r="CI118" s="1037">
        <v>0</v>
      </c>
      <c r="CJ118" s="1037">
        <v>0</v>
      </c>
    </row>
    <row r="119" spans="1:98" s="1013" customFormat="1" ht="26.25" hidden="1" thickBot="1" x14ac:dyDescent="0.3">
      <c r="A119" s="268" t="s">
        <v>1758</v>
      </c>
      <c r="B119" s="144" t="s">
        <v>857</v>
      </c>
      <c r="C119" s="75">
        <v>2018</v>
      </c>
      <c r="D119" s="78" t="s">
        <v>101</v>
      </c>
      <c r="E119" s="90" t="s">
        <v>323</v>
      </c>
      <c r="F119" s="287" t="s">
        <v>323</v>
      </c>
      <c r="G119" s="228" t="s">
        <v>324</v>
      </c>
      <c r="H119" s="25">
        <v>479.55200000000002</v>
      </c>
      <c r="I119" s="2533">
        <f t="shared" si="13"/>
        <v>0</v>
      </c>
      <c r="J119" s="2643">
        <f t="shared" si="10"/>
        <v>479.55200000000002</v>
      </c>
      <c r="K119" s="2643">
        <f t="shared" si="11"/>
        <v>479.55200000000002</v>
      </c>
      <c r="L119" s="2643">
        <f t="shared" si="12"/>
        <v>0</v>
      </c>
      <c r="M119" s="866"/>
      <c r="N119" s="540">
        <v>0</v>
      </c>
      <c r="O119" s="483">
        <v>0</v>
      </c>
      <c r="P119" s="437">
        <v>0</v>
      </c>
      <c r="Q119" s="131">
        <v>0</v>
      </c>
      <c r="R119" s="2345">
        <v>0</v>
      </c>
      <c r="S119" s="1455">
        <v>0</v>
      </c>
      <c r="T119" s="1463">
        <v>0</v>
      </c>
      <c r="U119" s="1463"/>
      <c r="V119" s="1463"/>
      <c r="W119" s="1463"/>
      <c r="X119" s="1463"/>
      <c r="Y119" s="27">
        <v>0</v>
      </c>
      <c r="Z119" s="27">
        <v>0</v>
      </c>
      <c r="AA119" s="26">
        <v>0</v>
      </c>
      <c r="AB119" s="131">
        <v>0</v>
      </c>
      <c r="AC119" s="143" t="s">
        <v>1209</v>
      </c>
      <c r="AD119" s="75" t="s">
        <v>1329</v>
      </c>
      <c r="AE119" s="379" t="s">
        <v>1209</v>
      </c>
      <c r="AF119" s="74" t="s">
        <v>1209</v>
      </c>
      <c r="AG119" s="74" t="s">
        <v>1209</v>
      </c>
      <c r="AH119" s="556">
        <v>2</v>
      </c>
      <c r="AI119" s="722" t="s">
        <v>1447</v>
      </c>
      <c r="AJ119" s="2416">
        <v>0</v>
      </c>
      <c r="AK119" s="516">
        <v>0</v>
      </c>
      <c r="AL119" s="452">
        <v>0</v>
      </c>
      <c r="AM119" s="513">
        <v>0</v>
      </c>
      <c r="AN119" s="1142"/>
      <c r="AO119" s="1142"/>
      <c r="AP119" s="1050"/>
      <c r="AQ119" s="662" t="s">
        <v>1349</v>
      </c>
      <c r="AR119" s="1051">
        <v>5</v>
      </c>
      <c r="AS119" s="1051"/>
      <c r="AT119" s="662">
        <v>2</v>
      </c>
      <c r="AU119" s="1493"/>
      <c r="AV119" s="435"/>
      <c r="AW119" s="75"/>
      <c r="AX119" s="143"/>
      <c r="AY119" s="143"/>
      <c r="AZ119" s="143" t="s">
        <v>1209</v>
      </c>
      <c r="BA119" s="143"/>
      <c r="BB119" s="143" t="s">
        <v>1209</v>
      </c>
      <c r="BC119" s="143" t="s">
        <v>1209</v>
      </c>
      <c r="BD119" s="425" t="s">
        <v>1209</v>
      </c>
      <c r="BE119" s="425" t="s">
        <v>1209</v>
      </c>
      <c r="BF119" s="768" t="s">
        <v>1209</v>
      </c>
      <c r="BG119" s="982" t="s">
        <v>1287</v>
      </c>
      <c r="BH119" s="755">
        <v>1</v>
      </c>
      <c r="BI119" s="755">
        <v>0</v>
      </c>
      <c r="BJ119" s="497"/>
      <c r="BK119" s="1048"/>
      <c r="BL119" s="181">
        <v>0</v>
      </c>
      <c r="BM119" s="866">
        <v>479.55200000000002</v>
      </c>
      <c r="BN119" s="2399">
        <v>479.55200000000002</v>
      </c>
      <c r="BO119" s="2263">
        <v>479.55200000000002</v>
      </c>
      <c r="BP119" s="2314">
        <v>0</v>
      </c>
      <c r="BQ119" s="1482">
        <v>479.55200000000002</v>
      </c>
      <c r="BR119" s="27">
        <v>0</v>
      </c>
      <c r="BS119" s="866">
        <v>0</v>
      </c>
      <c r="BT119" s="54">
        <v>479.55200000000002</v>
      </c>
      <c r="BU119" s="44"/>
      <c r="BV119" s="1482">
        <v>479.55200000000002</v>
      </c>
      <c r="BW119" s="866">
        <v>0</v>
      </c>
      <c r="BX119" s="25">
        <v>479.55200000000002</v>
      </c>
      <c r="BY119" s="1374"/>
      <c r="BZ119" s="1198">
        <v>479.55200000000002</v>
      </c>
      <c r="CA119" s="1118">
        <v>479.55200000000002</v>
      </c>
      <c r="CB119" s="837">
        <v>479.55200000000002</v>
      </c>
      <c r="CC119" s="837"/>
      <c r="CD119" s="695">
        <v>479.55200000000002</v>
      </c>
      <c r="CE119" s="419">
        <v>479.55200000000002</v>
      </c>
      <c r="CG119" s="374">
        <v>479.55200000000002</v>
      </c>
      <c r="CH119" s="374">
        <v>0</v>
      </c>
      <c r="CI119" s="1037">
        <v>0</v>
      </c>
      <c r="CJ119" s="1037">
        <v>0</v>
      </c>
    </row>
    <row r="120" spans="1:98" s="1013" customFormat="1" ht="26.25" hidden="1" thickBot="1" x14ac:dyDescent="0.3">
      <c r="A120" s="268" t="s">
        <v>1759</v>
      </c>
      <c r="B120" s="144" t="s">
        <v>858</v>
      </c>
      <c r="C120" s="75">
        <v>2018</v>
      </c>
      <c r="D120" s="78" t="s">
        <v>101</v>
      </c>
      <c r="E120" s="90" t="s">
        <v>325</v>
      </c>
      <c r="F120" s="287" t="s">
        <v>325</v>
      </c>
      <c r="G120" s="228" t="s">
        <v>324</v>
      </c>
      <c r="H120" s="25">
        <v>398.93700000000001</v>
      </c>
      <c r="I120" s="2533">
        <f t="shared" si="13"/>
        <v>0</v>
      </c>
      <c r="J120" s="2643">
        <f t="shared" si="10"/>
        <v>398.93700000000001</v>
      </c>
      <c r="K120" s="2643">
        <f t="shared" si="11"/>
        <v>398.93700000000001</v>
      </c>
      <c r="L120" s="2643">
        <f t="shared" si="12"/>
        <v>0</v>
      </c>
      <c r="M120" s="866"/>
      <c r="N120" s="540">
        <v>0</v>
      </c>
      <c r="O120" s="483">
        <v>0</v>
      </c>
      <c r="P120" s="437">
        <v>0</v>
      </c>
      <c r="Q120" s="131">
        <v>0</v>
      </c>
      <c r="R120" s="2345">
        <v>0</v>
      </c>
      <c r="S120" s="1455">
        <v>0</v>
      </c>
      <c r="T120" s="1463">
        <v>0</v>
      </c>
      <c r="U120" s="1463"/>
      <c r="V120" s="1463"/>
      <c r="W120" s="1463"/>
      <c r="X120" s="1463"/>
      <c r="Y120" s="27">
        <v>0</v>
      </c>
      <c r="Z120" s="27">
        <v>0</v>
      </c>
      <c r="AA120" s="26">
        <v>0</v>
      </c>
      <c r="AB120" s="131">
        <v>0</v>
      </c>
      <c r="AC120" s="143" t="s">
        <v>1209</v>
      </c>
      <c r="AD120" s="75" t="s">
        <v>1329</v>
      </c>
      <c r="AE120" s="379" t="s">
        <v>1209</v>
      </c>
      <c r="AF120" s="74" t="s">
        <v>1209</v>
      </c>
      <c r="AG120" s="74" t="s">
        <v>1209</v>
      </c>
      <c r="AH120" s="556">
        <v>1</v>
      </c>
      <c r="AI120" s="722" t="s">
        <v>1447</v>
      </c>
      <c r="AJ120" s="2416">
        <v>0</v>
      </c>
      <c r="AK120" s="516">
        <v>0</v>
      </c>
      <c r="AL120" s="452">
        <v>0</v>
      </c>
      <c r="AM120" s="513">
        <v>0</v>
      </c>
      <c r="AN120" s="1142"/>
      <c r="AO120" s="1142"/>
      <c r="AP120" s="1050"/>
      <c r="AQ120" s="662" t="s">
        <v>1349</v>
      </c>
      <c r="AR120" s="1051">
        <v>5</v>
      </c>
      <c r="AS120" s="1051"/>
      <c r="AT120" s="662">
        <v>2</v>
      </c>
      <c r="AU120" s="1493"/>
      <c r="AV120" s="435"/>
      <c r="AW120" s="75"/>
      <c r="AX120" s="143"/>
      <c r="AY120" s="143"/>
      <c r="AZ120" s="143" t="s">
        <v>1209</v>
      </c>
      <c r="BA120" s="143"/>
      <c r="BB120" s="143" t="s">
        <v>1209</v>
      </c>
      <c r="BC120" s="143" t="s">
        <v>1209</v>
      </c>
      <c r="BD120" s="425" t="s">
        <v>1209</v>
      </c>
      <c r="BE120" s="425" t="s">
        <v>1209</v>
      </c>
      <c r="BF120" s="768" t="s">
        <v>1209</v>
      </c>
      <c r="BG120" s="982" t="s">
        <v>1287</v>
      </c>
      <c r="BH120" s="755">
        <v>1</v>
      </c>
      <c r="BI120" s="755">
        <v>0</v>
      </c>
      <c r="BJ120" s="497"/>
      <c r="BK120" s="1048"/>
      <c r="BL120" s="181">
        <v>0</v>
      </c>
      <c r="BM120" s="866">
        <v>398.93700000000001</v>
      </c>
      <c r="BN120" s="2399">
        <v>398.93700000000001</v>
      </c>
      <c r="BO120" s="2263">
        <v>398.93700000000001</v>
      </c>
      <c r="BP120" s="2314">
        <v>0</v>
      </c>
      <c r="BQ120" s="1482">
        <v>398.93700000000001</v>
      </c>
      <c r="BR120" s="27">
        <v>0</v>
      </c>
      <c r="BS120" s="866">
        <v>0</v>
      </c>
      <c r="BT120" s="54">
        <v>398.93700000000001</v>
      </c>
      <c r="BU120" s="44"/>
      <c r="BV120" s="1482">
        <v>398.93700000000001</v>
      </c>
      <c r="BW120" s="866">
        <v>0</v>
      </c>
      <c r="BX120" s="25">
        <v>398.93700000000001</v>
      </c>
      <c r="BY120" s="1374"/>
      <c r="BZ120" s="1198">
        <v>398.93700000000001</v>
      </c>
      <c r="CA120" s="1118">
        <v>398.93700000000001</v>
      </c>
      <c r="CB120" s="837">
        <v>398.93700000000001</v>
      </c>
      <c r="CC120" s="837"/>
      <c r="CD120" s="695">
        <v>398.93700000000001</v>
      </c>
      <c r="CE120" s="419">
        <v>398.93700000000001</v>
      </c>
      <c r="CG120" s="374">
        <v>398.93700000000001</v>
      </c>
      <c r="CH120" s="374">
        <v>0</v>
      </c>
      <c r="CI120" s="1037">
        <v>0</v>
      </c>
      <c r="CJ120" s="1037">
        <v>0</v>
      </c>
    </row>
    <row r="121" spans="1:98" s="985" customFormat="1" ht="30.75" hidden="1" thickBot="1" x14ac:dyDescent="0.3">
      <c r="A121" s="268" t="s">
        <v>1760</v>
      </c>
      <c r="B121" s="144" t="s">
        <v>859</v>
      </c>
      <c r="C121" s="75">
        <v>2018</v>
      </c>
      <c r="D121" s="78" t="s">
        <v>101</v>
      </c>
      <c r="E121" s="90" t="s">
        <v>1729</v>
      </c>
      <c r="F121" s="90" t="s">
        <v>1729</v>
      </c>
      <c r="G121" s="228" t="s">
        <v>326</v>
      </c>
      <c r="H121" s="25">
        <v>6040.74755</v>
      </c>
      <c r="I121" s="2533">
        <f t="shared" si="13"/>
        <v>3000</v>
      </c>
      <c r="J121" s="2643">
        <f t="shared" si="10"/>
        <v>3040.74755</v>
      </c>
      <c r="K121" s="2643">
        <f t="shared" si="11"/>
        <v>6040.74755</v>
      </c>
      <c r="L121" s="2643">
        <f t="shared" si="12"/>
        <v>0</v>
      </c>
      <c r="M121" s="866"/>
      <c r="N121" s="540">
        <v>0</v>
      </c>
      <c r="O121" s="483">
        <v>0</v>
      </c>
      <c r="P121" s="437">
        <v>0</v>
      </c>
      <c r="Q121" s="131">
        <v>0</v>
      </c>
      <c r="R121" s="2335">
        <v>0</v>
      </c>
      <c r="S121" s="1449">
        <v>0</v>
      </c>
      <c r="T121" s="1463">
        <v>0</v>
      </c>
      <c r="U121" s="1463"/>
      <c r="V121" s="1463"/>
      <c r="W121" s="1463"/>
      <c r="X121" s="1463"/>
      <c r="Y121" s="27">
        <v>0</v>
      </c>
      <c r="Z121" s="27">
        <v>0</v>
      </c>
      <c r="AA121" s="26">
        <v>3000</v>
      </c>
      <c r="AB121" s="131">
        <v>0</v>
      </c>
      <c r="AC121" s="143" t="s">
        <v>1209</v>
      </c>
      <c r="AD121" s="75" t="s">
        <v>1329</v>
      </c>
      <c r="AE121" s="379" t="s">
        <v>912</v>
      </c>
      <c r="AF121" s="74" t="s">
        <v>1283</v>
      </c>
      <c r="AG121" s="74" t="s">
        <v>1283</v>
      </c>
      <c r="AH121" s="556">
        <v>7</v>
      </c>
      <c r="AI121" s="722" t="s">
        <v>1447</v>
      </c>
      <c r="AJ121" s="2416">
        <v>0</v>
      </c>
      <c r="AK121" s="516">
        <v>0</v>
      </c>
      <c r="AL121" s="452">
        <v>0</v>
      </c>
      <c r="AM121" s="513">
        <v>0</v>
      </c>
      <c r="AN121" s="1142"/>
      <c r="AO121" s="1142"/>
      <c r="AP121" s="1050"/>
      <c r="AQ121" s="662" t="s">
        <v>1349</v>
      </c>
      <c r="AR121" s="1051">
        <v>5</v>
      </c>
      <c r="AS121" s="1051"/>
      <c r="AT121" s="662">
        <v>5</v>
      </c>
      <c r="AU121" s="1493"/>
      <c r="AV121" s="455"/>
      <c r="AW121" s="979" t="s">
        <v>1958</v>
      </c>
      <c r="AX121" s="982"/>
      <c r="AY121" s="982"/>
      <c r="AZ121" s="143" t="s">
        <v>1209</v>
      </c>
      <c r="BA121" s="143"/>
      <c r="BB121" s="143" t="s">
        <v>1209</v>
      </c>
      <c r="BC121" s="143" t="s">
        <v>2207</v>
      </c>
      <c r="BD121" s="924" t="s">
        <v>2118</v>
      </c>
      <c r="BE121" s="924" t="s">
        <v>1863</v>
      </c>
      <c r="BF121" s="1400" t="s">
        <v>1586</v>
      </c>
      <c r="BG121" s="924" t="s">
        <v>1815</v>
      </c>
      <c r="BH121" s="403">
        <v>0</v>
      </c>
      <c r="BI121" s="403">
        <v>1</v>
      </c>
      <c r="BJ121" s="983"/>
      <c r="BK121" s="1048"/>
      <c r="BL121" s="25">
        <v>0</v>
      </c>
      <c r="BM121" s="866">
        <v>3040.74755</v>
      </c>
      <c r="BN121" s="2399">
        <v>3040.74755</v>
      </c>
      <c r="BO121" s="2263">
        <v>3040.74755</v>
      </c>
      <c r="BP121" s="2314">
        <v>0</v>
      </c>
      <c r="BQ121" s="1482">
        <v>3040.74755</v>
      </c>
      <c r="BR121" s="27">
        <v>0</v>
      </c>
      <c r="BS121" s="866">
        <v>0</v>
      </c>
      <c r="BT121" s="54">
        <v>3040.74755</v>
      </c>
      <c r="BU121" s="44"/>
      <c r="BV121" s="1482">
        <v>3040.74755</v>
      </c>
      <c r="BW121" s="866">
        <v>0</v>
      </c>
      <c r="BX121" s="980">
        <v>3040.74755</v>
      </c>
      <c r="BY121" s="1376"/>
      <c r="BZ121" s="1195">
        <v>3040.74755</v>
      </c>
      <c r="CA121" s="1119">
        <v>3040.74755</v>
      </c>
      <c r="CB121" s="655">
        <v>3040.74755</v>
      </c>
      <c r="CC121" s="655"/>
      <c r="CD121" s="984">
        <v>2903.9855200000002</v>
      </c>
      <c r="CE121" s="980">
        <v>213.6842</v>
      </c>
      <c r="CG121" s="374">
        <v>1092.3617899999999</v>
      </c>
      <c r="CH121" s="374">
        <v>1948.3857599999999</v>
      </c>
      <c r="CI121" s="44">
        <v>0</v>
      </c>
      <c r="CJ121" s="1037">
        <v>0</v>
      </c>
    </row>
    <row r="122" spans="1:98" s="1013" customFormat="1" ht="29.25" hidden="1" customHeight="1" thickBot="1" x14ac:dyDescent="0.3">
      <c r="A122" s="268" t="s">
        <v>1761</v>
      </c>
      <c r="B122" s="147" t="s">
        <v>1557</v>
      </c>
      <c r="C122" s="78">
        <v>2018</v>
      </c>
      <c r="D122" s="75" t="s">
        <v>1362</v>
      </c>
      <c r="E122" s="76" t="s">
        <v>26</v>
      </c>
      <c r="F122" s="84" t="s">
        <v>1730</v>
      </c>
      <c r="G122" s="228" t="s">
        <v>329</v>
      </c>
      <c r="H122" s="25">
        <v>800</v>
      </c>
      <c r="I122" s="2533">
        <f t="shared" si="13"/>
        <v>0</v>
      </c>
      <c r="J122" s="2643">
        <f t="shared" si="10"/>
        <v>800</v>
      </c>
      <c r="K122" s="2643">
        <f t="shared" si="11"/>
        <v>800</v>
      </c>
      <c r="L122" s="2643">
        <f t="shared" si="12"/>
        <v>0</v>
      </c>
      <c r="M122" s="866"/>
      <c r="N122" s="540">
        <v>0</v>
      </c>
      <c r="O122" s="483">
        <v>0</v>
      </c>
      <c r="P122" s="437">
        <v>0</v>
      </c>
      <c r="Q122" s="131">
        <v>0</v>
      </c>
      <c r="R122" s="2345">
        <v>0</v>
      </c>
      <c r="S122" s="1455">
        <v>0</v>
      </c>
      <c r="T122" s="1463">
        <v>0</v>
      </c>
      <c r="U122" s="1463"/>
      <c r="V122" s="1463"/>
      <c r="W122" s="1463"/>
      <c r="X122" s="1463"/>
      <c r="Y122" s="27">
        <v>0</v>
      </c>
      <c r="Z122" s="27">
        <v>0</v>
      </c>
      <c r="AA122" s="26">
        <v>0</v>
      </c>
      <c r="AB122" s="131">
        <v>0</v>
      </c>
      <c r="AC122" s="166" t="s">
        <v>1209</v>
      </c>
      <c r="AD122" s="773" t="s">
        <v>1329</v>
      </c>
      <c r="AE122" s="379" t="s">
        <v>355</v>
      </c>
      <c r="AF122" s="74" t="s">
        <v>1282</v>
      </c>
      <c r="AG122" s="74" t="s">
        <v>1282</v>
      </c>
      <c r="AH122" s="415">
        <v>3</v>
      </c>
      <c r="AI122" s="722" t="s">
        <v>1446</v>
      </c>
      <c r="AJ122" s="2416">
        <v>0</v>
      </c>
      <c r="AK122" s="516">
        <v>0</v>
      </c>
      <c r="AL122" s="452">
        <v>0</v>
      </c>
      <c r="AM122" s="513">
        <v>0</v>
      </c>
      <c r="AN122" s="1142"/>
      <c r="AO122" s="1142"/>
      <c r="AP122" s="496"/>
      <c r="AQ122" s="662" t="s">
        <v>1349</v>
      </c>
      <c r="AR122" s="175">
        <v>5</v>
      </c>
      <c r="AS122" s="175"/>
      <c r="AT122" s="662">
        <v>5</v>
      </c>
      <c r="AU122" s="1494"/>
      <c r="AV122" s="435"/>
      <c r="AW122" s="75" t="s">
        <v>1959</v>
      </c>
      <c r="AX122" s="166"/>
      <c r="AY122" s="166"/>
      <c r="AZ122" s="166" t="s">
        <v>1209</v>
      </c>
      <c r="BA122" s="166"/>
      <c r="BB122" s="166" t="s">
        <v>1209</v>
      </c>
      <c r="BC122" s="166" t="s">
        <v>1329</v>
      </c>
      <c r="BD122" s="689" t="s">
        <v>1329</v>
      </c>
      <c r="BE122" s="689" t="s">
        <v>1364</v>
      </c>
      <c r="BF122" s="1957" t="s">
        <v>1558</v>
      </c>
      <c r="BG122" s="166" t="s">
        <v>1364</v>
      </c>
      <c r="BH122" s="755">
        <v>1</v>
      </c>
      <c r="BI122" s="755">
        <v>0</v>
      </c>
      <c r="BJ122" s="653"/>
      <c r="BK122" s="1048"/>
      <c r="BL122" s="181">
        <v>0</v>
      </c>
      <c r="BM122" s="866">
        <v>800</v>
      </c>
      <c r="BN122" s="2399">
        <v>800</v>
      </c>
      <c r="BO122" s="2263">
        <v>800</v>
      </c>
      <c r="BP122" s="2314">
        <v>0</v>
      </c>
      <c r="BQ122" s="1482">
        <v>800</v>
      </c>
      <c r="BR122" s="27">
        <v>0</v>
      </c>
      <c r="BS122" s="866">
        <v>0</v>
      </c>
      <c r="BT122" s="54">
        <v>800</v>
      </c>
      <c r="BU122" s="44"/>
      <c r="BV122" s="1482">
        <v>800</v>
      </c>
      <c r="BW122" s="866">
        <v>0</v>
      </c>
      <c r="BX122" s="25">
        <v>800</v>
      </c>
      <c r="BY122" s="1374">
        <v>0</v>
      </c>
      <c r="BZ122" s="1118">
        <v>800</v>
      </c>
      <c r="CA122" s="837">
        <v>0</v>
      </c>
      <c r="CB122" s="837">
        <v>0</v>
      </c>
      <c r="CC122" s="837"/>
      <c r="CD122" s="837">
        <v>0</v>
      </c>
      <c r="CE122" s="181">
        <v>0</v>
      </c>
      <c r="CF122" s="1013">
        <v>10</v>
      </c>
      <c r="CG122" s="374">
        <v>0</v>
      </c>
      <c r="CH122" s="374">
        <v>0</v>
      </c>
      <c r="CI122" s="1037">
        <v>800</v>
      </c>
      <c r="CJ122" s="1037">
        <v>0</v>
      </c>
    </row>
    <row r="123" spans="1:98" s="1013" customFormat="1" ht="30.75" hidden="1" thickBot="1" x14ac:dyDescent="0.3">
      <c r="A123" s="1534" t="s">
        <v>1762</v>
      </c>
      <c r="B123" s="1248" t="s">
        <v>2119</v>
      </c>
      <c r="C123" s="979">
        <v>2019</v>
      </c>
      <c r="D123" s="979" t="s">
        <v>1265</v>
      </c>
      <c r="E123" s="979" t="s">
        <v>331</v>
      </c>
      <c r="F123" s="979" t="s">
        <v>331</v>
      </c>
      <c r="G123" s="1754" t="s">
        <v>862</v>
      </c>
      <c r="H123" s="1846">
        <v>5792.5</v>
      </c>
      <c r="I123" s="2533">
        <f t="shared" si="13"/>
        <v>0</v>
      </c>
      <c r="J123" s="2643">
        <f t="shared" si="10"/>
        <v>5792.5</v>
      </c>
      <c r="K123" s="2643">
        <f t="shared" si="11"/>
        <v>5792.5</v>
      </c>
      <c r="L123" s="2643">
        <f t="shared" si="12"/>
        <v>0</v>
      </c>
      <c r="M123" s="1376"/>
      <c r="N123" s="2364">
        <v>0</v>
      </c>
      <c r="O123" s="1672">
        <v>0</v>
      </c>
      <c r="P123" s="1657">
        <v>0</v>
      </c>
      <c r="Q123" s="1658">
        <v>0</v>
      </c>
      <c r="R123" s="2346">
        <v>57.5</v>
      </c>
      <c r="S123" s="1849">
        <v>-57.5</v>
      </c>
      <c r="T123" s="1545">
        <v>0</v>
      </c>
      <c r="U123" s="1545"/>
      <c r="V123" s="1545"/>
      <c r="W123" s="1545"/>
      <c r="X123" s="1545"/>
      <c r="Y123" s="1674">
        <v>0</v>
      </c>
      <c r="Z123" s="1674">
        <v>0</v>
      </c>
      <c r="AA123" s="1539">
        <v>0</v>
      </c>
      <c r="AB123" s="1658">
        <v>0</v>
      </c>
      <c r="AC123" s="979" t="s">
        <v>2467</v>
      </c>
      <c r="AD123" s="979" t="s">
        <v>1329</v>
      </c>
      <c r="AE123" s="1590" t="s">
        <v>355</v>
      </c>
      <c r="AF123" s="1589" t="s">
        <v>1283</v>
      </c>
      <c r="AG123" s="1589" t="s">
        <v>1282</v>
      </c>
      <c r="AH123" s="414">
        <v>11</v>
      </c>
      <c r="AI123" s="722"/>
      <c r="AJ123" s="2417">
        <v>57.5</v>
      </c>
      <c r="AK123" s="516">
        <v>0</v>
      </c>
      <c r="AL123" s="452">
        <v>0</v>
      </c>
      <c r="AM123" s="513">
        <v>0</v>
      </c>
      <c r="AN123" s="1142"/>
      <c r="AO123" s="1142"/>
      <c r="AP123" s="1050"/>
      <c r="AQ123" s="662" t="s">
        <v>1349</v>
      </c>
      <c r="AR123" s="1051">
        <v>5</v>
      </c>
      <c r="AS123" s="1051">
        <v>1</v>
      </c>
      <c r="AT123" s="662">
        <v>6</v>
      </c>
      <c r="AU123" s="1493"/>
      <c r="AV123" s="435"/>
      <c r="AW123" s="75"/>
      <c r="AX123" s="75"/>
      <c r="AY123" s="75"/>
      <c r="AZ123" s="979" t="s">
        <v>2467</v>
      </c>
      <c r="BA123" s="979"/>
      <c r="BB123" s="75" t="s">
        <v>2467</v>
      </c>
      <c r="BC123" s="75" t="s">
        <v>1209</v>
      </c>
      <c r="BD123" s="414" t="s">
        <v>1209</v>
      </c>
      <c r="BE123" s="414" t="s">
        <v>1209</v>
      </c>
      <c r="BF123" s="1958" t="s">
        <v>1584</v>
      </c>
      <c r="BG123" s="425" t="s">
        <v>1281</v>
      </c>
      <c r="BH123" s="755">
        <v>0</v>
      </c>
      <c r="BI123" s="755">
        <v>1</v>
      </c>
      <c r="BJ123" s="497"/>
      <c r="BK123" s="1048"/>
      <c r="BL123" s="1775">
        <v>0</v>
      </c>
      <c r="BM123" s="1376">
        <v>5792.5</v>
      </c>
      <c r="BN123" s="2401">
        <v>5850</v>
      </c>
      <c r="BO123" s="2263">
        <v>5850</v>
      </c>
      <c r="BP123" s="2314">
        <v>57.5</v>
      </c>
      <c r="BQ123" s="1482">
        <v>3163.5722599999999</v>
      </c>
      <c r="BR123" s="27">
        <v>2628.9277400000001</v>
      </c>
      <c r="BS123" s="866">
        <v>2628.9277400000001</v>
      </c>
      <c r="BT123" s="54">
        <v>5792.5</v>
      </c>
      <c r="BU123" s="44"/>
      <c r="BV123" s="1482">
        <v>3163.5722599999999</v>
      </c>
      <c r="BW123" s="866">
        <v>0</v>
      </c>
      <c r="BX123" s="25">
        <v>3163.5722599999999</v>
      </c>
      <c r="BY123" s="1383">
        <v>3163.5722599999999</v>
      </c>
      <c r="BZ123" s="695">
        <v>0</v>
      </c>
      <c r="CA123" s="695">
        <v>0</v>
      </c>
      <c r="CB123" s="695">
        <v>0</v>
      </c>
      <c r="CC123" s="695"/>
      <c r="CD123" s="837">
        <v>0</v>
      </c>
      <c r="CE123" s="181">
        <v>0</v>
      </c>
      <c r="CG123" s="374">
        <v>0</v>
      </c>
      <c r="CH123" s="374">
        <v>0</v>
      </c>
      <c r="CI123" s="1037">
        <v>3163.5722599999999</v>
      </c>
      <c r="CJ123" s="1037">
        <v>2686.4277400000001</v>
      </c>
    </row>
    <row r="124" spans="1:98" s="985" customFormat="1" ht="26.25" hidden="1" thickBot="1" x14ac:dyDescent="0.3">
      <c r="A124" s="1534" t="s">
        <v>1763</v>
      </c>
      <c r="B124" s="1248" t="s">
        <v>2120</v>
      </c>
      <c r="C124" s="979">
        <v>2019</v>
      </c>
      <c r="D124" s="979" t="s">
        <v>1265</v>
      </c>
      <c r="E124" s="979" t="s">
        <v>331</v>
      </c>
      <c r="F124" s="979" t="s">
        <v>331</v>
      </c>
      <c r="G124" s="1754" t="s">
        <v>863</v>
      </c>
      <c r="H124" s="1846">
        <v>5137.66</v>
      </c>
      <c r="I124" s="2533">
        <f t="shared" si="13"/>
        <v>0</v>
      </c>
      <c r="J124" s="2643">
        <f t="shared" si="10"/>
        <v>5137.66</v>
      </c>
      <c r="K124" s="2643">
        <f t="shared" si="11"/>
        <v>5137.66</v>
      </c>
      <c r="L124" s="2643">
        <f t="shared" si="12"/>
        <v>0</v>
      </c>
      <c r="M124" s="1376"/>
      <c r="N124" s="2364">
        <v>0</v>
      </c>
      <c r="O124" s="1672">
        <v>0</v>
      </c>
      <c r="P124" s="1657">
        <v>0</v>
      </c>
      <c r="Q124" s="1658">
        <v>0</v>
      </c>
      <c r="R124" s="2341">
        <v>162.34</v>
      </c>
      <c r="S124" s="1849">
        <v>-162.34</v>
      </c>
      <c r="T124" s="1545">
        <v>0</v>
      </c>
      <c r="U124" s="1545"/>
      <c r="V124" s="1545"/>
      <c r="W124" s="1545"/>
      <c r="X124" s="1545"/>
      <c r="Y124" s="1674">
        <v>0</v>
      </c>
      <c r="Z124" s="1674">
        <v>0</v>
      </c>
      <c r="AA124" s="1539">
        <v>0</v>
      </c>
      <c r="AB124" s="1658">
        <v>0</v>
      </c>
      <c r="AC124" s="979" t="s">
        <v>2509</v>
      </c>
      <c r="AD124" s="979" t="s">
        <v>1329</v>
      </c>
      <c r="AE124" s="1590" t="s">
        <v>1352</v>
      </c>
      <c r="AF124" s="1589" t="s">
        <v>1283</v>
      </c>
      <c r="AG124" s="1589" t="s">
        <v>1283</v>
      </c>
      <c r="AH124" s="1281">
        <v>11</v>
      </c>
      <c r="AI124" s="1319"/>
      <c r="AJ124" s="2416">
        <v>162.34000000000015</v>
      </c>
      <c r="AK124" s="516">
        <v>0</v>
      </c>
      <c r="AL124" s="1320">
        <v>0</v>
      </c>
      <c r="AM124" s="512">
        <v>0</v>
      </c>
      <c r="AN124" s="1171"/>
      <c r="AO124" s="1171"/>
      <c r="AP124" s="1321"/>
      <c r="AQ124" s="674" t="s">
        <v>1349</v>
      </c>
      <c r="AR124" s="1323">
        <v>5</v>
      </c>
      <c r="AS124" s="1323">
        <v>1</v>
      </c>
      <c r="AT124" s="674">
        <v>6</v>
      </c>
      <c r="AU124" s="1491"/>
      <c r="AV124" s="455"/>
      <c r="AW124" s="979" t="s">
        <v>1960</v>
      </c>
      <c r="AX124" s="979"/>
      <c r="AY124" s="979"/>
      <c r="AZ124" s="979" t="s">
        <v>2509</v>
      </c>
      <c r="BA124" s="979"/>
      <c r="BB124" s="979" t="s">
        <v>2509</v>
      </c>
      <c r="BC124" s="979" t="s">
        <v>1209</v>
      </c>
      <c r="BD124" s="1281" t="s">
        <v>1209</v>
      </c>
      <c r="BE124" s="1281" t="s">
        <v>1209</v>
      </c>
      <c r="BF124" s="1959" t="s">
        <v>1585</v>
      </c>
      <c r="BG124" s="924" t="s">
        <v>1281</v>
      </c>
      <c r="BH124" s="403">
        <v>0</v>
      </c>
      <c r="BI124" s="403">
        <v>1</v>
      </c>
      <c r="BJ124" s="983"/>
      <c r="BK124" s="1325"/>
      <c r="BL124" s="1775">
        <v>0</v>
      </c>
      <c r="BM124" s="1376">
        <v>5137.66</v>
      </c>
      <c r="BN124" s="2401">
        <v>5300</v>
      </c>
      <c r="BO124" s="2267">
        <v>5300</v>
      </c>
      <c r="BP124" s="2315">
        <v>162.34000000000015</v>
      </c>
      <c r="BQ124" s="1538">
        <v>3959.05366</v>
      </c>
      <c r="BR124" s="2270">
        <v>1178.60634</v>
      </c>
      <c r="BS124" s="2271">
        <v>1178.60634</v>
      </c>
      <c r="BT124" s="54">
        <v>5137.66</v>
      </c>
      <c r="BU124" s="1848"/>
      <c r="BV124" s="1538">
        <v>3959.05366</v>
      </c>
      <c r="BW124" s="1376">
        <v>0</v>
      </c>
      <c r="BX124" s="980">
        <v>3959.05366</v>
      </c>
      <c r="BY124" s="1953">
        <v>3959.05366</v>
      </c>
      <c r="BZ124" s="1070">
        <v>0</v>
      </c>
      <c r="CA124" s="1070">
        <v>0</v>
      </c>
      <c r="CB124" s="1070">
        <v>0</v>
      </c>
      <c r="CC124" s="1070"/>
      <c r="CD124" s="1847">
        <v>0</v>
      </c>
      <c r="CE124" s="1775">
        <v>0</v>
      </c>
      <c r="CF124" s="985">
        <v>11</v>
      </c>
      <c r="CG124" s="1253">
        <v>0</v>
      </c>
      <c r="CH124" s="1253">
        <v>0</v>
      </c>
      <c r="CI124" s="1548">
        <v>3959.05366</v>
      </c>
      <c r="CJ124" s="1548">
        <v>1340.94634</v>
      </c>
    </row>
    <row r="125" spans="1:98" s="1013" customFormat="1" ht="26.25" hidden="1" thickBot="1" x14ac:dyDescent="0.3">
      <c r="A125" s="173" t="s">
        <v>1764</v>
      </c>
      <c r="B125" s="144" t="s">
        <v>1832</v>
      </c>
      <c r="C125" s="75">
        <v>2019</v>
      </c>
      <c r="D125" s="75" t="s">
        <v>1265</v>
      </c>
      <c r="E125" s="75" t="s">
        <v>331</v>
      </c>
      <c r="F125" s="75" t="s">
        <v>331</v>
      </c>
      <c r="G125" s="221" t="s">
        <v>864</v>
      </c>
      <c r="H125" s="1425">
        <v>3083.1152999999999</v>
      </c>
      <c r="I125" s="2533">
        <f t="shared" si="13"/>
        <v>0</v>
      </c>
      <c r="J125" s="2643">
        <f t="shared" si="10"/>
        <v>3083.1152999999999</v>
      </c>
      <c r="K125" s="2643">
        <f t="shared" si="11"/>
        <v>3083.1152999999999</v>
      </c>
      <c r="L125" s="2643">
        <f t="shared" si="12"/>
        <v>0</v>
      </c>
      <c r="M125" s="866"/>
      <c r="N125" s="540">
        <v>0</v>
      </c>
      <c r="O125" s="483">
        <v>0</v>
      </c>
      <c r="P125" s="437">
        <v>0</v>
      </c>
      <c r="Q125" s="131">
        <v>0</v>
      </c>
      <c r="R125" s="2347">
        <v>152.08000000000001</v>
      </c>
      <c r="S125" s="1849">
        <v>-152.08000000000001</v>
      </c>
      <c r="T125" s="1463">
        <v>0</v>
      </c>
      <c r="U125" s="1463"/>
      <c r="V125" s="1463"/>
      <c r="W125" s="1463"/>
      <c r="X125" s="1463"/>
      <c r="Y125" s="533">
        <v>0</v>
      </c>
      <c r="Z125" s="533">
        <v>0</v>
      </c>
      <c r="AA125" s="27">
        <v>0</v>
      </c>
      <c r="AB125" s="131">
        <v>0</v>
      </c>
      <c r="AC125" s="75" t="s">
        <v>2468</v>
      </c>
      <c r="AD125" s="75" t="s">
        <v>1329</v>
      </c>
      <c r="AE125" s="379" t="s">
        <v>355</v>
      </c>
      <c r="AF125" s="74" t="s">
        <v>1283</v>
      </c>
      <c r="AG125" s="74" t="s">
        <v>1283</v>
      </c>
      <c r="AH125" s="75">
        <v>11</v>
      </c>
      <c r="AI125" s="722" t="s">
        <v>1448</v>
      </c>
      <c r="AJ125" s="2416">
        <v>152.07999999999993</v>
      </c>
      <c r="AK125" s="516">
        <v>0</v>
      </c>
      <c r="AL125" s="452">
        <v>0</v>
      </c>
      <c r="AM125" s="513">
        <v>0</v>
      </c>
      <c r="AN125" s="1142"/>
      <c r="AO125" s="1142"/>
      <c r="AP125" s="1050"/>
      <c r="AQ125" s="662" t="s">
        <v>1349</v>
      </c>
      <c r="AR125" s="1051">
        <v>5</v>
      </c>
      <c r="AS125" s="1051">
        <v>1</v>
      </c>
      <c r="AT125" s="662">
        <v>6</v>
      </c>
      <c r="AU125" s="1493"/>
      <c r="AV125" s="435"/>
      <c r="AW125" s="75" t="s">
        <v>1961</v>
      </c>
      <c r="AX125" s="75"/>
      <c r="AY125" s="75"/>
      <c r="AZ125" s="75" t="s">
        <v>2468</v>
      </c>
      <c r="BA125" s="75"/>
      <c r="BB125" s="75" t="s">
        <v>2468</v>
      </c>
      <c r="BC125" s="143" t="s">
        <v>1209</v>
      </c>
      <c r="BD125" s="143" t="s">
        <v>1209</v>
      </c>
      <c r="BE125" s="1960" t="s">
        <v>1560</v>
      </c>
      <c r="BF125" s="1955" t="s">
        <v>972</v>
      </c>
      <c r="BG125" s="924" t="s">
        <v>1287</v>
      </c>
      <c r="BH125" s="755">
        <v>0</v>
      </c>
      <c r="BI125" s="755">
        <v>1</v>
      </c>
      <c r="BJ125" s="497"/>
      <c r="BK125" s="1048"/>
      <c r="BL125" s="181">
        <v>0</v>
      </c>
      <c r="BM125" s="866">
        <v>3083.1152999999999</v>
      </c>
      <c r="BN125" s="2399">
        <v>3235.1952999999999</v>
      </c>
      <c r="BO125" s="2263">
        <v>3235.1952999999999</v>
      </c>
      <c r="BP125" s="2314">
        <v>152.07999999999993</v>
      </c>
      <c r="BQ125" s="1482">
        <v>2785.5355599999998</v>
      </c>
      <c r="BR125" s="27">
        <v>297.57974000000002</v>
      </c>
      <c r="BS125" s="866">
        <v>297.57974000000002</v>
      </c>
      <c r="BT125" s="54">
        <v>3083.1152999999999</v>
      </c>
      <c r="BU125" s="44"/>
      <c r="BV125" s="1482">
        <v>2785.5355599999998</v>
      </c>
      <c r="BW125" s="866">
        <v>0</v>
      </c>
      <c r="BX125" s="25">
        <v>2785.5355599999998</v>
      </c>
      <c r="BY125" s="1383">
        <v>2785.5355599999998</v>
      </c>
      <c r="BZ125" s="837">
        <v>0</v>
      </c>
      <c r="CA125" s="837">
        <v>0</v>
      </c>
      <c r="CB125" s="1198">
        <v>0</v>
      </c>
      <c r="CC125" s="1198"/>
      <c r="CD125" s="695">
        <v>0</v>
      </c>
      <c r="CE125" s="1956">
        <v>0</v>
      </c>
      <c r="CF125" s="1013">
        <v>10</v>
      </c>
      <c r="CG125" s="374">
        <v>0</v>
      </c>
      <c r="CH125" s="374">
        <v>0</v>
      </c>
      <c r="CI125" s="1374">
        <v>2785.5355599999998</v>
      </c>
      <c r="CJ125" s="1037">
        <v>449.65974</v>
      </c>
    </row>
    <row r="126" spans="1:98" s="921" customFormat="1" ht="39" hidden="1" thickBot="1" x14ac:dyDescent="0.3">
      <c r="A126" s="173" t="s">
        <v>1765</v>
      </c>
      <c r="B126" s="144" t="s">
        <v>1230</v>
      </c>
      <c r="C126" s="75">
        <v>2019</v>
      </c>
      <c r="D126" s="75" t="s">
        <v>1265</v>
      </c>
      <c r="E126" s="75" t="s">
        <v>304</v>
      </c>
      <c r="F126" s="75" t="s">
        <v>304</v>
      </c>
      <c r="G126" s="221" t="s">
        <v>897</v>
      </c>
      <c r="H126" s="1425">
        <v>0</v>
      </c>
      <c r="I126" s="181">
        <v>0</v>
      </c>
      <c r="J126" s="838"/>
      <c r="K126" s="822">
        <v>0</v>
      </c>
      <c r="L126" s="2772">
        <v>0</v>
      </c>
      <c r="M126" s="2781"/>
      <c r="N126" s="799">
        <v>0</v>
      </c>
      <c r="O126" s="483">
        <v>0</v>
      </c>
      <c r="P126" s="437">
        <v>0</v>
      </c>
      <c r="Q126" s="131">
        <v>0</v>
      </c>
      <c r="R126" s="2618">
        <v>0</v>
      </c>
      <c r="S126" s="1452">
        <v>0</v>
      </c>
      <c r="T126" s="2618">
        <f>R126+S126</f>
        <v>0</v>
      </c>
      <c r="U126" s="2618"/>
      <c r="V126" s="2618"/>
      <c r="W126" s="2618"/>
      <c r="X126" s="2618"/>
      <c r="Y126" s="533">
        <v>0</v>
      </c>
      <c r="Z126" s="533">
        <v>0</v>
      </c>
      <c r="AA126" s="27">
        <v>0</v>
      </c>
      <c r="AB126" s="131">
        <v>0</v>
      </c>
      <c r="AC126" s="75" t="s">
        <v>2634</v>
      </c>
      <c r="AD126" s="75" t="s">
        <v>1300</v>
      </c>
      <c r="AE126" s="379" t="s">
        <v>1350</v>
      </c>
      <c r="AF126" s="74" t="s">
        <v>1282</v>
      </c>
      <c r="AG126" s="74" t="s">
        <v>1282</v>
      </c>
      <c r="AH126" s="414">
        <v>11</v>
      </c>
      <c r="AI126" s="721"/>
      <c r="AJ126" s="363"/>
      <c r="AK126" s="516">
        <f>H126-I126-T126-Y126-Z126-AA126-AB126</f>
        <v>0</v>
      </c>
      <c r="AL126" s="391">
        <f>T126-R126-S126</f>
        <v>0</v>
      </c>
      <c r="AM126" s="509">
        <f>T126-N126-O126-P126-Q126</f>
        <v>0</v>
      </c>
      <c r="AN126" s="1140"/>
      <c r="AO126" s="1140"/>
      <c r="AP126" s="338"/>
      <c r="AQ126" s="923" t="s">
        <v>1349</v>
      </c>
      <c r="AR126" s="356">
        <v>5</v>
      </c>
      <c r="AS126" s="356">
        <v>1</v>
      </c>
      <c r="AT126" s="2755">
        <v>7</v>
      </c>
      <c r="AU126" s="426"/>
      <c r="AV126" s="148"/>
      <c r="AW126" s="8"/>
      <c r="AX126" s="8"/>
      <c r="AY126" s="75" t="s">
        <v>2634</v>
      </c>
      <c r="AZ126" s="8" t="s">
        <v>1474</v>
      </c>
      <c r="BA126" s="8"/>
      <c r="BB126" s="8" t="s">
        <v>1474</v>
      </c>
      <c r="BC126" s="8" t="s">
        <v>1474</v>
      </c>
      <c r="BD126" s="358" t="s">
        <v>1474</v>
      </c>
      <c r="BE126" s="358" t="s">
        <v>1209</v>
      </c>
      <c r="BF126" s="766" t="s">
        <v>1209</v>
      </c>
      <c r="BG126" s="360" t="s">
        <v>1281</v>
      </c>
      <c r="BH126" s="390">
        <v>0</v>
      </c>
      <c r="BI126" s="390">
        <v>1</v>
      </c>
      <c r="BJ126" s="460"/>
      <c r="BK126" s="353"/>
      <c r="BL126" s="71">
        <v>0</v>
      </c>
      <c r="BM126" s="264">
        <v>0</v>
      </c>
      <c r="BN126" s="264"/>
      <c r="BO126" s="2265">
        <v>0</v>
      </c>
      <c r="BP126" s="2313">
        <v>0</v>
      </c>
      <c r="BQ126" s="1443">
        <v>0</v>
      </c>
      <c r="BR126" s="22">
        <v>0</v>
      </c>
      <c r="BS126" s="264">
        <v>0</v>
      </c>
      <c r="BT126" s="54">
        <f>BQ126+BS126</f>
        <v>0</v>
      </c>
      <c r="BU126" s="33"/>
      <c r="BV126" s="1443">
        <v>0</v>
      </c>
      <c r="BW126" s="264">
        <v>0</v>
      </c>
      <c r="BX126" s="20">
        <v>0</v>
      </c>
      <c r="BY126" s="834"/>
      <c r="BZ126" s="697">
        <v>0</v>
      </c>
      <c r="CA126" s="697">
        <v>0</v>
      </c>
      <c r="CB126" s="697">
        <v>0</v>
      </c>
      <c r="CC126" s="697"/>
      <c r="CD126" s="697">
        <v>0</v>
      </c>
      <c r="CE126" s="411">
        <v>0</v>
      </c>
      <c r="CG126" s="253">
        <v>0</v>
      </c>
      <c r="CH126" s="253">
        <v>0</v>
      </c>
      <c r="CI126" s="266">
        <v>0</v>
      </c>
      <c r="CJ126" s="266">
        <v>0</v>
      </c>
      <c r="CK126" s="1552">
        <v>0</v>
      </c>
      <c r="CL126" s="1552">
        <v>0</v>
      </c>
      <c r="CM126" s="1209">
        <v>0</v>
      </c>
      <c r="CN126" s="1209"/>
      <c r="CO126" s="2765"/>
    </row>
    <row r="127" spans="1:98" s="921" customFormat="1" ht="39" hidden="1" thickBot="1" x14ac:dyDescent="0.3">
      <c r="A127" s="173" t="s">
        <v>1766</v>
      </c>
      <c r="B127" s="144" t="s">
        <v>1230</v>
      </c>
      <c r="C127" s="75">
        <v>2019</v>
      </c>
      <c r="D127" s="75" t="s">
        <v>1265</v>
      </c>
      <c r="E127" s="75" t="s">
        <v>304</v>
      </c>
      <c r="F127" s="75" t="s">
        <v>304</v>
      </c>
      <c r="G127" s="221" t="s">
        <v>1253</v>
      </c>
      <c r="H127" s="1425">
        <v>0</v>
      </c>
      <c r="I127" s="181">
        <v>0</v>
      </c>
      <c r="J127" s="838"/>
      <c r="K127" s="822">
        <v>0</v>
      </c>
      <c r="L127" s="2772">
        <v>0</v>
      </c>
      <c r="M127" s="2781"/>
      <c r="N127" s="799">
        <v>0</v>
      </c>
      <c r="O127" s="483">
        <v>0</v>
      </c>
      <c r="P127" s="437">
        <v>0</v>
      </c>
      <c r="Q127" s="131">
        <v>0</v>
      </c>
      <c r="R127" s="2618">
        <v>0</v>
      </c>
      <c r="S127" s="1452">
        <v>0</v>
      </c>
      <c r="T127" s="2618">
        <f>R127+S127</f>
        <v>0</v>
      </c>
      <c r="U127" s="2618"/>
      <c r="V127" s="2618"/>
      <c r="W127" s="2618"/>
      <c r="X127" s="2618"/>
      <c r="Y127" s="533">
        <v>0</v>
      </c>
      <c r="Z127" s="533">
        <v>0</v>
      </c>
      <c r="AA127" s="27">
        <v>0</v>
      </c>
      <c r="AB127" s="131">
        <v>0</v>
      </c>
      <c r="AC127" s="75" t="s">
        <v>2635</v>
      </c>
      <c r="AD127" s="75" t="s">
        <v>1300</v>
      </c>
      <c r="AE127" s="379" t="s">
        <v>1350</v>
      </c>
      <c r="AF127" s="74" t="s">
        <v>1282</v>
      </c>
      <c r="AG127" s="74" t="s">
        <v>1282</v>
      </c>
      <c r="AH127" s="414">
        <v>11</v>
      </c>
      <c r="AI127" s="721"/>
      <c r="AJ127" s="363"/>
      <c r="AK127" s="516">
        <f>H127-I127-T127-Y127-Z127-AA127-AB127</f>
        <v>0</v>
      </c>
      <c r="AL127" s="391">
        <f>T127-R127-S127</f>
        <v>0</v>
      </c>
      <c r="AM127" s="509">
        <f>T127-N127-O127-P127-Q127</f>
        <v>0</v>
      </c>
      <c r="AN127" s="1140"/>
      <c r="AO127" s="1140"/>
      <c r="AP127" s="338"/>
      <c r="AQ127" s="923" t="s">
        <v>1349</v>
      </c>
      <c r="AR127" s="356">
        <v>5</v>
      </c>
      <c r="AS127" s="356">
        <v>1</v>
      </c>
      <c r="AT127" s="2755">
        <v>7</v>
      </c>
      <c r="AU127" s="426"/>
      <c r="AV127" s="148"/>
      <c r="AW127" s="8"/>
      <c r="AX127" s="8"/>
      <c r="AY127" s="75" t="s">
        <v>2635</v>
      </c>
      <c r="AZ127" s="8" t="s">
        <v>1209</v>
      </c>
      <c r="BA127" s="8"/>
      <c r="BB127" s="8" t="s">
        <v>1209</v>
      </c>
      <c r="BC127" s="8" t="s">
        <v>1209</v>
      </c>
      <c r="BD127" s="358" t="s">
        <v>1209</v>
      </c>
      <c r="BE127" s="358" t="s">
        <v>1209</v>
      </c>
      <c r="BF127" s="766" t="s">
        <v>1209</v>
      </c>
      <c r="BG127" s="360" t="s">
        <v>1281</v>
      </c>
      <c r="BH127" s="390">
        <v>0</v>
      </c>
      <c r="BI127" s="390">
        <v>1</v>
      </c>
      <c r="BJ127" s="460"/>
      <c r="BK127" s="353"/>
      <c r="BL127" s="71">
        <v>0</v>
      </c>
      <c r="BM127" s="264">
        <v>0</v>
      </c>
      <c r="BN127" s="264"/>
      <c r="BO127" s="2265">
        <v>0</v>
      </c>
      <c r="BP127" s="2313">
        <v>0</v>
      </c>
      <c r="BQ127" s="1443">
        <v>0</v>
      </c>
      <c r="BR127" s="22">
        <v>0</v>
      </c>
      <c r="BS127" s="264">
        <v>0</v>
      </c>
      <c r="BT127" s="54">
        <f>BQ127+BS127</f>
        <v>0</v>
      </c>
      <c r="BU127" s="33"/>
      <c r="BV127" s="1443">
        <v>0</v>
      </c>
      <c r="BW127" s="264">
        <v>0</v>
      </c>
      <c r="BX127" s="20">
        <v>0</v>
      </c>
      <c r="BY127" s="834"/>
      <c r="BZ127" s="697">
        <v>0</v>
      </c>
      <c r="CA127" s="697">
        <v>0</v>
      </c>
      <c r="CB127" s="697">
        <v>0</v>
      </c>
      <c r="CC127" s="697"/>
      <c r="CD127" s="697">
        <v>0</v>
      </c>
      <c r="CE127" s="411">
        <v>0</v>
      </c>
      <c r="CG127" s="253">
        <v>0</v>
      </c>
      <c r="CH127" s="253">
        <v>0</v>
      </c>
      <c r="CI127" s="266">
        <v>0</v>
      </c>
      <c r="CJ127" s="266">
        <v>0</v>
      </c>
      <c r="CK127" s="1552">
        <v>0</v>
      </c>
      <c r="CL127" s="1552">
        <v>0</v>
      </c>
      <c r="CM127" s="1209">
        <v>0</v>
      </c>
      <c r="CN127" s="1209"/>
      <c r="CO127" s="2765"/>
    </row>
    <row r="128" spans="1:98" s="1013" customFormat="1" ht="26.25" hidden="1" thickBot="1" x14ac:dyDescent="0.3">
      <c r="A128" s="173" t="s">
        <v>1768</v>
      </c>
      <c r="B128" s="144" t="s">
        <v>1230</v>
      </c>
      <c r="C128" s="75">
        <v>2019</v>
      </c>
      <c r="D128" s="75" t="s">
        <v>1265</v>
      </c>
      <c r="E128" s="75" t="s">
        <v>870</v>
      </c>
      <c r="F128" s="75" t="s">
        <v>870</v>
      </c>
      <c r="G128" s="221" t="s">
        <v>871</v>
      </c>
      <c r="H128" s="2955">
        <v>0</v>
      </c>
      <c r="I128" s="181">
        <v>0</v>
      </c>
      <c r="J128" s="42">
        <v>0</v>
      </c>
      <c r="K128" s="3105"/>
      <c r="L128" s="3105"/>
      <c r="M128" s="3105"/>
      <c r="N128" s="799">
        <v>0</v>
      </c>
      <c r="O128" s="483">
        <v>0</v>
      </c>
      <c r="P128" s="437">
        <v>0</v>
      </c>
      <c r="Q128" s="483">
        <v>0</v>
      </c>
      <c r="R128" s="2618">
        <v>0</v>
      </c>
      <c r="S128" s="1452">
        <v>0</v>
      </c>
      <c r="T128" s="2732">
        <f>R128+S128</f>
        <v>0</v>
      </c>
      <c r="U128" s="542">
        <v>0</v>
      </c>
      <c r="V128" s="375">
        <v>0</v>
      </c>
      <c r="W128" s="375">
        <v>0</v>
      </c>
      <c r="X128" s="26">
        <v>0</v>
      </c>
      <c r="Y128" s="536">
        <v>0</v>
      </c>
      <c r="Z128" s="533">
        <v>0</v>
      </c>
      <c r="AA128" s="27">
        <v>0</v>
      </c>
      <c r="AB128" s="483">
        <v>0</v>
      </c>
      <c r="AC128" s="83" t="s">
        <v>2691</v>
      </c>
      <c r="AD128" s="83" t="s">
        <v>1300</v>
      </c>
      <c r="AE128" s="379" t="s">
        <v>1551</v>
      </c>
      <c r="AF128" s="379" t="s">
        <v>1282</v>
      </c>
      <c r="AG128" s="74" t="s">
        <v>1282</v>
      </c>
      <c r="AH128" s="414">
        <v>2</v>
      </c>
      <c r="AI128" s="722"/>
      <c r="AJ128" s="1035"/>
      <c r="AK128" s="1011">
        <f>H128-I128-T128-Y128-Z128-AA128-AB128</f>
        <v>0</v>
      </c>
      <c r="AL128" s="1084">
        <f>T128-R128-S128</f>
        <v>0</v>
      </c>
      <c r="AM128" s="2991">
        <f>T128-N128-O128-P128-Q128</f>
        <v>0</v>
      </c>
      <c r="AN128" s="513">
        <f>Y128-U128-V128-W128-X128</f>
        <v>0</v>
      </c>
      <c r="AO128" s="2992"/>
      <c r="AP128" s="496"/>
      <c r="AQ128" s="662" t="s">
        <v>1349</v>
      </c>
      <c r="AR128" s="1051">
        <v>5</v>
      </c>
      <c r="AS128" s="1051">
        <v>1</v>
      </c>
      <c r="AT128" s="3170">
        <v>8</v>
      </c>
      <c r="AU128" s="1071"/>
      <c r="AV128" s="435"/>
      <c r="AW128" s="75"/>
      <c r="AX128" s="150" t="s">
        <v>2691</v>
      </c>
      <c r="AY128" s="75" t="s">
        <v>1209</v>
      </c>
      <c r="AZ128" s="75" t="s">
        <v>1209</v>
      </c>
      <c r="BA128" s="75" t="s">
        <v>1209</v>
      </c>
      <c r="BB128" s="75" t="s">
        <v>1209</v>
      </c>
      <c r="BC128" s="414" t="s">
        <v>1209</v>
      </c>
      <c r="BD128" s="414" t="s">
        <v>1209</v>
      </c>
      <c r="BE128" s="768" t="s">
        <v>1209</v>
      </c>
      <c r="BF128" s="425" t="s">
        <v>1281</v>
      </c>
      <c r="BG128" s="755">
        <v>0</v>
      </c>
      <c r="BH128" s="755">
        <v>1</v>
      </c>
      <c r="BI128" s="497"/>
      <c r="BJ128" s="1048"/>
      <c r="BK128" s="181">
        <v>0</v>
      </c>
      <c r="BL128" s="866">
        <v>0</v>
      </c>
      <c r="BM128" s="866"/>
      <c r="BN128" s="2263">
        <v>0</v>
      </c>
      <c r="BO128" s="2314">
        <v>0</v>
      </c>
      <c r="BP128" s="1482">
        <v>0</v>
      </c>
      <c r="BQ128" s="27">
        <v>0</v>
      </c>
      <c r="BR128" s="866">
        <v>0</v>
      </c>
      <c r="BS128" s="1714">
        <f>BP128+BR128</f>
        <v>0</v>
      </c>
      <c r="BT128" s="44"/>
      <c r="BU128" s="1482">
        <v>0</v>
      </c>
      <c r="BV128" s="866">
        <v>0</v>
      </c>
      <c r="BW128" s="25">
        <v>0</v>
      </c>
      <c r="BX128" s="1374"/>
      <c r="BY128" s="695">
        <v>0</v>
      </c>
      <c r="BZ128" s="695">
        <v>0</v>
      </c>
      <c r="CA128" s="695">
        <v>0</v>
      </c>
      <c r="CB128" s="695"/>
      <c r="CC128" s="695">
        <v>0</v>
      </c>
      <c r="CD128" s="419">
        <v>0</v>
      </c>
      <c r="CF128" s="374">
        <v>0</v>
      </c>
      <c r="CG128" s="374">
        <v>0</v>
      </c>
      <c r="CH128" s="1037">
        <v>0</v>
      </c>
      <c r="CI128" s="1037">
        <v>0</v>
      </c>
      <c r="CJ128" s="1552">
        <v>0</v>
      </c>
      <c r="CK128" s="1552">
        <v>0</v>
      </c>
      <c r="CL128" s="2980">
        <v>0</v>
      </c>
      <c r="CM128" s="823">
        <v>0</v>
      </c>
      <c r="CN128" s="2954">
        <v>0</v>
      </c>
      <c r="CO128" s="2954">
        <v>0</v>
      </c>
      <c r="CP128" s="2954">
        <v>0</v>
      </c>
      <c r="CQ128" s="823">
        <v>0</v>
      </c>
      <c r="CR128" s="3105"/>
      <c r="CS128" s="2980"/>
      <c r="CT128" s="2765"/>
    </row>
    <row r="129" spans="1:98" s="985" customFormat="1" ht="30.75" hidden="1" thickBot="1" x14ac:dyDescent="0.3">
      <c r="A129" s="1850" t="s">
        <v>1771</v>
      </c>
      <c r="B129" s="1248" t="s">
        <v>2329</v>
      </c>
      <c r="C129" s="1281">
        <v>2019</v>
      </c>
      <c r="D129" s="1281" t="s">
        <v>1265</v>
      </c>
      <c r="E129" s="1281" t="s">
        <v>204</v>
      </c>
      <c r="F129" s="1281" t="s">
        <v>204</v>
      </c>
      <c r="G129" s="1851" t="s">
        <v>874</v>
      </c>
      <c r="H129" s="1846">
        <v>305.95652999999999</v>
      </c>
      <c r="I129" s="2533">
        <f t="shared" si="13"/>
        <v>0</v>
      </c>
      <c r="J129" s="2643">
        <f t="shared" si="10"/>
        <v>305.95652999999999</v>
      </c>
      <c r="K129" s="2643">
        <f t="shared" si="11"/>
        <v>305.95652999999999</v>
      </c>
      <c r="L129" s="2643">
        <f t="shared" si="12"/>
        <v>0</v>
      </c>
      <c r="M129" s="1376"/>
      <c r="N129" s="2364">
        <v>0</v>
      </c>
      <c r="O129" s="1672">
        <v>0</v>
      </c>
      <c r="P129" s="1657">
        <v>0</v>
      </c>
      <c r="Q129" s="1658">
        <v>0</v>
      </c>
      <c r="R129" s="2346">
        <v>14.043470000000013</v>
      </c>
      <c r="S129" s="1849">
        <v>-14.043470000000013</v>
      </c>
      <c r="T129" s="2281">
        <v>0</v>
      </c>
      <c r="U129" s="2281"/>
      <c r="V129" s="2281"/>
      <c r="W129" s="2281"/>
      <c r="X129" s="2281"/>
      <c r="Y129" s="1852">
        <v>0</v>
      </c>
      <c r="Z129" s="1852">
        <v>0</v>
      </c>
      <c r="AA129" s="1286">
        <v>0</v>
      </c>
      <c r="AB129" s="1292">
        <v>0</v>
      </c>
      <c r="AC129" s="979" t="s">
        <v>2470</v>
      </c>
      <c r="AD129" s="979" t="s">
        <v>1329</v>
      </c>
      <c r="AE129" s="1590" t="s">
        <v>355</v>
      </c>
      <c r="AF129" s="1589" t="s">
        <v>1283</v>
      </c>
      <c r="AG129" s="1589" t="s">
        <v>1283</v>
      </c>
      <c r="AH129" s="1281">
        <v>8</v>
      </c>
      <c r="AI129" s="1319"/>
      <c r="AJ129" s="2416">
        <v>14.043470000000013</v>
      </c>
      <c r="AK129" s="516">
        <v>0</v>
      </c>
      <c r="AL129" s="1320">
        <v>0</v>
      </c>
      <c r="AM129" s="512">
        <v>0</v>
      </c>
      <c r="AN129" s="1171"/>
      <c r="AO129" s="1171"/>
      <c r="AP129" s="1321"/>
      <c r="AQ129" s="674" t="s">
        <v>1349</v>
      </c>
      <c r="AR129" s="1323">
        <v>5</v>
      </c>
      <c r="AS129" s="1323">
        <v>1</v>
      </c>
      <c r="AT129" s="674">
        <v>6</v>
      </c>
      <c r="AU129" s="1491"/>
      <c r="AV129" s="455"/>
      <c r="AW129" s="979"/>
      <c r="AX129" s="979"/>
      <c r="AY129" s="979"/>
      <c r="AZ129" s="979" t="s">
        <v>2470</v>
      </c>
      <c r="BA129" s="979"/>
      <c r="BB129" s="979" t="s">
        <v>2470</v>
      </c>
      <c r="BC129" s="979" t="s">
        <v>2208</v>
      </c>
      <c r="BD129" s="1281" t="s">
        <v>1209</v>
      </c>
      <c r="BE129" s="1281" t="s">
        <v>1209</v>
      </c>
      <c r="BF129" s="767" t="s">
        <v>1209</v>
      </c>
      <c r="BG129" s="924" t="s">
        <v>1281</v>
      </c>
      <c r="BH129" s="403">
        <v>0</v>
      </c>
      <c r="BI129" s="403">
        <v>1</v>
      </c>
      <c r="BJ129" s="983"/>
      <c r="BK129" s="1325"/>
      <c r="BL129" s="704">
        <v>0</v>
      </c>
      <c r="BM129" s="1376">
        <v>305.95652999999999</v>
      </c>
      <c r="BN129" s="2401">
        <v>320</v>
      </c>
      <c r="BO129" s="704">
        <v>320</v>
      </c>
      <c r="BP129" s="2315">
        <v>14.043470000000013</v>
      </c>
      <c r="BQ129" s="1823">
        <v>0</v>
      </c>
      <c r="BR129" s="1539">
        <v>305.95652999999999</v>
      </c>
      <c r="BS129" s="1376">
        <v>305.95652999999999</v>
      </c>
      <c r="BT129" s="54">
        <v>305.95652999999999</v>
      </c>
      <c r="BU129" s="1540"/>
      <c r="BV129" s="1538">
        <v>0</v>
      </c>
      <c r="BW129" s="1376">
        <v>0</v>
      </c>
      <c r="BX129" s="1952">
        <v>0</v>
      </c>
      <c r="BY129" s="2191"/>
      <c r="BZ129" s="1070">
        <v>0</v>
      </c>
      <c r="CA129" s="1070">
        <v>0</v>
      </c>
      <c r="CB129" s="1070">
        <v>0</v>
      </c>
      <c r="CC129" s="1070"/>
      <c r="CD129" s="1070">
        <v>0</v>
      </c>
      <c r="CE129" s="704">
        <v>0</v>
      </c>
      <c r="CG129" s="1253">
        <v>0</v>
      </c>
      <c r="CH129" s="1253">
        <v>0</v>
      </c>
      <c r="CI129" s="1548">
        <v>0</v>
      </c>
      <c r="CJ129" s="1548">
        <v>320</v>
      </c>
    </row>
    <row r="130" spans="1:98" s="985" customFormat="1" ht="39" hidden="1" thickBot="1" x14ac:dyDescent="0.3">
      <c r="A130" s="1856" t="s">
        <v>1775</v>
      </c>
      <c r="B130" s="1280" t="s">
        <v>2121</v>
      </c>
      <c r="C130" s="1318">
        <v>2019</v>
      </c>
      <c r="D130" s="1281" t="s">
        <v>1265</v>
      </c>
      <c r="E130" s="1281" t="s">
        <v>880</v>
      </c>
      <c r="F130" s="1281" t="s">
        <v>880</v>
      </c>
      <c r="G130" s="1851" t="s">
        <v>1365</v>
      </c>
      <c r="H130" s="2272">
        <v>449.60700000000003</v>
      </c>
      <c r="I130" s="2533">
        <f t="shared" si="13"/>
        <v>0</v>
      </c>
      <c r="J130" s="2643">
        <f t="shared" si="10"/>
        <v>449.60700000000003</v>
      </c>
      <c r="K130" s="2643">
        <f t="shared" si="11"/>
        <v>449.60700000000003</v>
      </c>
      <c r="L130" s="2643">
        <f t="shared" si="12"/>
        <v>0</v>
      </c>
      <c r="M130" s="1376"/>
      <c r="N130" s="2364">
        <v>0</v>
      </c>
      <c r="O130" s="1854">
        <v>0</v>
      </c>
      <c r="P130" s="1855">
        <v>0</v>
      </c>
      <c r="Q130" s="1292">
        <v>0</v>
      </c>
      <c r="R130" s="2348">
        <v>0.39299999999997226</v>
      </c>
      <c r="S130" s="1849">
        <v>-0.39299999999997226</v>
      </c>
      <c r="T130" s="1545">
        <v>0</v>
      </c>
      <c r="U130" s="1545"/>
      <c r="V130" s="1545"/>
      <c r="W130" s="1545"/>
      <c r="X130" s="1545"/>
      <c r="Y130" s="1852">
        <v>0</v>
      </c>
      <c r="Z130" s="1852">
        <v>0</v>
      </c>
      <c r="AA130" s="1286">
        <v>0</v>
      </c>
      <c r="AB130" s="1292">
        <v>0</v>
      </c>
      <c r="AC130" s="1318" t="s">
        <v>2510</v>
      </c>
      <c r="AD130" s="1281" t="s">
        <v>1329</v>
      </c>
      <c r="AE130" s="1290" t="s">
        <v>355</v>
      </c>
      <c r="AF130" s="1289" t="s">
        <v>1283</v>
      </c>
      <c r="AG130" s="1289" t="s">
        <v>1283</v>
      </c>
      <c r="AH130" s="1281">
        <v>3</v>
      </c>
      <c r="AI130" s="1319"/>
      <c r="AJ130" s="2416">
        <v>0.39299999999997226</v>
      </c>
      <c r="AK130" s="516">
        <v>0</v>
      </c>
      <c r="AL130" s="1320">
        <v>0</v>
      </c>
      <c r="AM130" s="512">
        <v>0</v>
      </c>
      <c r="AN130" s="1171"/>
      <c r="AO130" s="1171"/>
      <c r="AP130" s="1321"/>
      <c r="AQ130" s="674" t="s">
        <v>1349</v>
      </c>
      <c r="AR130" s="1323">
        <v>5</v>
      </c>
      <c r="AS130" s="1323">
        <v>1</v>
      </c>
      <c r="AT130" s="674">
        <v>6</v>
      </c>
      <c r="AU130" s="1491"/>
      <c r="AV130" s="455"/>
      <c r="AW130" s="979" t="s">
        <v>1962</v>
      </c>
      <c r="AX130" s="979"/>
      <c r="AY130" s="979"/>
      <c r="AZ130" s="1318" t="s">
        <v>2510</v>
      </c>
      <c r="BA130" s="1318"/>
      <c r="BB130" s="1318" t="s">
        <v>2510</v>
      </c>
      <c r="BC130" s="979" t="s">
        <v>1209</v>
      </c>
      <c r="BD130" s="1281" t="s">
        <v>1209</v>
      </c>
      <c r="BE130" s="1281" t="s">
        <v>1209</v>
      </c>
      <c r="BF130" s="1959" t="s">
        <v>1564</v>
      </c>
      <c r="BG130" s="924" t="s">
        <v>1281</v>
      </c>
      <c r="BH130" s="403">
        <v>0</v>
      </c>
      <c r="BI130" s="403">
        <v>1</v>
      </c>
      <c r="BJ130" s="983"/>
      <c r="BK130" s="1325"/>
      <c r="BL130" s="704">
        <v>0</v>
      </c>
      <c r="BM130" s="1376">
        <v>449.60700000000003</v>
      </c>
      <c r="BN130" s="2401">
        <v>450</v>
      </c>
      <c r="BO130" s="2267">
        <v>450</v>
      </c>
      <c r="BP130" s="2315">
        <v>0.39299999999997226</v>
      </c>
      <c r="BQ130" s="1823">
        <v>0</v>
      </c>
      <c r="BR130" s="2270">
        <v>450</v>
      </c>
      <c r="BS130" s="2271">
        <v>449.60700000000003</v>
      </c>
      <c r="BT130" s="54">
        <v>449.60700000000003</v>
      </c>
      <c r="BU130" s="2288"/>
      <c r="BV130" s="1538">
        <v>0</v>
      </c>
      <c r="BW130" s="1376">
        <v>0</v>
      </c>
      <c r="BX130" s="980">
        <v>0</v>
      </c>
      <c r="BY130" s="1895"/>
      <c r="BZ130" s="1070">
        <v>0</v>
      </c>
      <c r="CA130" s="1070">
        <v>0</v>
      </c>
      <c r="CB130" s="1070">
        <v>0</v>
      </c>
      <c r="CC130" s="1070"/>
      <c r="CD130" s="1847">
        <v>0</v>
      </c>
      <c r="CE130" s="1775">
        <v>0</v>
      </c>
      <c r="CF130" s="985">
        <v>9</v>
      </c>
      <c r="CG130" s="1253">
        <v>0</v>
      </c>
      <c r="CH130" s="1253">
        <v>0</v>
      </c>
      <c r="CI130" s="1548">
        <v>0</v>
      </c>
      <c r="CJ130" s="1548">
        <v>450</v>
      </c>
    </row>
    <row r="131" spans="1:98" s="985" customFormat="1" ht="30.75" hidden="1" thickBot="1" x14ac:dyDescent="0.3">
      <c r="A131" s="1856" t="s">
        <v>1778</v>
      </c>
      <c r="B131" s="1850" t="s">
        <v>1969</v>
      </c>
      <c r="C131" s="1318">
        <v>2019</v>
      </c>
      <c r="D131" s="1281" t="s">
        <v>1265</v>
      </c>
      <c r="E131" s="1281" t="s">
        <v>884</v>
      </c>
      <c r="F131" s="1281" t="s">
        <v>884</v>
      </c>
      <c r="G131" s="1851" t="s">
        <v>975</v>
      </c>
      <c r="H131" s="1853">
        <v>3664.9795399999998</v>
      </c>
      <c r="I131" s="2533">
        <f t="shared" si="13"/>
        <v>0</v>
      </c>
      <c r="J131" s="2643">
        <f t="shared" si="10"/>
        <v>3664.9795400000003</v>
      </c>
      <c r="K131" s="2643">
        <f t="shared" si="11"/>
        <v>3664.9795400000003</v>
      </c>
      <c r="L131" s="2643">
        <f t="shared" si="12"/>
        <v>0</v>
      </c>
      <c r="M131" s="1376"/>
      <c r="N131" s="2364">
        <v>0</v>
      </c>
      <c r="O131" s="1672">
        <v>0</v>
      </c>
      <c r="P131" s="1657">
        <v>0</v>
      </c>
      <c r="Q131" s="1658">
        <v>0</v>
      </c>
      <c r="R131" s="2346">
        <v>235.02046000000001</v>
      </c>
      <c r="S131" s="1849">
        <v>-235.02046000000001</v>
      </c>
      <c r="T131" s="1545">
        <v>0</v>
      </c>
      <c r="U131" s="1545"/>
      <c r="V131" s="1545"/>
      <c r="W131" s="1545"/>
      <c r="X131" s="1545"/>
      <c r="Y131" s="1852">
        <v>0</v>
      </c>
      <c r="Z131" s="1852">
        <v>0</v>
      </c>
      <c r="AA131" s="1286">
        <v>0</v>
      </c>
      <c r="AB131" s="1292">
        <v>0</v>
      </c>
      <c r="AC131" s="1318" t="s">
        <v>2471</v>
      </c>
      <c r="AD131" s="1281" t="s">
        <v>1329</v>
      </c>
      <c r="AE131" s="1290" t="s">
        <v>845</v>
      </c>
      <c r="AF131" s="1307" t="s">
        <v>1283</v>
      </c>
      <c r="AG131" s="1307" t="s">
        <v>1283</v>
      </c>
      <c r="AH131" s="1281">
        <v>3</v>
      </c>
      <c r="AI131" s="1319"/>
      <c r="AJ131" s="2416">
        <v>235.02045999999973</v>
      </c>
      <c r="AK131" s="516">
        <v>-4.5474735088646412E-13</v>
      </c>
      <c r="AL131" s="1320">
        <v>0</v>
      </c>
      <c r="AM131" s="512">
        <v>0</v>
      </c>
      <c r="AN131" s="1171"/>
      <c r="AO131" s="1171"/>
      <c r="AP131" s="1321"/>
      <c r="AQ131" s="674" t="s">
        <v>1349</v>
      </c>
      <c r="AR131" s="1323">
        <v>5</v>
      </c>
      <c r="AS131" s="1323">
        <v>1</v>
      </c>
      <c r="AT131" s="674">
        <v>6</v>
      </c>
      <c r="AU131" s="1491"/>
      <c r="AV131" s="455"/>
      <c r="AW131" s="979" t="s">
        <v>1963</v>
      </c>
      <c r="AX131" s="979"/>
      <c r="AY131" s="979"/>
      <c r="AZ131" s="1318" t="s">
        <v>2471</v>
      </c>
      <c r="BA131" s="1318"/>
      <c r="BB131" s="1318" t="s">
        <v>2471</v>
      </c>
      <c r="BC131" s="979" t="s">
        <v>1476</v>
      </c>
      <c r="BD131" s="1281" t="s">
        <v>1476</v>
      </c>
      <c r="BE131" s="1281" t="s">
        <v>1476</v>
      </c>
      <c r="BF131" s="1959" t="s">
        <v>1566</v>
      </c>
      <c r="BG131" s="924" t="s">
        <v>1359</v>
      </c>
      <c r="BH131" s="403">
        <v>0</v>
      </c>
      <c r="BI131" s="403">
        <v>1</v>
      </c>
      <c r="BJ131" s="983"/>
      <c r="BK131" s="1325"/>
      <c r="BL131" s="704">
        <v>0</v>
      </c>
      <c r="BM131" s="1376">
        <v>3664.9795400000003</v>
      </c>
      <c r="BN131" s="2401">
        <v>3900</v>
      </c>
      <c r="BO131" s="2267">
        <v>3900</v>
      </c>
      <c r="BP131" s="2315">
        <v>235.02045999999973</v>
      </c>
      <c r="BQ131" s="1823">
        <v>3055.299</v>
      </c>
      <c r="BR131" s="1286">
        <v>609.68053999999995</v>
      </c>
      <c r="BS131" s="1376">
        <v>609.68054000000006</v>
      </c>
      <c r="BT131" s="54">
        <v>3664.9795400000003</v>
      </c>
      <c r="BU131" s="1824"/>
      <c r="BV131" s="1538">
        <v>3055.299</v>
      </c>
      <c r="BW131" s="1377">
        <v>2670.2460000000001</v>
      </c>
      <c r="BX131" s="980">
        <v>385.053</v>
      </c>
      <c r="BY131" s="1895"/>
      <c r="BZ131" s="1954">
        <v>385.053</v>
      </c>
      <c r="CA131" s="1070">
        <v>0</v>
      </c>
      <c r="CB131" s="1070">
        <v>0</v>
      </c>
      <c r="CC131" s="1070"/>
      <c r="CD131" s="1847">
        <v>0</v>
      </c>
      <c r="CE131" s="1775">
        <v>0</v>
      </c>
      <c r="CF131" s="985">
        <v>11</v>
      </c>
      <c r="CG131" s="1253">
        <v>0</v>
      </c>
      <c r="CH131" s="1253">
        <v>0</v>
      </c>
      <c r="CI131" s="1548">
        <v>385.053</v>
      </c>
      <c r="CJ131" s="1548">
        <v>3514.9470000000001</v>
      </c>
    </row>
    <row r="132" spans="1:98" s="985" customFormat="1" ht="26.25" hidden="1" thickBot="1" x14ac:dyDescent="0.3">
      <c r="A132" s="1856" t="s">
        <v>1779</v>
      </c>
      <c r="B132" s="1534" t="s">
        <v>2511</v>
      </c>
      <c r="C132" s="1318">
        <v>2019</v>
      </c>
      <c r="D132" s="1281" t="s">
        <v>1265</v>
      </c>
      <c r="E132" s="1281" t="s">
        <v>216</v>
      </c>
      <c r="F132" s="1281" t="s">
        <v>216</v>
      </c>
      <c r="G132" s="1851" t="s">
        <v>885</v>
      </c>
      <c r="H132" s="2272">
        <v>1197.9000000000001</v>
      </c>
      <c r="I132" s="2533">
        <f t="shared" si="13"/>
        <v>0</v>
      </c>
      <c r="J132" s="2643">
        <f t="shared" si="10"/>
        <v>1197.9000000000001</v>
      </c>
      <c r="K132" s="2643">
        <f t="shared" si="11"/>
        <v>1197.9000000000001</v>
      </c>
      <c r="L132" s="2643">
        <f t="shared" si="12"/>
        <v>0</v>
      </c>
      <c r="M132" s="1376"/>
      <c r="N132" s="2364">
        <v>0</v>
      </c>
      <c r="O132" s="1672">
        <v>0</v>
      </c>
      <c r="P132" s="1657">
        <v>0</v>
      </c>
      <c r="Q132" s="1658">
        <v>0</v>
      </c>
      <c r="R132" s="2348">
        <v>2.0999999999999091</v>
      </c>
      <c r="S132" s="1849">
        <v>-2.0999999999999091</v>
      </c>
      <c r="T132" s="1545">
        <v>0</v>
      </c>
      <c r="U132" s="1545"/>
      <c r="V132" s="1545"/>
      <c r="W132" s="1545"/>
      <c r="X132" s="1545"/>
      <c r="Y132" s="1852">
        <v>0</v>
      </c>
      <c r="Z132" s="1852">
        <v>0</v>
      </c>
      <c r="AA132" s="1286">
        <v>0</v>
      </c>
      <c r="AB132" s="1292">
        <v>0</v>
      </c>
      <c r="AC132" s="1318" t="s">
        <v>2483</v>
      </c>
      <c r="AD132" s="1281" t="s">
        <v>1329</v>
      </c>
      <c r="AE132" s="1290" t="s">
        <v>355</v>
      </c>
      <c r="AF132" s="1289" t="s">
        <v>1283</v>
      </c>
      <c r="AG132" s="1289" t="s">
        <v>1283</v>
      </c>
      <c r="AH132" s="1281">
        <v>4</v>
      </c>
      <c r="AI132" s="1319"/>
      <c r="AJ132" s="2416">
        <v>2.0999999999999091</v>
      </c>
      <c r="AK132" s="516">
        <v>0</v>
      </c>
      <c r="AL132" s="1320">
        <v>0</v>
      </c>
      <c r="AM132" s="512">
        <v>0</v>
      </c>
      <c r="AN132" s="1171"/>
      <c r="AO132" s="1171"/>
      <c r="AP132" s="1321"/>
      <c r="AQ132" s="674" t="s">
        <v>1349</v>
      </c>
      <c r="AR132" s="1323">
        <v>5</v>
      </c>
      <c r="AS132" s="1323">
        <v>1</v>
      </c>
      <c r="AT132" s="674">
        <v>6</v>
      </c>
      <c r="AU132" s="1491"/>
      <c r="AV132" s="455"/>
      <c r="AW132" s="979"/>
      <c r="AX132" s="979"/>
      <c r="AY132" s="979"/>
      <c r="AZ132" s="1318" t="s">
        <v>2483</v>
      </c>
      <c r="BA132" s="1318"/>
      <c r="BB132" s="1318" t="s">
        <v>2483</v>
      </c>
      <c r="BC132" s="979" t="s">
        <v>2208</v>
      </c>
      <c r="BD132" s="1281" t="s">
        <v>1209</v>
      </c>
      <c r="BE132" s="1281" t="s">
        <v>1209</v>
      </c>
      <c r="BF132" s="767" t="s">
        <v>1209</v>
      </c>
      <c r="BG132" s="924" t="s">
        <v>1281</v>
      </c>
      <c r="BH132" s="403">
        <v>0</v>
      </c>
      <c r="BI132" s="403">
        <v>1</v>
      </c>
      <c r="BJ132" s="983"/>
      <c r="BK132" s="1325"/>
      <c r="BL132" s="704">
        <v>0</v>
      </c>
      <c r="BM132" s="1376">
        <v>1197.9000000000001</v>
      </c>
      <c r="BN132" s="2401">
        <v>1200</v>
      </c>
      <c r="BO132" s="2267">
        <v>1200</v>
      </c>
      <c r="BP132" s="2315">
        <v>2.0999999999999091</v>
      </c>
      <c r="BQ132" s="1823">
        <v>0</v>
      </c>
      <c r="BR132" s="2270">
        <v>1200</v>
      </c>
      <c r="BS132" s="2271">
        <v>1197.9000000000001</v>
      </c>
      <c r="BT132" s="54">
        <v>1197.9000000000001</v>
      </c>
      <c r="BU132" s="2288"/>
      <c r="BV132" s="1538">
        <v>0</v>
      </c>
      <c r="BW132" s="1376">
        <v>0</v>
      </c>
      <c r="BX132" s="1952">
        <v>0</v>
      </c>
      <c r="BY132" s="2191"/>
      <c r="BZ132" s="1070">
        <v>0</v>
      </c>
      <c r="CA132" s="1070">
        <v>0</v>
      </c>
      <c r="CB132" s="1070">
        <v>0</v>
      </c>
      <c r="CC132" s="1070"/>
      <c r="CD132" s="1070">
        <v>0</v>
      </c>
      <c r="CE132" s="704">
        <v>0</v>
      </c>
      <c r="CG132" s="1253">
        <v>0</v>
      </c>
      <c r="CH132" s="1253">
        <v>0</v>
      </c>
      <c r="CI132" s="1548">
        <v>0</v>
      </c>
      <c r="CJ132" s="1548">
        <v>1200</v>
      </c>
    </row>
    <row r="133" spans="1:98" s="985" customFormat="1" ht="26.25" hidden="1" thickBot="1" x14ac:dyDescent="0.3">
      <c r="A133" s="1534" t="s">
        <v>1782</v>
      </c>
      <c r="B133" s="1534" t="s">
        <v>2122</v>
      </c>
      <c r="C133" s="979">
        <v>2019</v>
      </c>
      <c r="D133" s="979" t="s">
        <v>1265</v>
      </c>
      <c r="E133" s="979" t="s">
        <v>889</v>
      </c>
      <c r="F133" s="979" t="s">
        <v>889</v>
      </c>
      <c r="G133" s="1754" t="s">
        <v>890</v>
      </c>
      <c r="H133" s="1846">
        <v>499.14</v>
      </c>
      <c r="I133" s="2533">
        <f t="shared" si="13"/>
        <v>0</v>
      </c>
      <c r="J133" s="2643">
        <f t="shared" si="10"/>
        <v>499.14</v>
      </c>
      <c r="K133" s="2643">
        <f t="shared" si="11"/>
        <v>499.14</v>
      </c>
      <c r="L133" s="2643">
        <f t="shared" si="12"/>
        <v>0</v>
      </c>
      <c r="M133" s="1376"/>
      <c r="N133" s="1306">
        <v>0</v>
      </c>
      <c r="O133" s="1854">
        <v>0</v>
      </c>
      <c r="P133" s="1855">
        <v>0</v>
      </c>
      <c r="Q133" s="1292">
        <v>0</v>
      </c>
      <c r="R133" s="2346">
        <v>0.86</v>
      </c>
      <c r="S133" s="1849">
        <v>-0.86</v>
      </c>
      <c r="T133" s="1545">
        <v>0</v>
      </c>
      <c r="U133" s="1545"/>
      <c r="V133" s="1545"/>
      <c r="W133" s="1545"/>
      <c r="X133" s="1545"/>
      <c r="Y133" s="1852">
        <v>0</v>
      </c>
      <c r="Z133" s="1852">
        <v>0</v>
      </c>
      <c r="AA133" s="1286">
        <v>0</v>
      </c>
      <c r="AB133" s="1292">
        <v>0</v>
      </c>
      <c r="AC133" s="1281" t="s">
        <v>2472</v>
      </c>
      <c r="AD133" s="1281" t="s">
        <v>1329</v>
      </c>
      <c r="AE133" s="1290" t="s">
        <v>355</v>
      </c>
      <c r="AF133" s="1307" t="s">
        <v>1283</v>
      </c>
      <c r="AG133" s="1307" t="s">
        <v>1283</v>
      </c>
      <c r="AH133" s="979">
        <v>8</v>
      </c>
      <c r="AI133" s="1319"/>
      <c r="AJ133" s="2416">
        <v>0.86000000000001364</v>
      </c>
      <c r="AK133" s="516">
        <v>0</v>
      </c>
      <c r="AL133" s="1320">
        <v>0</v>
      </c>
      <c r="AM133" s="512">
        <v>0</v>
      </c>
      <c r="AN133" s="1171"/>
      <c r="AO133" s="1171"/>
      <c r="AP133" s="1321"/>
      <c r="AQ133" s="674" t="s">
        <v>1349</v>
      </c>
      <c r="AR133" s="1323">
        <v>5</v>
      </c>
      <c r="AS133" s="1323">
        <v>1</v>
      </c>
      <c r="AT133" s="674">
        <v>6</v>
      </c>
      <c r="AU133" s="1491"/>
      <c r="AV133" s="455"/>
      <c r="AW133" s="979" t="s">
        <v>1964</v>
      </c>
      <c r="AX133" s="979"/>
      <c r="AY133" s="979"/>
      <c r="AZ133" s="1281" t="s">
        <v>2472</v>
      </c>
      <c r="BA133" s="1281"/>
      <c r="BB133" s="1281" t="s">
        <v>2472</v>
      </c>
      <c r="BC133" s="979" t="s">
        <v>1209</v>
      </c>
      <c r="BD133" s="979" t="s">
        <v>1209</v>
      </c>
      <c r="BE133" s="2153" t="s">
        <v>1830</v>
      </c>
      <c r="BF133" s="767" t="s">
        <v>1209</v>
      </c>
      <c r="BG133" s="924" t="s">
        <v>1281</v>
      </c>
      <c r="BH133" s="403">
        <v>0</v>
      </c>
      <c r="BI133" s="403">
        <v>1</v>
      </c>
      <c r="BJ133" s="983"/>
      <c r="BK133" s="1325"/>
      <c r="BL133" s="704">
        <v>0</v>
      </c>
      <c r="BM133" s="1376">
        <v>499.14</v>
      </c>
      <c r="BN133" s="2401">
        <v>500</v>
      </c>
      <c r="BO133" s="2267">
        <v>500</v>
      </c>
      <c r="BP133" s="2315">
        <v>0.86000000000001364</v>
      </c>
      <c r="BQ133" s="1823">
        <v>0</v>
      </c>
      <c r="BR133" s="1286">
        <v>0.86000000000001364</v>
      </c>
      <c r="BS133" s="1376">
        <v>499.14</v>
      </c>
      <c r="BT133" s="54">
        <v>499.14</v>
      </c>
      <c r="BU133" s="1824"/>
      <c r="BV133" s="1538">
        <v>0</v>
      </c>
      <c r="BW133" s="1376">
        <v>0</v>
      </c>
      <c r="BX133" s="980">
        <v>0</v>
      </c>
      <c r="BY133" s="1895"/>
      <c r="BZ133" s="1847">
        <v>0</v>
      </c>
      <c r="CA133" s="1847">
        <v>0</v>
      </c>
      <c r="CB133" s="963">
        <v>0</v>
      </c>
      <c r="CC133" s="963"/>
      <c r="CD133" s="1070">
        <v>0</v>
      </c>
      <c r="CE133" s="704">
        <v>0</v>
      </c>
      <c r="CF133" s="985">
        <v>11</v>
      </c>
      <c r="CG133" s="1253">
        <v>0</v>
      </c>
      <c r="CH133" s="1253">
        <v>0</v>
      </c>
      <c r="CI133" s="1548">
        <v>0</v>
      </c>
      <c r="CJ133" s="1548">
        <v>500</v>
      </c>
    </row>
    <row r="134" spans="1:98" s="985" customFormat="1" ht="26.25" hidden="1" thickBot="1" x14ac:dyDescent="0.3">
      <c r="A134" s="1534" t="s">
        <v>1785</v>
      </c>
      <c r="B134" s="1856" t="s">
        <v>2326</v>
      </c>
      <c r="C134" s="979">
        <v>2019</v>
      </c>
      <c r="D134" s="979" t="s">
        <v>1265</v>
      </c>
      <c r="E134" s="979" t="s">
        <v>898</v>
      </c>
      <c r="F134" s="979" t="s">
        <v>899</v>
      </c>
      <c r="G134" s="1857" t="s">
        <v>900</v>
      </c>
      <c r="H134" s="980">
        <v>897.52200000000005</v>
      </c>
      <c r="I134" s="2533">
        <f t="shared" si="13"/>
        <v>0</v>
      </c>
      <c r="J134" s="2643">
        <f t="shared" si="10"/>
        <v>897.52200000000005</v>
      </c>
      <c r="K134" s="2643">
        <f t="shared" si="11"/>
        <v>897.52200000000005</v>
      </c>
      <c r="L134" s="2643">
        <f t="shared" si="12"/>
        <v>0</v>
      </c>
      <c r="M134" s="1376"/>
      <c r="N134" s="2364">
        <v>0</v>
      </c>
      <c r="O134" s="1672">
        <v>0</v>
      </c>
      <c r="P134" s="1657">
        <v>0</v>
      </c>
      <c r="Q134" s="1658">
        <v>0</v>
      </c>
      <c r="R134" s="2346">
        <v>1.448</v>
      </c>
      <c r="S134" s="1849">
        <v>-1.448</v>
      </c>
      <c r="T134" s="1545">
        <v>0</v>
      </c>
      <c r="U134" s="1545"/>
      <c r="V134" s="1545"/>
      <c r="W134" s="1545"/>
      <c r="X134" s="1545"/>
      <c r="Y134" s="1674">
        <v>0</v>
      </c>
      <c r="Z134" s="1674">
        <v>0</v>
      </c>
      <c r="AA134" s="1539">
        <v>0</v>
      </c>
      <c r="AB134" s="1658">
        <v>0</v>
      </c>
      <c r="AC134" s="979" t="s">
        <v>2472</v>
      </c>
      <c r="AD134" s="1318" t="s">
        <v>1329</v>
      </c>
      <c r="AE134" s="1858" t="s">
        <v>355</v>
      </c>
      <c r="AF134" s="1307" t="s">
        <v>1283</v>
      </c>
      <c r="AG134" s="1589" t="s">
        <v>1283</v>
      </c>
      <c r="AH134" s="1281">
        <v>6</v>
      </c>
      <c r="AI134" s="1319"/>
      <c r="AJ134" s="2416">
        <v>1.4479999999999791</v>
      </c>
      <c r="AK134" s="516">
        <v>0</v>
      </c>
      <c r="AL134" s="1320">
        <v>0</v>
      </c>
      <c r="AM134" s="512">
        <v>0</v>
      </c>
      <c r="AN134" s="1171"/>
      <c r="AO134" s="1171"/>
      <c r="AP134" s="1321"/>
      <c r="AQ134" s="674" t="s">
        <v>1349</v>
      </c>
      <c r="AR134" s="1323">
        <v>5</v>
      </c>
      <c r="AS134" s="1323">
        <v>1</v>
      </c>
      <c r="AT134" s="674">
        <v>6</v>
      </c>
      <c r="AU134" s="1491"/>
      <c r="AV134" s="455"/>
      <c r="AW134" s="979"/>
      <c r="AX134" s="979"/>
      <c r="AY134" s="979"/>
      <c r="AZ134" s="979" t="s">
        <v>2472</v>
      </c>
      <c r="BA134" s="979"/>
      <c r="BB134" s="979" t="s">
        <v>2472</v>
      </c>
      <c r="BC134" s="979" t="s">
        <v>2208</v>
      </c>
      <c r="BD134" s="1281" t="s">
        <v>1209</v>
      </c>
      <c r="BE134" s="1281" t="s">
        <v>1209</v>
      </c>
      <c r="BF134" s="767" t="s">
        <v>1209</v>
      </c>
      <c r="BG134" s="924" t="s">
        <v>1281</v>
      </c>
      <c r="BH134" s="403">
        <v>0</v>
      </c>
      <c r="BI134" s="403">
        <v>1</v>
      </c>
      <c r="BJ134" s="983"/>
      <c r="BK134" s="1325"/>
      <c r="BL134" s="1775">
        <v>0</v>
      </c>
      <c r="BM134" s="1376">
        <v>897.52200000000005</v>
      </c>
      <c r="BN134" s="2401">
        <v>898.97</v>
      </c>
      <c r="BO134" s="1775">
        <v>898.97</v>
      </c>
      <c r="BP134" s="2315">
        <v>1.4479999999999791</v>
      </c>
      <c r="BQ134" s="1538">
        <v>0</v>
      </c>
      <c r="BR134" s="980">
        <v>1.4479999999999791</v>
      </c>
      <c r="BS134" s="1376">
        <v>897.52200000000005</v>
      </c>
      <c r="BT134" s="54">
        <v>897.52200000000005</v>
      </c>
      <c r="BU134" s="1376"/>
      <c r="BV134" s="1538">
        <v>0</v>
      </c>
      <c r="BW134" s="1376">
        <v>0</v>
      </c>
      <c r="BX134" s="1952">
        <v>0</v>
      </c>
      <c r="BY134" s="2191"/>
      <c r="BZ134" s="1070">
        <v>0</v>
      </c>
      <c r="CA134" s="1070">
        <v>0</v>
      </c>
      <c r="CB134" s="1070">
        <v>0</v>
      </c>
      <c r="CC134" s="1070"/>
      <c r="CD134" s="1070">
        <v>0</v>
      </c>
      <c r="CE134" s="704">
        <v>0</v>
      </c>
      <c r="CG134" s="1253">
        <v>0</v>
      </c>
      <c r="CH134" s="1253">
        <v>0</v>
      </c>
      <c r="CI134" s="1548">
        <v>0</v>
      </c>
      <c r="CJ134" s="1548">
        <v>898.97</v>
      </c>
    </row>
    <row r="135" spans="1:98" s="921" customFormat="1" ht="39" hidden="1" thickBot="1" x14ac:dyDescent="0.3">
      <c r="A135" s="173" t="s">
        <v>1789</v>
      </c>
      <c r="B135" s="173" t="s">
        <v>1230</v>
      </c>
      <c r="C135" s="75">
        <v>2019</v>
      </c>
      <c r="D135" s="75" t="s">
        <v>1265</v>
      </c>
      <c r="E135" s="75" t="s">
        <v>904</v>
      </c>
      <c r="F135" s="75" t="s">
        <v>904</v>
      </c>
      <c r="G135" s="221" t="s">
        <v>905</v>
      </c>
      <c r="H135" s="1425">
        <v>0</v>
      </c>
      <c r="I135" s="181">
        <v>0</v>
      </c>
      <c r="J135" s="838"/>
      <c r="K135" s="822">
        <v>0</v>
      </c>
      <c r="L135" s="2772">
        <v>0</v>
      </c>
      <c r="M135" s="2781"/>
      <c r="N135" s="799">
        <v>0</v>
      </c>
      <c r="O135" s="483">
        <v>0</v>
      </c>
      <c r="P135" s="437">
        <v>0</v>
      </c>
      <c r="Q135" s="131">
        <v>0</v>
      </c>
      <c r="R135" s="2618">
        <v>0</v>
      </c>
      <c r="S135" s="1452">
        <v>0</v>
      </c>
      <c r="T135" s="2618">
        <f>R135+S135</f>
        <v>0</v>
      </c>
      <c r="U135" s="2618"/>
      <c r="V135" s="2618"/>
      <c r="W135" s="2618"/>
      <c r="X135" s="2618"/>
      <c r="Y135" s="533">
        <v>0</v>
      </c>
      <c r="Z135" s="533">
        <v>0</v>
      </c>
      <c r="AA135" s="27">
        <v>0</v>
      </c>
      <c r="AB135" s="131">
        <v>0</v>
      </c>
      <c r="AC135" s="75" t="s">
        <v>2656</v>
      </c>
      <c r="AD135" s="75" t="s">
        <v>1300</v>
      </c>
      <c r="AE135" s="379" t="s">
        <v>1551</v>
      </c>
      <c r="AF135" s="74" t="s">
        <v>1282</v>
      </c>
      <c r="AG135" s="74" t="s">
        <v>1282</v>
      </c>
      <c r="AH135" s="414">
        <v>10</v>
      </c>
      <c r="AI135" s="2760"/>
      <c r="AJ135" s="363"/>
      <c r="AK135" s="516">
        <f>H135-I135-T135-Y135-Z135-AA135-AB135</f>
        <v>0</v>
      </c>
      <c r="AL135" s="391">
        <f>T135-R135-S135</f>
        <v>0</v>
      </c>
      <c r="AM135" s="509">
        <f>T135-N135-O135-P135-Q135</f>
        <v>0</v>
      </c>
      <c r="AN135" s="1140"/>
      <c r="AO135" s="1140"/>
      <c r="AP135" s="338"/>
      <c r="AQ135" s="923" t="s">
        <v>1349</v>
      </c>
      <c r="AR135" s="356">
        <v>5</v>
      </c>
      <c r="AS135" s="356">
        <v>1</v>
      </c>
      <c r="AT135" s="2755">
        <v>7</v>
      </c>
      <c r="AU135" s="426"/>
      <c r="AV135" s="148"/>
      <c r="AW135" s="8"/>
      <c r="AX135" s="8"/>
      <c r="AY135" s="75" t="s">
        <v>2656</v>
      </c>
      <c r="AZ135" s="8" t="s">
        <v>1209</v>
      </c>
      <c r="BA135" s="8"/>
      <c r="BB135" s="8" t="s">
        <v>1209</v>
      </c>
      <c r="BC135" s="8" t="s">
        <v>1209</v>
      </c>
      <c r="BD135" s="358" t="s">
        <v>1209</v>
      </c>
      <c r="BE135" s="358" t="s">
        <v>1209</v>
      </c>
      <c r="BF135" s="766" t="s">
        <v>1209</v>
      </c>
      <c r="BG135" s="57" t="s">
        <v>1281</v>
      </c>
      <c r="BH135" s="390">
        <v>0</v>
      </c>
      <c r="BI135" s="390">
        <v>1</v>
      </c>
      <c r="BJ135" s="460"/>
      <c r="BK135" s="353"/>
      <c r="BL135" s="71">
        <v>0</v>
      </c>
      <c r="BM135" s="264">
        <v>0</v>
      </c>
      <c r="BN135" s="264"/>
      <c r="BO135" s="2265">
        <v>0</v>
      </c>
      <c r="BP135" s="2313">
        <v>0</v>
      </c>
      <c r="BQ135" s="1443">
        <v>0</v>
      </c>
      <c r="BR135" s="22">
        <v>0</v>
      </c>
      <c r="BS135" s="264">
        <v>0</v>
      </c>
      <c r="BT135" s="54">
        <f>BQ135+BS135</f>
        <v>0</v>
      </c>
      <c r="BU135" s="33"/>
      <c r="BV135" s="1443">
        <v>0</v>
      </c>
      <c r="BW135" s="264">
        <v>0</v>
      </c>
      <c r="BX135" s="20">
        <v>0</v>
      </c>
      <c r="BY135" s="834"/>
      <c r="BZ135" s="697">
        <v>0</v>
      </c>
      <c r="CA135" s="697">
        <v>0</v>
      </c>
      <c r="CB135" s="697">
        <v>0</v>
      </c>
      <c r="CC135" s="697"/>
      <c r="CD135" s="697">
        <v>0</v>
      </c>
      <c r="CE135" s="411">
        <v>0</v>
      </c>
      <c r="CG135" s="253">
        <v>0</v>
      </c>
      <c r="CH135" s="253">
        <v>0</v>
      </c>
      <c r="CI135" s="266">
        <v>0</v>
      </c>
      <c r="CJ135" s="266">
        <v>0</v>
      </c>
      <c r="CK135" s="1552">
        <v>0</v>
      </c>
      <c r="CL135" s="1552">
        <v>0</v>
      </c>
      <c r="CM135" s="1209">
        <v>0</v>
      </c>
      <c r="CN135" s="1209"/>
      <c r="CO135" s="2765"/>
    </row>
    <row r="136" spans="1:98" s="1013" customFormat="1" ht="39" hidden="1" thickBot="1" x14ac:dyDescent="0.3">
      <c r="A136" s="173" t="s">
        <v>1790</v>
      </c>
      <c r="B136" s="173" t="s">
        <v>1230</v>
      </c>
      <c r="C136" s="75">
        <v>2019</v>
      </c>
      <c r="D136" s="75" t="s">
        <v>1265</v>
      </c>
      <c r="E136" s="75" t="s">
        <v>906</v>
      </c>
      <c r="F136" s="75" t="s">
        <v>906</v>
      </c>
      <c r="G136" s="221" t="s">
        <v>907</v>
      </c>
      <c r="H136" s="1425">
        <v>0</v>
      </c>
      <c r="I136" s="181">
        <v>0</v>
      </c>
      <c r="J136" s="42">
        <v>0</v>
      </c>
      <c r="K136" s="3105"/>
      <c r="L136" s="3105"/>
      <c r="M136" s="3105"/>
      <c r="N136" s="799">
        <v>0</v>
      </c>
      <c r="O136" s="483">
        <v>0</v>
      </c>
      <c r="P136" s="437">
        <v>0</v>
      </c>
      <c r="Q136" s="483">
        <v>0</v>
      </c>
      <c r="R136" s="2618">
        <v>0</v>
      </c>
      <c r="S136" s="1452">
        <v>0</v>
      </c>
      <c r="T136" s="2732">
        <f>R136+S136</f>
        <v>0</v>
      </c>
      <c r="U136" s="542">
        <v>0</v>
      </c>
      <c r="V136" s="375">
        <v>0</v>
      </c>
      <c r="W136" s="375">
        <v>0</v>
      </c>
      <c r="X136" s="26">
        <v>0</v>
      </c>
      <c r="Y136" s="536">
        <v>0</v>
      </c>
      <c r="Z136" s="533">
        <v>0</v>
      </c>
      <c r="AA136" s="27">
        <v>0</v>
      </c>
      <c r="AB136" s="483">
        <v>0</v>
      </c>
      <c r="AC136" s="75" t="s">
        <v>2692</v>
      </c>
      <c r="AD136" s="75" t="s">
        <v>1300</v>
      </c>
      <c r="AE136" s="379" t="s">
        <v>1551</v>
      </c>
      <c r="AF136" s="379" t="s">
        <v>1282</v>
      </c>
      <c r="AG136" s="74" t="s">
        <v>1282</v>
      </c>
      <c r="AH136" s="414">
        <v>10</v>
      </c>
      <c r="AI136" s="722"/>
      <c r="AJ136" s="1035"/>
      <c r="AK136" s="1011">
        <f>H136-I136-T136-Y136-Z136-AA136-AB136</f>
        <v>0</v>
      </c>
      <c r="AL136" s="1084">
        <f>T136-R136-S136</f>
        <v>0</v>
      </c>
      <c r="AM136" s="2991">
        <f>T136-N136-O136-P136-Q136</f>
        <v>0</v>
      </c>
      <c r="AN136" s="513">
        <f>Y136-U136-V136-W136-X136</f>
        <v>0</v>
      </c>
      <c r="AO136" s="2992"/>
      <c r="AP136" s="496"/>
      <c r="AQ136" s="662" t="s">
        <v>1349</v>
      </c>
      <c r="AR136" s="1051">
        <v>5</v>
      </c>
      <c r="AS136" s="1051">
        <v>1</v>
      </c>
      <c r="AT136" s="3170">
        <v>8</v>
      </c>
      <c r="AU136" s="1071"/>
      <c r="AV136" s="435"/>
      <c r="AW136" s="75"/>
      <c r="AX136" s="143" t="s">
        <v>2692</v>
      </c>
      <c r="AY136" s="75" t="s">
        <v>1209</v>
      </c>
      <c r="AZ136" s="75" t="s">
        <v>1209</v>
      </c>
      <c r="BA136" s="75" t="s">
        <v>1209</v>
      </c>
      <c r="BB136" s="75" t="s">
        <v>1209</v>
      </c>
      <c r="BC136" s="414" t="s">
        <v>1209</v>
      </c>
      <c r="BD136" s="414" t="s">
        <v>1209</v>
      </c>
      <c r="BE136" s="768" t="s">
        <v>1209</v>
      </c>
      <c r="BF136" s="143" t="s">
        <v>1281</v>
      </c>
      <c r="BG136" s="755">
        <v>0</v>
      </c>
      <c r="BH136" s="755">
        <v>1</v>
      </c>
      <c r="BI136" s="497"/>
      <c r="BJ136" s="1048"/>
      <c r="BK136" s="181">
        <v>0</v>
      </c>
      <c r="BL136" s="866">
        <v>0</v>
      </c>
      <c r="BM136" s="866"/>
      <c r="BN136" s="2263">
        <v>0</v>
      </c>
      <c r="BO136" s="2314">
        <v>0</v>
      </c>
      <c r="BP136" s="1482">
        <v>0</v>
      </c>
      <c r="BQ136" s="27">
        <v>0</v>
      </c>
      <c r="BR136" s="866">
        <v>0</v>
      </c>
      <c r="BS136" s="1714">
        <f>BP136+BR136</f>
        <v>0</v>
      </c>
      <c r="BT136" s="44"/>
      <c r="BU136" s="1482">
        <v>0</v>
      </c>
      <c r="BV136" s="866">
        <v>0</v>
      </c>
      <c r="BW136" s="25">
        <v>0</v>
      </c>
      <c r="BX136" s="1374"/>
      <c r="BY136" s="695">
        <v>0</v>
      </c>
      <c r="BZ136" s="695">
        <v>0</v>
      </c>
      <c r="CA136" s="695">
        <v>0</v>
      </c>
      <c r="CB136" s="695"/>
      <c r="CC136" s="695">
        <v>0</v>
      </c>
      <c r="CD136" s="419">
        <v>0</v>
      </c>
      <c r="CF136" s="374">
        <v>0</v>
      </c>
      <c r="CG136" s="374">
        <v>0</v>
      </c>
      <c r="CH136" s="1037">
        <v>0</v>
      </c>
      <c r="CI136" s="1037">
        <v>0</v>
      </c>
      <c r="CJ136" s="1552">
        <v>0</v>
      </c>
      <c r="CK136" s="1552">
        <v>0</v>
      </c>
      <c r="CL136" s="2980">
        <v>0</v>
      </c>
      <c r="CM136" s="823">
        <v>0</v>
      </c>
      <c r="CN136" s="2954">
        <v>0</v>
      </c>
      <c r="CO136" s="2954">
        <v>0</v>
      </c>
      <c r="CP136" s="2954">
        <v>0</v>
      </c>
      <c r="CQ136" s="823">
        <v>0</v>
      </c>
      <c r="CR136" s="3105"/>
      <c r="CS136" s="2980"/>
      <c r="CT136" s="2765"/>
    </row>
    <row r="137" spans="1:98" s="1013" customFormat="1" ht="26.25" hidden="1" thickBot="1" x14ac:dyDescent="0.3">
      <c r="A137" s="1821" t="s">
        <v>1836</v>
      </c>
      <c r="B137" s="422" t="s">
        <v>2123</v>
      </c>
      <c r="C137" s="937">
        <v>2019</v>
      </c>
      <c r="D137" s="1859" t="s">
        <v>2578</v>
      </c>
      <c r="E137" s="414" t="s">
        <v>1837</v>
      </c>
      <c r="F137" s="425" t="s">
        <v>1837</v>
      </c>
      <c r="G137" s="694" t="s">
        <v>1838</v>
      </c>
      <c r="H137" s="693">
        <v>500</v>
      </c>
      <c r="I137" s="2533">
        <f t="shared" si="13"/>
        <v>200</v>
      </c>
      <c r="J137" s="2643">
        <f t="shared" si="10"/>
        <v>300</v>
      </c>
      <c r="K137" s="2643">
        <f t="shared" si="11"/>
        <v>500</v>
      </c>
      <c r="L137" s="2643">
        <f t="shared" si="12"/>
        <v>0</v>
      </c>
      <c r="M137" s="1438"/>
      <c r="N137" s="2366">
        <v>0</v>
      </c>
      <c r="O137" s="1861">
        <v>0</v>
      </c>
      <c r="P137" s="1862">
        <v>0</v>
      </c>
      <c r="Q137" s="1863">
        <v>0</v>
      </c>
      <c r="R137" s="2347">
        <v>0</v>
      </c>
      <c r="S137" s="1845">
        <v>0</v>
      </c>
      <c r="T137" s="1463">
        <v>0</v>
      </c>
      <c r="U137" s="1463"/>
      <c r="V137" s="1463"/>
      <c r="W137" s="1463"/>
      <c r="X137" s="1463"/>
      <c r="Y137" s="693">
        <v>0</v>
      </c>
      <c r="Z137" s="696">
        <v>0</v>
      </c>
      <c r="AA137" s="420">
        <v>0</v>
      </c>
      <c r="AB137" s="677">
        <v>200</v>
      </c>
      <c r="AC137" s="143" t="s">
        <v>1209</v>
      </c>
      <c r="AD137" s="1859" t="s">
        <v>1329</v>
      </c>
      <c r="AE137" s="494" t="s">
        <v>355</v>
      </c>
      <c r="AF137" s="422" t="s">
        <v>1283</v>
      </c>
      <c r="AG137" s="422" t="s">
        <v>1283</v>
      </c>
      <c r="AH137" s="75">
        <v>4</v>
      </c>
      <c r="AI137" s="1920"/>
      <c r="AJ137" s="2416">
        <v>0</v>
      </c>
      <c r="AK137" s="516">
        <v>0</v>
      </c>
      <c r="AL137" s="452">
        <v>0</v>
      </c>
      <c r="AM137" s="513">
        <v>0</v>
      </c>
      <c r="AN137" s="1142"/>
      <c r="AO137" s="1142"/>
      <c r="AP137" s="1050"/>
      <c r="AQ137" s="662" t="s">
        <v>1349</v>
      </c>
      <c r="AR137" s="1051">
        <v>5</v>
      </c>
      <c r="AS137" s="1051">
        <v>4</v>
      </c>
      <c r="AT137" s="662">
        <v>6</v>
      </c>
      <c r="AU137" s="1493"/>
      <c r="AV137" s="435"/>
      <c r="AW137" s="78"/>
      <c r="AX137" s="166"/>
      <c r="AY137" s="166"/>
      <c r="AZ137" s="143" t="s">
        <v>1209</v>
      </c>
      <c r="BA137" s="143"/>
      <c r="BB137" s="143" t="s">
        <v>1209</v>
      </c>
      <c r="BC137" s="143" t="s">
        <v>1864</v>
      </c>
      <c r="BD137" s="143" t="s">
        <v>1864</v>
      </c>
      <c r="BE137" s="1962" t="s">
        <v>1864</v>
      </c>
      <c r="BF137" s="769"/>
      <c r="BG137" s="1921"/>
      <c r="BH137" s="755"/>
      <c r="BI137" s="755"/>
      <c r="BJ137" s="497"/>
      <c r="BK137" s="1048"/>
      <c r="BL137" s="420">
        <v>0</v>
      </c>
      <c r="BM137" s="866">
        <v>300</v>
      </c>
      <c r="BN137" s="2402">
        <v>300</v>
      </c>
      <c r="BO137" s="2274">
        <v>300</v>
      </c>
      <c r="BP137" s="2314">
        <v>0</v>
      </c>
      <c r="BQ137" s="1860">
        <v>0</v>
      </c>
      <c r="BR137" s="420">
        <v>300</v>
      </c>
      <c r="BS137" s="866">
        <v>300</v>
      </c>
      <c r="BT137" s="54">
        <v>300</v>
      </c>
      <c r="BU137" s="1515"/>
      <c r="BV137" s="1482">
        <v>0</v>
      </c>
      <c r="BW137" s="866">
        <v>0</v>
      </c>
      <c r="BX137" s="25">
        <v>0</v>
      </c>
      <c r="BY137" s="1374"/>
      <c r="BZ137" s="837">
        <v>0</v>
      </c>
      <c r="CA137" s="837">
        <v>0</v>
      </c>
      <c r="CB137" s="1963">
        <v>0</v>
      </c>
      <c r="CC137" s="1922"/>
      <c r="CD137" s="1923"/>
      <c r="CE137" s="1923"/>
      <c r="CF137" s="1013">
        <v>11</v>
      </c>
      <c r="CG137" s="374">
        <v>0</v>
      </c>
      <c r="CH137" s="374">
        <v>0</v>
      </c>
      <c r="CI137" s="1037">
        <v>0</v>
      </c>
      <c r="CJ137" s="1037">
        <v>300</v>
      </c>
    </row>
    <row r="138" spans="1:98" s="985" customFormat="1" ht="26.25" hidden="1" thickBot="1" x14ac:dyDescent="0.3">
      <c r="A138" s="1788" t="s">
        <v>1839</v>
      </c>
      <c r="B138" s="1788" t="s">
        <v>2124</v>
      </c>
      <c r="C138" s="1523">
        <v>2019</v>
      </c>
      <c r="D138" s="1523" t="s">
        <v>2578</v>
      </c>
      <c r="E138" s="1523" t="s">
        <v>331</v>
      </c>
      <c r="F138" s="570" t="s">
        <v>331</v>
      </c>
      <c r="G138" s="1864" t="s">
        <v>1840</v>
      </c>
      <c r="H138" s="1865">
        <v>466.56599999999997</v>
      </c>
      <c r="I138" s="2533">
        <f t="shared" si="13"/>
        <v>0</v>
      </c>
      <c r="J138" s="2643">
        <f t="shared" si="10"/>
        <v>466.56599999999997</v>
      </c>
      <c r="K138" s="2643">
        <f t="shared" si="11"/>
        <v>466.56599999999997</v>
      </c>
      <c r="L138" s="2643">
        <f t="shared" si="12"/>
        <v>0</v>
      </c>
      <c r="M138" s="1759"/>
      <c r="N138" s="2367">
        <v>0</v>
      </c>
      <c r="O138" s="1656">
        <v>0</v>
      </c>
      <c r="P138" s="1706">
        <v>0</v>
      </c>
      <c r="Q138" s="1660">
        <v>0</v>
      </c>
      <c r="R138" s="2346">
        <v>13.433999999999999</v>
      </c>
      <c r="S138" s="2287">
        <v>-13.433999999999999</v>
      </c>
      <c r="T138" s="1545">
        <v>0</v>
      </c>
      <c r="U138" s="1545"/>
      <c r="V138" s="1545"/>
      <c r="W138" s="1545"/>
      <c r="X138" s="1545"/>
      <c r="Y138" s="1750">
        <v>0</v>
      </c>
      <c r="Z138" s="1868">
        <v>0</v>
      </c>
      <c r="AA138" s="1619">
        <v>0</v>
      </c>
      <c r="AB138" s="1660">
        <v>0</v>
      </c>
      <c r="AC138" s="570" t="s">
        <v>2473</v>
      </c>
      <c r="AD138" s="1869" t="s">
        <v>1329</v>
      </c>
      <c r="AE138" s="1811" t="s">
        <v>355</v>
      </c>
      <c r="AF138" s="2275" t="s">
        <v>1283</v>
      </c>
      <c r="AG138" s="2275" t="s">
        <v>1283</v>
      </c>
      <c r="AH138" s="1523">
        <v>11</v>
      </c>
      <c r="AI138" s="2192"/>
      <c r="AJ138" s="2416">
        <v>13.434000000000026</v>
      </c>
      <c r="AK138" s="516">
        <v>0</v>
      </c>
      <c r="AL138" s="1320">
        <v>0</v>
      </c>
      <c r="AM138" s="512">
        <v>0</v>
      </c>
      <c r="AN138" s="1171"/>
      <c r="AO138" s="1171"/>
      <c r="AP138" s="1321"/>
      <c r="AQ138" s="674" t="s">
        <v>1349</v>
      </c>
      <c r="AR138" s="1323">
        <v>5</v>
      </c>
      <c r="AS138" s="1323">
        <v>4</v>
      </c>
      <c r="AT138" s="674">
        <v>6</v>
      </c>
      <c r="AU138" s="1491"/>
      <c r="AV138" s="455"/>
      <c r="AW138" s="1352"/>
      <c r="AX138" s="2193"/>
      <c r="AY138" s="2193"/>
      <c r="AZ138" s="570" t="s">
        <v>2473</v>
      </c>
      <c r="BA138" s="570"/>
      <c r="BB138" s="570" t="s">
        <v>2473</v>
      </c>
      <c r="BC138" s="570" t="s">
        <v>1209</v>
      </c>
      <c r="BD138" s="570" t="s">
        <v>1209</v>
      </c>
      <c r="BE138" s="2194" t="s">
        <v>1209</v>
      </c>
      <c r="BF138" s="2195"/>
      <c r="BG138" s="2061"/>
      <c r="BH138" s="403"/>
      <c r="BI138" s="403"/>
      <c r="BJ138" s="983"/>
      <c r="BK138" s="1325"/>
      <c r="BL138" s="1796">
        <v>0</v>
      </c>
      <c r="BM138" s="1759">
        <v>466.56599999999997</v>
      </c>
      <c r="BN138" s="2401">
        <v>480</v>
      </c>
      <c r="BO138" s="1775">
        <v>480</v>
      </c>
      <c r="BP138" s="2315">
        <v>13.434000000000026</v>
      </c>
      <c r="BQ138" s="1705">
        <v>0</v>
      </c>
      <c r="BR138" s="1619">
        <v>466.56599999999997</v>
      </c>
      <c r="BS138" s="1759">
        <v>466.56599999999997</v>
      </c>
      <c r="BT138" s="54">
        <v>466.56599999999997</v>
      </c>
      <c r="BU138" s="1758"/>
      <c r="BV138" s="1705">
        <v>0</v>
      </c>
      <c r="BW138" s="1759">
        <v>0</v>
      </c>
      <c r="BX138" s="980">
        <v>0</v>
      </c>
      <c r="BY138" s="1889"/>
      <c r="BZ138" s="1866">
        <v>0</v>
      </c>
      <c r="CA138" s="1866">
        <v>0</v>
      </c>
      <c r="CB138" s="2196">
        <v>0</v>
      </c>
      <c r="CC138" s="2197"/>
      <c r="CD138" s="2198"/>
      <c r="CE138" s="2198"/>
      <c r="CF138" s="985">
        <v>11</v>
      </c>
      <c r="CG138" s="2075">
        <v>0</v>
      </c>
      <c r="CH138" s="2075">
        <v>0</v>
      </c>
      <c r="CI138" s="2189">
        <v>0</v>
      </c>
      <c r="CJ138" s="2189">
        <v>480</v>
      </c>
    </row>
    <row r="139" spans="1:98" s="985" customFormat="1" ht="26.25" hidden="1" thickBot="1" x14ac:dyDescent="0.3">
      <c r="A139" s="1788" t="s">
        <v>1910</v>
      </c>
      <c r="B139" s="1788" t="s">
        <v>2125</v>
      </c>
      <c r="C139" s="1523">
        <v>2019</v>
      </c>
      <c r="D139" s="1523" t="s">
        <v>2578</v>
      </c>
      <c r="E139" s="1523" t="s">
        <v>1367</v>
      </c>
      <c r="F139" s="570" t="s">
        <v>1367</v>
      </c>
      <c r="G139" s="1864" t="s">
        <v>1841</v>
      </c>
      <c r="H139" s="1865">
        <v>299.36401000000001</v>
      </c>
      <c r="I139" s="2533">
        <f t="shared" si="13"/>
        <v>0</v>
      </c>
      <c r="J139" s="2643">
        <f t="shared" si="10"/>
        <v>299.36401000000001</v>
      </c>
      <c r="K139" s="2643">
        <f t="shared" si="11"/>
        <v>299.36401000000001</v>
      </c>
      <c r="L139" s="2643">
        <f t="shared" si="12"/>
        <v>0</v>
      </c>
      <c r="M139" s="1759"/>
      <c r="N139" s="2367">
        <v>0</v>
      </c>
      <c r="O139" s="1656">
        <v>0</v>
      </c>
      <c r="P139" s="1706">
        <v>0</v>
      </c>
      <c r="Q139" s="1660">
        <v>0</v>
      </c>
      <c r="R139" s="2346">
        <v>0.63599000000000006</v>
      </c>
      <c r="S139" s="2287">
        <v>-0.63599000000000006</v>
      </c>
      <c r="T139" s="1545">
        <v>0</v>
      </c>
      <c r="U139" s="1545"/>
      <c r="V139" s="1545"/>
      <c r="W139" s="1545"/>
      <c r="X139" s="1545"/>
      <c r="Y139" s="1750">
        <v>0</v>
      </c>
      <c r="Z139" s="1868">
        <v>0</v>
      </c>
      <c r="AA139" s="1619">
        <v>0</v>
      </c>
      <c r="AB139" s="1660">
        <v>0</v>
      </c>
      <c r="AC139" s="570" t="s">
        <v>2474</v>
      </c>
      <c r="AD139" s="1869" t="s">
        <v>1329</v>
      </c>
      <c r="AE139" s="1811" t="s">
        <v>355</v>
      </c>
      <c r="AF139" s="2275" t="s">
        <v>1283</v>
      </c>
      <c r="AG139" s="2275" t="s">
        <v>1283</v>
      </c>
      <c r="AH139" s="1523">
        <v>11</v>
      </c>
      <c r="AI139" s="2192"/>
      <c r="AJ139" s="2416">
        <v>0.63598999999999251</v>
      </c>
      <c r="AK139" s="516">
        <v>0</v>
      </c>
      <c r="AL139" s="1320">
        <v>0</v>
      </c>
      <c r="AM139" s="512">
        <v>0</v>
      </c>
      <c r="AN139" s="1171"/>
      <c r="AO139" s="1171"/>
      <c r="AP139" s="1321"/>
      <c r="AQ139" s="674" t="s">
        <v>1349</v>
      </c>
      <c r="AR139" s="1323">
        <v>5</v>
      </c>
      <c r="AS139" s="1323">
        <v>4</v>
      </c>
      <c r="AT139" s="674">
        <v>6</v>
      </c>
      <c r="AU139" s="1491"/>
      <c r="AV139" s="455"/>
      <c r="AW139" s="1352"/>
      <c r="AX139" s="2193"/>
      <c r="AY139" s="2193"/>
      <c r="AZ139" s="570" t="s">
        <v>2474</v>
      </c>
      <c r="BA139" s="570"/>
      <c r="BB139" s="570" t="s">
        <v>2474</v>
      </c>
      <c r="BC139" s="570" t="s">
        <v>1209</v>
      </c>
      <c r="BD139" s="570" t="s">
        <v>1209</v>
      </c>
      <c r="BE139" s="2194" t="s">
        <v>1209</v>
      </c>
      <c r="BF139" s="2195"/>
      <c r="BG139" s="2061"/>
      <c r="BH139" s="403"/>
      <c r="BI139" s="403"/>
      <c r="BJ139" s="983"/>
      <c r="BK139" s="1325"/>
      <c r="BL139" s="1796">
        <v>0</v>
      </c>
      <c r="BM139" s="1759">
        <v>299.36401000000001</v>
      </c>
      <c r="BN139" s="2401">
        <v>300</v>
      </c>
      <c r="BO139" s="2267">
        <v>300</v>
      </c>
      <c r="BP139" s="2315">
        <v>0.63598999999999251</v>
      </c>
      <c r="BQ139" s="1705">
        <v>0</v>
      </c>
      <c r="BR139" s="1619">
        <v>299.36401000000001</v>
      </c>
      <c r="BS139" s="1759">
        <v>299.36401000000001</v>
      </c>
      <c r="BT139" s="54">
        <v>299.36401000000001</v>
      </c>
      <c r="BU139" s="1758"/>
      <c r="BV139" s="1705">
        <v>0</v>
      </c>
      <c r="BW139" s="1759">
        <v>0</v>
      </c>
      <c r="BX139" s="980">
        <v>0</v>
      </c>
      <c r="BY139" s="1889"/>
      <c r="BZ139" s="1866">
        <v>0</v>
      </c>
      <c r="CA139" s="1866">
        <v>0</v>
      </c>
      <c r="CB139" s="2196">
        <v>0</v>
      </c>
      <c r="CC139" s="2197"/>
      <c r="CD139" s="2198"/>
      <c r="CE139" s="2198"/>
      <c r="CF139" s="985">
        <v>11</v>
      </c>
      <c r="CG139" s="2075">
        <v>0</v>
      </c>
      <c r="CH139" s="2075">
        <v>0</v>
      </c>
      <c r="CI139" s="2189">
        <v>0</v>
      </c>
      <c r="CJ139" s="2189">
        <v>300</v>
      </c>
    </row>
    <row r="140" spans="1:98" s="2080" customFormat="1" ht="26.25" hidden="1" thickBot="1" x14ac:dyDescent="0.3">
      <c r="A140" s="1871" t="s">
        <v>1911</v>
      </c>
      <c r="B140" s="1871" t="s">
        <v>2330</v>
      </c>
      <c r="C140" s="1872">
        <v>2019</v>
      </c>
      <c r="D140" s="1872" t="s">
        <v>2578</v>
      </c>
      <c r="E140" s="1872" t="s">
        <v>331</v>
      </c>
      <c r="F140" s="762" t="s">
        <v>331</v>
      </c>
      <c r="G140" s="1873" t="s">
        <v>2475</v>
      </c>
      <c r="H140" s="1874">
        <v>489.66</v>
      </c>
      <c r="I140" s="2533">
        <f t="shared" si="13"/>
        <v>0</v>
      </c>
      <c r="J140" s="2643">
        <f t="shared" si="10"/>
        <v>489.66</v>
      </c>
      <c r="K140" s="2643">
        <f t="shared" si="11"/>
        <v>489.66</v>
      </c>
      <c r="L140" s="2643">
        <f t="shared" si="12"/>
        <v>0</v>
      </c>
      <c r="M140" s="1878"/>
      <c r="N140" s="2368">
        <v>0</v>
      </c>
      <c r="O140" s="1880">
        <v>0</v>
      </c>
      <c r="P140" s="1881">
        <v>0</v>
      </c>
      <c r="Q140" s="1882">
        <v>0</v>
      </c>
      <c r="R140" s="2422">
        <v>50.34</v>
      </c>
      <c r="S140" s="2286">
        <v>-50.34</v>
      </c>
      <c r="T140" s="1883">
        <v>0</v>
      </c>
      <c r="U140" s="2632"/>
      <c r="V140" s="2632"/>
      <c r="W140" s="2632"/>
      <c r="X140" s="2632"/>
      <c r="Y140" s="1884">
        <v>0</v>
      </c>
      <c r="Z140" s="1885">
        <v>0</v>
      </c>
      <c r="AA140" s="1876">
        <v>0</v>
      </c>
      <c r="AB140" s="1882">
        <v>0</v>
      </c>
      <c r="AC140" s="1886" t="s">
        <v>2476</v>
      </c>
      <c r="AD140" s="1872" t="s">
        <v>1329</v>
      </c>
      <c r="AE140" s="2330" t="s">
        <v>355</v>
      </c>
      <c r="AF140" s="2384" t="s">
        <v>1283</v>
      </c>
      <c r="AG140" s="2384" t="s">
        <v>1283</v>
      </c>
      <c r="AH140" s="1872">
        <v>11</v>
      </c>
      <c r="AI140" s="2199"/>
      <c r="AJ140" s="2416">
        <v>50.339999999999975</v>
      </c>
      <c r="AK140" s="516">
        <v>0</v>
      </c>
      <c r="AL140" s="1503">
        <v>0</v>
      </c>
      <c r="AM140" s="1504">
        <v>0</v>
      </c>
      <c r="AN140" s="2200"/>
      <c r="AO140" s="2200"/>
      <c r="AP140" s="2201"/>
      <c r="AQ140" s="1342" t="s">
        <v>1349</v>
      </c>
      <c r="AR140" s="2202">
        <v>5</v>
      </c>
      <c r="AS140" s="2202">
        <v>4</v>
      </c>
      <c r="AT140" s="2385">
        <v>6</v>
      </c>
      <c r="AU140" s="2097"/>
      <c r="AV140" s="1311"/>
      <c r="AW140" s="1352"/>
      <c r="AX140" s="2193"/>
      <c r="AY140" s="2193"/>
      <c r="AZ140" s="1886" t="s">
        <v>2476</v>
      </c>
      <c r="BA140" s="1886"/>
      <c r="BB140" s="1886" t="s">
        <v>2476</v>
      </c>
      <c r="BC140" s="762" t="s">
        <v>2141</v>
      </c>
      <c r="BD140" s="2203" t="s">
        <v>2141</v>
      </c>
      <c r="BE140" s="570"/>
      <c r="BF140" s="2204"/>
      <c r="BG140" s="2193"/>
      <c r="BH140" s="403"/>
      <c r="BI140" s="403"/>
      <c r="BJ140" s="1078"/>
      <c r="BK140" s="1903"/>
      <c r="BL140" s="2323">
        <v>0</v>
      </c>
      <c r="BM140" s="1878">
        <v>489.66</v>
      </c>
      <c r="BN140" s="2403">
        <v>540</v>
      </c>
      <c r="BO140" s="2276">
        <v>540</v>
      </c>
      <c r="BP140" s="2315">
        <v>50.339999999999975</v>
      </c>
      <c r="BQ140" s="1875">
        <v>0</v>
      </c>
      <c r="BR140" s="1876">
        <v>489.66</v>
      </c>
      <c r="BS140" s="1878">
        <v>489.66</v>
      </c>
      <c r="BT140" s="54">
        <v>489.66</v>
      </c>
      <c r="BU140" s="1877"/>
      <c r="BV140" s="1875">
        <v>0</v>
      </c>
      <c r="BW140" s="1878">
        <v>0</v>
      </c>
      <c r="BX140" s="1984">
        <v>0</v>
      </c>
      <c r="BY140" s="2205"/>
      <c r="BZ140" s="1866">
        <v>0</v>
      </c>
      <c r="CA140" s="1866">
        <v>0</v>
      </c>
      <c r="CB140" s="1866">
        <v>0</v>
      </c>
      <c r="CC140" s="2206"/>
      <c r="CD140" s="2206"/>
      <c r="CE140" s="2206"/>
      <c r="CF140" s="2207"/>
      <c r="CG140" s="2102">
        <v>0</v>
      </c>
      <c r="CH140" s="2102">
        <v>0</v>
      </c>
      <c r="CI140" s="2103">
        <v>0</v>
      </c>
      <c r="CJ140" s="2103">
        <v>540</v>
      </c>
    </row>
    <row r="141" spans="1:98" s="985" customFormat="1" ht="26.25" hidden="1" thickBot="1" x14ac:dyDescent="0.3">
      <c r="A141" s="1788" t="s">
        <v>2126</v>
      </c>
      <c r="B141" s="1788" t="s">
        <v>2477</v>
      </c>
      <c r="C141" s="1523">
        <v>2019</v>
      </c>
      <c r="D141" s="1523" t="s">
        <v>2506</v>
      </c>
      <c r="E141" s="1887" t="s">
        <v>867</v>
      </c>
      <c r="F141" s="1523" t="s">
        <v>867</v>
      </c>
      <c r="G141" s="1888" t="s">
        <v>2127</v>
      </c>
      <c r="H141" s="1865">
        <v>492.88866000000002</v>
      </c>
      <c r="I141" s="2533">
        <f t="shared" si="13"/>
        <v>0</v>
      </c>
      <c r="J141" s="2643">
        <f t="shared" si="10"/>
        <v>492.88866000000002</v>
      </c>
      <c r="K141" s="2643">
        <f t="shared" si="11"/>
        <v>492.88866000000002</v>
      </c>
      <c r="L141" s="2643">
        <f t="shared" si="12"/>
        <v>0</v>
      </c>
      <c r="M141" s="1759"/>
      <c r="N141" s="2367">
        <v>0</v>
      </c>
      <c r="O141" s="1656">
        <v>0</v>
      </c>
      <c r="P141" s="1706">
        <v>0</v>
      </c>
      <c r="Q141" s="1660">
        <v>0</v>
      </c>
      <c r="R141" s="2346">
        <v>22.111339999999998</v>
      </c>
      <c r="S141" s="2282">
        <v>-22.111339999999998</v>
      </c>
      <c r="T141" s="1545">
        <v>0</v>
      </c>
      <c r="U141" s="3182"/>
      <c r="V141" s="3182"/>
      <c r="W141" s="3182"/>
      <c r="X141" s="3182"/>
      <c r="Y141" s="1892">
        <v>0</v>
      </c>
      <c r="Z141" s="1750">
        <v>0</v>
      </c>
      <c r="AA141" s="1619">
        <v>0</v>
      </c>
      <c r="AB141" s="1891">
        <v>0</v>
      </c>
      <c r="AC141" s="2280" t="s">
        <v>2478</v>
      </c>
      <c r="AD141" s="1523" t="s">
        <v>1329</v>
      </c>
      <c r="AE141" s="1811" t="s">
        <v>355</v>
      </c>
      <c r="AF141" s="2275" t="s">
        <v>1283</v>
      </c>
      <c r="AG141" s="2275" t="s">
        <v>1283</v>
      </c>
      <c r="AH141" s="2057">
        <v>11</v>
      </c>
      <c r="AI141" s="2192"/>
      <c r="AJ141" s="2416">
        <v>22.111339999999984</v>
      </c>
      <c r="AK141" s="516">
        <v>0</v>
      </c>
      <c r="AL141" s="1320">
        <v>0</v>
      </c>
      <c r="AM141" s="512">
        <v>0</v>
      </c>
      <c r="AN141" s="1171"/>
      <c r="AO141" s="1171"/>
      <c r="AP141" s="1321"/>
      <c r="AQ141" s="674" t="s">
        <v>1349</v>
      </c>
      <c r="AR141" s="1323">
        <v>5</v>
      </c>
      <c r="AS141" s="1323">
        <v>5</v>
      </c>
      <c r="AT141" s="674">
        <v>6</v>
      </c>
      <c r="AU141" s="1491"/>
      <c r="AV141" s="455"/>
      <c r="AW141" s="1352"/>
      <c r="AX141" s="2193"/>
      <c r="AY141" s="2193"/>
      <c r="AZ141" s="2280" t="s">
        <v>2478</v>
      </c>
      <c r="BA141" s="2280"/>
      <c r="BB141" s="2280" t="s">
        <v>2478</v>
      </c>
      <c r="BC141" s="570" t="s">
        <v>1209</v>
      </c>
      <c r="BD141" s="2194" t="s">
        <v>1209</v>
      </c>
      <c r="BE141" s="2061"/>
      <c r="BF141" s="2195"/>
      <c r="BG141" s="2061"/>
      <c r="BH141" s="403"/>
      <c r="BI141" s="403"/>
      <c r="BJ141" s="983"/>
      <c r="BK141" s="1325"/>
      <c r="BL141" s="1796">
        <v>0</v>
      </c>
      <c r="BM141" s="1759">
        <v>492.88866000000002</v>
      </c>
      <c r="BN141" s="2404">
        <v>515</v>
      </c>
      <c r="BO141" s="2279">
        <v>515</v>
      </c>
      <c r="BP141" s="2315">
        <v>22.111339999999984</v>
      </c>
      <c r="BQ141" s="1705">
        <v>0</v>
      </c>
      <c r="BR141" s="2277">
        <v>492.88866000000002</v>
      </c>
      <c r="BS141" s="2278">
        <v>492.88866000000002</v>
      </c>
      <c r="BT141" s="54">
        <v>492.88866000000002</v>
      </c>
      <c r="BU141" s="1890"/>
      <c r="BV141" s="1705">
        <v>0</v>
      </c>
      <c r="BW141" s="1759">
        <v>0</v>
      </c>
      <c r="BX141" s="2071">
        <v>0</v>
      </c>
      <c r="BY141" s="2208">
        <v>0</v>
      </c>
      <c r="BZ141" s="2206"/>
      <c r="CA141" s="2206"/>
      <c r="CB141" s="2197"/>
      <c r="CC141" s="2197"/>
      <c r="CD141" s="2198"/>
      <c r="CE141" s="2198"/>
      <c r="CG141" s="2075">
        <v>0</v>
      </c>
      <c r="CH141" s="1794">
        <v>0</v>
      </c>
      <c r="CI141" s="2189">
        <v>0</v>
      </c>
      <c r="CJ141" s="2189">
        <v>515</v>
      </c>
    </row>
    <row r="142" spans="1:98" s="921" customFormat="1" ht="39.75" hidden="1" customHeight="1" thickBot="1" x14ac:dyDescent="0.3">
      <c r="A142" s="173" t="s">
        <v>2128</v>
      </c>
      <c r="B142" s="173" t="s">
        <v>2469</v>
      </c>
      <c r="C142" s="75">
        <v>2019</v>
      </c>
      <c r="D142" s="75" t="s">
        <v>2506</v>
      </c>
      <c r="E142" s="191" t="s">
        <v>2479</v>
      </c>
      <c r="F142" s="75" t="s">
        <v>1730</v>
      </c>
      <c r="G142" s="2405" t="s">
        <v>2129</v>
      </c>
      <c r="H142" s="1425">
        <v>699.99900000000002</v>
      </c>
      <c r="I142" s="2533">
        <f t="shared" si="13"/>
        <v>0</v>
      </c>
      <c r="J142" s="2643">
        <f t="shared" si="10"/>
        <v>699.99900000000002</v>
      </c>
      <c r="K142" s="2643">
        <f t="shared" si="11"/>
        <v>699.99900000000002</v>
      </c>
      <c r="L142" s="2643">
        <f t="shared" si="12"/>
        <v>0</v>
      </c>
      <c r="M142" s="866"/>
      <c r="N142" s="540">
        <v>0</v>
      </c>
      <c r="O142" s="483">
        <v>0</v>
      </c>
      <c r="P142" s="437">
        <v>0</v>
      </c>
      <c r="Q142" s="2406">
        <v>0</v>
      </c>
      <c r="R142" s="2347">
        <v>9.9999999997635314E-4</v>
      </c>
      <c r="S142" s="2407">
        <v>-1E-3</v>
      </c>
      <c r="T142" s="1463">
        <v>-2.3646883062777846E-14</v>
      </c>
      <c r="U142" s="3181"/>
      <c r="V142" s="3181"/>
      <c r="W142" s="3181"/>
      <c r="X142" s="3181"/>
      <c r="Y142" s="957">
        <v>0</v>
      </c>
      <c r="Z142" s="533">
        <v>0</v>
      </c>
      <c r="AA142" s="27">
        <v>0</v>
      </c>
      <c r="AB142" s="132">
        <v>0</v>
      </c>
      <c r="AC142" s="143" t="s">
        <v>1209</v>
      </c>
      <c r="AD142" s="75" t="s">
        <v>1329</v>
      </c>
      <c r="AE142" s="379" t="s">
        <v>355</v>
      </c>
      <c r="AF142" s="74" t="s">
        <v>1282</v>
      </c>
      <c r="AG142" s="74" t="s">
        <v>1282</v>
      </c>
      <c r="AH142" s="14">
        <v>3</v>
      </c>
      <c r="AI142" s="931"/>
      <c r="AJ142" s="2416">
        <v>9.9999999997635314E-4</v>
      </c>
      <c r="AK142" s="516">
        <v>2.3646883062777846E-14</v>
      </c>
      <c r="AL142" s="351">
        <v>0</v>
      </c>
      <c r="AM142" s="509">
        <v>-2.3646883062777846E-14</v>
      </c>
      <c r="AN142" s="1140"/>
      <c r="AO142" s="1140"/>
      <c r="AP142" s="355"/>
      <c r="AQ142" s="923" t="s">
        <v>1349</v>
      </c>
      <c r="AR142" s="356">
        <v>5</v>
      </c>
      <c r="AS142" s="356">
        <v>5</v>
      </c>
      <c r="AT142" s="674">
        <v>6</v>
      </c>
      <c r="AU142" s="1492"/>
      <c r="AV142" s="148"/>
      <c r="AW142" s="93"/>
      <c r="AX142" s="149"/>
      <c r="AY142" s="149"/>
      <c r="AZ142" s="143" t="s">
        <v>1209</v>
      </c>
      <c r="BA142" s="143"/>
      <c r="BB142" s="939" t="s">
        <v>2480</v>
      </c>
      <c r="BC142" s="57" t="s">
        <v>1209</v>
      </c>
      <c r="BD142" s="572" t="s">
        <v>1209</v>
      </c>
      <c r="BE142" s="579"/>
      <c r="BF142" s="930"/>
      <c r="BG142" s="579"/>
      <c r="BH142" s="390"/>
      <c r="BI142" s="390"/>
      <c r="BJ142" s="460"/>
      <c r="BK142" s="353"/>
      <c r="BL142" s="181">
        <v>0</v>
      </c>
      <c r="BM142" s="866">
        <v>699.99900000000002</v>
      </c>
      <c r="BN142" s="2399">
        <v>700</v>
      </c>
      <c r="BO142" s="1756">
        <v>700</v>
      </c>
      <c r="BP142" s="2313">
        <v>700</v>
      </c>
      <c r="BQ142" s="1579">
        <v>0</v>
      </c>
      <c r="BR142" s="1614">
        <v>0</v>
      </c>
      <c r="BS142" s="1612">
        <v>0</v>
      </c>
      <c r="BT142" s="54">
        <v>0</v>
      </c>
      <c r="BU142" s="1575"/>
      <c r="BV142" s="1443">
        <v>0</v>
      </c>
      <c r="BW142" s="264">
        <v>0</v>
      </c>
      <c r="BX142" s="973">
        <v>0</v>
      </c>
      <c r="BY142" s="1237">
        <v>0</v>
      </c>
      <c r="BZ142" s="828"/>
      <c r="CA142" s="828"/>
      <c r="CB142" s="1103"/>
      <c r="CC142" s="1103"/>
      <c r="CD142" s="929"/>
      <c r="CE142" s="929"/>
      <c r="CG142" s="253">
        <v>0</v>
      </c>
      <c r="CH142" s="365">
        <v>0</v>
      </c>
      <c r="CI142" s="266">
        <v>0</v>
      </c>
      <c r="CJ142" s="266">
        <v>700</v>
      </c>
    </row>
    <row r="143" spans="1:98" s="985" customFormat="1" ht="39" hidden="1" thickBot="1" x14ac:dyDescent="0.3">
      <c r="A143" s="1788" t="s">
        <v>2130</v>
      </c>
      <c r="B143" s="1788" t="s">
        <v>2481</v>
      </c>
      <c r="C143" s="1523">
        <v>2019</v>
      </c>
      <c r="D143" s="1523" t="s">
        <v>2506</v>
      </c>
      <c r="E143" s="1887" t="s">
        <v>2131</v>
      </c>
      <c r="F143" s="1523" t="s">
        <v>2131</v>
      </c>
      <c r="G143" s="1888" t="s">
        <v>2132</v>
      </c>
      <c r="H143" s="1865">
        <v>706.28788999999995</v>
      </c>
      <c r="I143" s="2533">
        <f t="shared" si="13"/>
        <v>0</v>
      </c>
      <c r="J143" s="2643">
        <f t="shared" si="10"/>
        <v>706.28788999999995</v>
      </c>
      <c r="K143" s="2643">
        <f t="shared" si="11"/>
        <v>706.28788999999995</v>
      </c>
      <c r="L143" s="2643">
        <f t="shared" si="12"/>
        <v>0</v>
      </c>
      <c r="M143" s="1759"/>
      <c r="N143" s="1655">
        <v>0</v>
      </c>
      <c r="O143" s="1657">
        <v>0</v>
      </c>
      <c r="P143" s="1706">
        <v>0</v>
      </c>
      <c r="Q143" s="1660">
        <v>0</v>
      </c>
      <c r="R143" s="2346">
        <v>302.71211000000005</v>
      </c>
      <c r="S143" s="2282">
        <v>-302.71211000000005</v>
      </c>
      <c r="T143" s="1545">
        <v>0</v>
      </c>
      <c r="U143" s="3182"/>
      <c r="V143" s="3182"/>
      <c r="W143" s="3182"/>
      <c r="X143" s="3182"/>
      <c r="Y143" s="1892">
        <v>0</v>
      </c>
      <c r="Z143" s="1750">
        <v>0</v>
      </c>
      <c r="AA143" s="1619">
        <v>0</v>
      </c>
      <c r="AB143" s="1891">
        <v>0</v>
      </c>
      <c r="AC143" s="982" t="s">
        <v>2515</v>
      </c>
      <c r="AD143" s="1523" t="s">
        <v>1329</v>
      </c>
      <c r="AE143" s="1811" t="s">
        <v>355</v>
      </c>
      <c r="AF143" s="1870" t="s">
        <v>1282</v>
      </c>
      <c r="AG143" s="1870" t="s">
        <v>1282</v>
      </c>
      <c r="AH143" s="2057">
        <v>10</v>
      </c>
      <c r="AI143" s="2192"/>
      <c r="AJ143" s="2416">
        <v>302.71211000000005</v>
      </c>
      <c r="AK143" s="516">
        <v>0</v>
      </c>
      <c r="AL143" s="1320">
        <v>0</v>
      </c>
      <c r="AM143" s="512">
        <v>0</v>
      </c>
      <c r="AN143" s="1171"/>
      <c r="AO143" s="1171"/>
      <c r="AP143" s="1321"/>
      <c r="AQ143" s="674" t="s">
        <v>1349</v>
      </c>
      <c r="AR143" s="1323">
        <v>5</v>
      </c>
      <c r="AS143" s="1323">
        <v>5</v>
      </c>
      <c r="AT143" s="674">
        <v>6</v>
      </c>
      <c r="AU143" s="1491"/>
      <c r="AV143" s="455"/>
      <c r="AW143" s="1352"/>
      <c r="AX143" s="569"/>
      <c r="AY143" s="569"/>
      <c r="AZ143" s="982" t="s">
        <v>2515</v>
      </c>
      <c r="BA143" s="982"/>
      <c r="BB143" s="982" t="s">
        <v>2515</v>
      </c>
      <c r="BC143" s="570" t="s">
        <v>1209</v>
      </c>
      <c r="BD143" s="2194" t="s">
        <v>1209</v>
      </c>
      <c r="BE143" s="2061"/>
      <c r="BF143" s="2195"/>
      <c r="BG143" s="2061"/>
      <c r="BH143" s="403"/>
      <c r="BI143" s="403"/>
      <c r="BJ143" s="983"/>
      <c r="BK143" s="1325"/>
      <c r="BL143" s="1796">
        <v>0</v>
      </c>
      <c r="BM143" s="1759">
        <v>706.28788999999995</v>
      </c>
      <c r="BN143" s="2404">
        <v>1009</v>
      </c>
      <c r="BO143" s="1796">
        <v>1009</v>
      </c>
      <c r="BP143" s="2315">
        <v>302.71211000000005</v>
      </c>
      <c r="BQ143" s="1705">
        <v>0</v>
      </c>
      <c r="BR143" s="1619">
        <v>1009</v>
      </c>
      <c r="BS143" s="1759">
        <v>706.28788999999995</v>
      </c>
      <c r="BT143" s="1714">
        <v>706.28788999999995</v>
      </c>
      <c r="BU143" s="2383"/>
      <c r="BV143" s="1705">
        <v>0</v>
      </c>
      <c r="BW143" s="1759">
        <v>0</v>
      </c>
      <c r="BX143" s="2071">
        <v>0</v>
      </c>
      <c r="BY143" s="2208">
        <v>0</v>
      </c>
      <c r="BZ143" s="2206"/>
      <c r="CA143" s="2206"/>
      <c r="CB143" s="2197"/>
      <c r="CC143" s="2197"/>
      <c r="CD143" s="2198"/>
      <c r="CE143" s="2198"/>
      <c r="CG143" s="2075">
        <v>0</v>
      </c>
      <c r="CH143" s="1794">
        <v>0</v>
      </c>
      <c r="CI143" s="2189">
        <v>0</v>
      </c>
      <c r="CJ143" s="2189">
        <v>1009</v>
      </c>
    </row>
    <row r="144" spans="1:98" s="985" customFormat="1" ht="30.75" hidden="1" thickBot="1" x14ac:dyDescent="0.3">
      <c r="A144" s="1893" t="s">
        <v>2155</v>
      </c>
      <c r="B144" s="1788" t="s">
        <v>2331</v>
      </c>
      <c r="C144" s="1523">
        <v>2019</v>
      </c>
      <c r="D144" s="1523" t="s">
        <v>2506</v>
      </c>
      <c r="E144" s="1894" t="s">
        <v>2157</v>
      </c>
      <c r="F144" s="979" t="s">
        <v>2157</v>
      </c>
      <c r="G144" s="1754" t="s">
        <v>2482</v>
      </c>
      <c r="H144" s="1846">
        <v>1947.9999800000001</v>
      </c>
      <c r="I144" s="2533">
        <f t="shared" si="13"/>
        <v>0</v>
      </c>
      <c r="J144" s="2643">
        <f t="shared" si="10"/>
        <v>1947.9999800000001</v>
      </c>
      <c r="K144" s="2643">
        <f t="shared" si="11"/>
        <v>1947.9999800000001</v>
      </c>
      <c r="L144" s="2643">
        <f t="shared" si="12"/>
        <v>0</v>
      </c>
      <c r="M144" s="1376"/>
      <c r="N144" s="2364">
        <v>0</v>
      </c>
      <c r="O144" s="1896">
        <v>0</v>
      </c>
      <c r="P144" s="1897">
        <v>0</v>
      </c>
      <c r="Q144" s="1675">
        <v>0</v>
      </c>
      <c r="R144" s="2341">
        <v>2.0000199999999495</v>
      </c>
      <c r="S144" s="2285">
        <v>-2.0000199999999495</v>
      </c>
      <c r="T144" s="1545">
        <v>0</v>
      </c>
      <c r="U144" s="3182"/>
      <c r="V144" s="3182"/>
      <c r="W144" s="3182"/>
      <c r="X144" s="3182"/>
      <c r="Y144" s="1898">
        <v>0</v>
      </c>
      <c r="Z144" s="1674">
        <v>0</v>
      </c>
      <c r="AA144" s="1661">
        <v>0</v>
      </c>
      <c r="AB144" s="1661">
        <v>0</v>
      </c>
      <c r="AC144" s="570" t="s">
        <v>2483</v>
      </c>
      <c r="AD144" s="1523" t="s">
        <v>1329</v>
      </c>
      <c r="AE144" s="1811" t="s">
        <v>355</v>
      </c>
      <c r="AF144" s="2275" t="s">
        <v>1283</v>
      </c>
      <c r="AG144" s="2275" t="s">
        <v>1283</v>
      </c>
      <c r="AH144" s="2057">
        <v>11</v>
      </c>
      <c r="AI144" s="2192"/>
      <c r="AJ144" s="2416">
        <v>2.0000199999999495</v>
      </c>
      <c r="AK144" s="516">
        <v>0</v>
      </c>
      <c r="AL144" s="1320">
        <v>0</v>
      </c>
      <c r="AM144" s="512">
        <v>0</v>
      </c>
      <c r="AN144" s="1171"/>
      <c r="AO144" s="1171"/>
      <c r="AP144" s="1321"/>
      <c r="AQ144" s="674" t="s">
        <v>1349</v>
      </c>
      <c r="AR144" s="1323">
        <v>5</v>
      </c>
      <c r="AS144" s="1323">
        <v>5</v>
      </c>
      <c r="AT144" s="674">
        <v>6</v>
      </c>
      <c r="AU144" s="1491"/>
      <c r="AV144" s="455"/>
      <c r="AW144" s="1352"/>
      <c r="AX144" s="2193"/>
      <c r="AY144" s="2193"/>
      <c r="AZ144" s="570" t="s">
        <v>2483</v>
      </c>
      <c r="BA144" s="570"/>
      <c r="BB144" s="570" t="s">
        <v>2483</v>
      </c>
      <c r="BC144" s="981" t="s">
        <v>1209</v>
      </c>
      <c r="BD144" s="2209"/>
      <c r="BE144" s="2061"/>
      <c r="BF144" s="2195"/>
      <c r="BG144" s="2061"/>
      <c r="BH144" s="403"/>
      <c r="BI144" s="403"/>
      <c r="BJ144" s="983"/>
      <c r="BK144" s="1325"/>
      <c r="BL144" s="1775">
        <v>0</v>
      </c>
      <c r="BM144" s="1376">
        <v>1947.9999800000001</v>
      </c>
      <c r="BN144" s="2401">
        <v>1950</v>
      </c>
      <c r="BO144" s="2267">
        <v>1950</v>
      </c>
      <c r="BP144" s="2315">
        <v>2.0000199999999495</v>
      </c>
      <c r="BQ144" s="1538">
        <v>0</v>
      </c>
      <c r="BR144" s="1539">
        <v>1947.9999800000001</v>
      </c>
      <c r="BS144" s="1376">
        <v>1947.9999800000001</v>
      </c>
      <c r="BT144" s="54">
        <v>1947.9999800000001</v>
      </c>
      <c r="BU144" s="1540"/>
      <c r="BV144" s="1538">
        <v>0</v>
      </c>
      <c r="BW144" s="1376">
        <v>0</v>
      </c>
      <c r="BX144" s="2071">
        <v>0</v>
      </c>
      <c r="BY144" s="2208">
        <v>0</v>
      </c>
      <c r="BZ144" s="2206"/>
      <c r="CA144" s="2206"/>
      <c r="CB144" s="2197"/>
      <c r="CC144" s="2197"/>
      <c r="CD144" s="2198"/>
      <c r="CE144" s="2198"/>
      <c r="CG144" s="1253">
        <v>0</v>
      </c>
      <c r="CH144" s="1541">
        <v>0</v>
      </c>
      <c r="CI144" s="1548">
        <v>0</v>
      </c>
      <c r="CJ144" s="1548">
        <v>1950</v>
      </c>
    </row>
    <row r="145" spans="1:98" s="985" customFormat="1" ht="26.25" hidden="1" thickBot="1" x14ac:dyDescent="0.3">
      <c r="A145" s="2291" t="s">
        <v>2156</v>
      </c>
      <c r="B145" s="2292" t="s">
        <v>2484</v>
      </c>
      <c r="C145" s="977">
        <v>2019</v>
      </c>
      <c r="D145" s="977" t="s">
        <v>2506</v>
      </c>
      <c r="E145" s="2293" t="s">
        <v>318</v>
      </c>
      <c r="F145" s="977" t="s">
        <v>318</v>
      </c>
      <c r="G145" s="2294" t="s">
        <v>476</v>
      </c>
      <c r="H145" s="2295">
        <v>349.97699999999998</v>
      </c>
      <c r="I145" s="2533">
        <f t="shared" si="13"/>
        <v>0</v>
      </c>
      <c r="J145" s="2643">
        <f t="shared" si="10"/>
        <v>349.97699999999998</v>
      </c>
      <c r="K145" s="2643">
        <f t="shared" si="11"/>
        <v>349.97699999999998</v>
      </c>
      <c r="L145" s="2643">
        <f t="shared" si="12"/>
        <v>0</v>
      </c>
      <c r="M145" s="2298"/>
      <c r="N145" s="2369">
        <v>0</v>
      </c>
      <c r="O145" s="2300">
        <v>0</v>
      </c>
      <c r="P145" s="2301">
        <v>0</v>
      </c>
      <c r="Q145" s="2370">
        <v>0</v>
      </c>
      <c r="R145" s="2349">
        <v>140.02300000000002</v>
      </c>
      <c r="S145" s="2303">
        <v>-140.02300000000002</v>
      </c>
      <c r="T145" s="1883">
        <v>0</v>
      </c>
      <c r="U145" s="3186"/>
      <c r="V145" s="3186"/>
      <c r="W145" s="3186"/>
      <c r="X145" s="3186"/>
      <c r="Y145" s="2302">
        <v>0</v>
      </c>
      <c r="Z145" s="2305">
        <v>0</v>
      </c>
      <c r="AA145" s="2304">
        <v>0</v>
      </c>
      <c r="AB145" s="2304">
        <v>0</v>
      </c>
      <c r="AC145" s="989" t="s">
        <v>2514</v>
      </c>
      <c r="AD145" s="977" t="s">
        <v>1329</v>
      </c>
      <c r="AE145" s="2307" t="s">
        <v>355</v>
      </c>
      <c r="AF145" s="2306" t="s">
        <v>1283</v>
      </c>
      <c r="AG145" s="2306" t="s">
        <v>1283</v>
      </c>
      <c r="AH145" s="1872">
        <v>8</v>
      </c>
      <c r="AI145" s="2289"/>
      <c r="AJ145" s="2416">
        <v>140.02300000000002</v>
      </c>
      <c r="AK145" s="516">
        <v>0</v>
      </c>
      <c r="AL145" s="1503">
        <v>0</v>
      </c>
      <c r="AM145" s="1504">
        <v>0</v>
      </c>
      <c r="AN145" s="2200"/>
      <c r="AO145" s="2200"/>
      <c r="AP145" s="1341"/>
      <c r="AQ145" s="1342" t="s">
        <v>1349</v>
      </c>
      <c r="AR145" s="1343">
        <v>5</v>
      </c>
      <c r="AS145" s="1343">
        <v>5</v>
      </c>
      <c r="AT145" s="1342">
        <v>6</v>
      </c>
      <c r="AU145" s="2290"/>
      <c r="AV145" s="455"/>
      <c r="AW145" s="1352"/>
      <c r="AX145" s="569"/>
      <c r="AY145" s="569"/>
      <c r="AZ145" s="989" t="s">
        <v>2514</v>
      </c>
      <c r="BA145" s="989"/>
      <c r="BB145" s="989" t="s">
        <v>2514</v>
      </c>
      <c r="BC145" s="981" t="s">
        <v>1209</v>
      </c>
      <c r="BD145" s="2209"/>
      <c r="BE145" s="2061"/>
      <c r="BF145" s="2195"/>
      <c r="BG145" s="2061"/>
      <c r="BH145" s="403"/>
      <c r="BI145" s="403"/>
      <c r="BJ145" s="983"/>
      <c r="BK145" s="1325"/>
      <c r="BL145" s="2299">
        <v>0</v>
      </c>
      <c r="BM145" s="2298">
        <v>349.97699999999998</v>
      </c>
      <c r="BN145" s="2403">
        <v>490</v>
      </c>
      <c r="BO145" s="2299">
        <v>490</v>
      </c>
      <c r="BP145" s="2318">
        <v>140.02300000000002</v>
      </c>
      <c r="BQ145" s="2296">
        <v>0</v>
      </c>
      <c r="BR145" s="2297">
        <v>490</v>
      </c>
      <c r="BS145" s="2298">
        <v>349.97699999999998</v>
      </c>
      <c r="BT145" s="54">
        <v>349.97699999999998</v>
      </c>
      <c r="BU145" s="1848"/>
      <c r="BV145" s="1538">
        <v>0</v>
      </c>
      <c r="BW145" s="1376">
        <v>0</v>
      </c>
      <c r="BX145" s="2071">
        <v>0</v>
      </c>
      <c r="BY145" s="2208">
        <v>0</v>
      </c>
      <c r="BZ145" s="2206"/>
      <c r="CA145" s="2206"/>
      <c r="CB145" s="2197"/>
      <c r="CC145" s="2197"/>
      <c r="CD145" s="2198"/>
      <c r="CE145" s="2198"/>
      <c r="CG145" s="1253">
        <v>0</v>
      </c>
      <c r="CH145" s="1541">
        <v>0</v>
      </c>
      <c r="CI145" s="1548">
        <v>0</v>
      </c>
      <c r="CJ145" s="1548">
        <v>490</v>
      </c>
    </row>
    <row r="146" spans="1:98" s="921" customFormat="1" ht="39" hidden="1" thickBot="1" x14ac:dyDescent="0.3">
      <c r="A146" s="616" t="s">
        <v>2485</v>
      </c>
      <c r="B146" s="616" t="s">
        <v>2639</v>
      </c>
      <c r="C146" s="618">
        <v>2020</v>
      </c>
      <c r="D146" s="618" t="s">
        <v>2579</v>
      </c>
      <c r="E146" s="275" t="s">
        <v>880</v>
      </c>
      <c r="F146" s="1435" t="s">
        <v>880</v>
      </c>
      <c r="G146" s="2757" t="s">
        <v>2486</v>
      </c>
      <c r="H146" s="2758">
        <v>0</v>
      </c>
      <c r="I146" s="296">
        <v>0</v>
      </c>
      <c r="J146" s="839"/>
      <c r="K146" s="825">
        <v>0</v>
      </c>
      <c r="L146" s="2774">
        <v>0</v>
      </c>
      <c r="M146" s="2784"/>
      <c r="N146" s="742">
        <v>0</v>
      </c>
      <c r="O146" s="667">
        <v>0</v>
      </c>
      <c r="P146" s="667">
        <v>0</v>
      </c>
      <c r="Q146" s="295">
        <v>0</v>
      </c>
      <c r="R146" s="2674">
        <v>400</v>
      </c>
      <c r="S146" s="2625">
        <v>-400</v>
      </c>
      <c r="T146" s="2674">
        <f>R146+S146</f>
        <v>0</v>
      </c>
      <c r="U146" s="2674"/>
      <c r="V146" s="2674"/>
      <c r="W146" s="2674"/>
      <c r="X146" s="2674"/>
      <c r="Y146" s="1695">
        <v>0</v>
      </c>
      <c r="Z146" s="1695">
        <v>0</v>
      </c>
      <c r="AA146" s="623">
        <v>0</v>
      </c>
      <c r="AB146" s="952">
        <v>0</v>
      </c>
      <c r="AC146" s="760" t="s">
        <v>2640</v>
      </c>
      <c r="AD146" s="60" t="s">
        <v>1300</v>
      </c>
      <c r="AE146" s="2759" t="s">
        <v>1318</v>
      </c>
      <c r="AF146" s="627" t="s">
        <v>1282</v>
      </c>
      <c r="AG146" s="2759" t="s">
        <v>1282</v>
      </c>
      <c r="AH146" s="170">
        <v>3</v>
      </c>
      <c r="AI146" s="934"/>
      <c r="AJ146" s="2326"/>
      <c r="AK146" s="2627">
        <f>H146-I146-T146-Y146-Z146-AA146-AB146</f>
        <v>0</v>
      </c>
      <c r="AL146" s="456">
        <f>T146-R146-S146</f>
        <v>0</v>
      </c>
      <c r="AM146" s="514">
        <f>T146-N146-O146-P146-Q146</f>
        <v>0</v>
      </c>
      <c r="AN146" s="1141"/>
      <c r="AO146" s="1141"/>
      <c r="AP146" s="258"/>
      <c r="AQ146" s="1518" t="s">
        <v>1349</v>
      </c>
      <c r="AR146" s="362">
        <v>5</v>
      </c>
      <c r="AS146" s="362">
        <v>6</v>
      </c>
      <c r="AT146" s="2755">
        <v>7</v>
      </c>
      <c r="AU146" s="2635"/>
      <c r="AV146" s="148"/>
      <c r="AW146" s="93"/>
      <c r="AX146" s="58"/>
      <c r="AY146" s="760" t="s">
        <v>2640</v>
      </c>
      <c r="AZ146" s="571" t="s">
        <v>1209</v>
      </c>
      <c r="BA146" s="579"/>
      <c r="BB146" s="1902" t="s">
        <v>1209</v>
      </c>
      <c r="BC146" s="95"/>
      <c r="BD146" s="1527"/>
      <c r="BE146" s="579"/>
      <c r="BF146" s="930"/>
      <c r="BG146" s="579"/>
      <c r="BH146" s="390"/>
      <c r="BI146" s="390"/>
      <c r="BJ146" s="460"/>
      <c r="BK146" s="353"/>
      <c r="BL146" s="71">
        <v>0</v>
      </c>
      <c r="BM146" s="31">
        <v>0</v>
      </c>
      <c r="BN146" s="19"/>
      <c r="BO146" s="1901">
        <v>0</v>
      </c>
      <c r="BP146" s="2313">
        <v>0</v>
      </c>
      <c r="BQ146" s="1899">
        <v>0</v>
      </c>
      <c r="BR146" s="1900">
        <v>0</v>
      </c>
      <c r="BS146" s="1900">
        <v>0</v>
      </c>
      <c r="BT146" s="54">
        <f>BQ146+BS146</f>
        <v>0</v>
      </c>
      <c r="BU146" s="1900"/>
      <c r="BV146" s="1481"/>
      <c r="BW146" s="821"/>
      <c r="BX146" s="1402"/>
      <c r="BY146" s="1528"/>
      <c r="BZ146" s="828"/>
      <c r="CA146" s="828"/>
      <c r="CB146" s="1103"/>
      <c r="CC146" s="1103"/>
      <c r="CD146" s="929"/>
      <c r="CE146" s="929"/>
      <c r="CG146" s="788"/>
      <c r="CH146" s="1529"/>
      <c r="CI146" s="1044"/>
      <c r="CJ146" s="1044"/>
      <c r="CK146" s="666">
        <v>0</v>
      </c>
      <c r="CL146" s="666">
        <v>0</v>
      </c>
      <c r="CM146" s="1209">
        <v>0</v>
      </c>
      <c r="CN146" s="1209"/>
      <c r="CO146" s="2767"/>
    </row>
    <row r="147" spans="1:98" s="1013" customFormat="1" ht="26.25" hidden="1" thickBot="1" x14ac:dyDescent="0.3">
      <c r="A147" s="3071" t="s">
        <v>2646</v>
      </c>
      <c r="B147" s="3071" t="s">
        <v>1230</v>
      </c>
      <c r="C147" s="3072">
        <v>2020</v>
      </c>
      <c r="D147" s="3072" t="s">
        <v>2744</v>
      </c>
      <c r="E147" s="3006" t="s">
        <v>2647</v>
      </c>
      <c r="F147" s="3061" t="s">
        <v>2647</v>
      </c>
      <c r="G147" s="3073" t="s">
        <v>2648</v>
      </c>
      <c r="H147" s="3074">
        <v>0</v>
      </c>
      <c r="I147" s="2993">
        <v>0</v>
      </c>
      <c r="J147" s="3089">
        <v>0</v>
      </c>
      <c r="K147" s="3106"/>
      <c r="L147" s="3106"/>
      <c r="M147" s="3106"/>
      <c r="N147" s="2996">
        <v>0</v>
      </c>
      <c r="O147" s="3076">
        <v>0</v>
      </c>
      <c r="P147" s="3076">
        <v>0</v>
      </c>
      <c r="Q147" s="2996">
        <v>0</v>
      </c>
      <c r="R147" s="3077">
        <v>515</v>
      </c>
      <c r="S147" s="3078">
        <v>-515</v>
      </c>
      <c r="T147" s="2995">
        <f>R147+S147</f>
        <v>0</v>
      </c>
      <c r="U147" s="3079">
        <v>0</v>
      </c>
      <c r="V147" s="3076">
        <v>0</v>
      </c>
      <c r="W147" s="3076">
        <v>0</v>
      </c>
      <c r="X147" s="3080">
        <v>0</v>
      </c>
      <c r="Y147" s="3081">
        <v>0</v>
      </c>
      <c r="Z147" s="3082">
        <v>0</v>
      </c>
      <c r="AA147" s="3083">
        <v>0</v>
      </c>
      <c r="AB147" s="1667">
        <v>0</v>
      </c>
      <c r="AC147" s="2119" t="s">
        <v>2742</v>
      </c>
      <c r="AD147" s="3072" t="s">
        <v>1300</v>
      </c>
      <c r="AE147" s="3084" t="s">
        <v>357</v>
      </c>
      <c r="AF147" s="3084" t="s">
        <v>1282</v>
      </c>
      <c r="AG147" s="3085" t="s">
        <v>1282</v>
      </c>
      <c r="AH147" s="3006">
        <v>4</v>
      </c>
      <c r="AI147" s="1920"/>
      <c r="AJ147" s="584"/>
      <c r="AK147" s="1011">
        <f>H147-I147-T147-Y147-Z147-AA147-AB147</f>
        <v>0</v>
      </c>
      <c r="AL147" s="1084">
        <f>T147-R147-S147</f>
        <v>0</v>
      </c>
      <c r="AM147" s="2991">
        <f>T147-N147-O147-P147-Q147</f>
        <v>0</v>
      </c>
      <c r="AN147" s="513">
        <f>Y147-U147-V147-W147-X147</f>
        <v>0</v>
      </c>
      <c r="AO147" s="2992"/>
      <c r="AP147" s="496"/>
      <c r="AQ147" s="662" t="s">
        <v>1349</v>
      </c>
      <c r="AR147" s="1051">
        <v>5</v>
      </c>
      <c r="AS147" s="1051">
        <v>7</v>
      </c>
      <c r="AT147" s="884">
        <v>8</v>
      </c>
      <c r="AU147" s="1135">
        <v>1</v>
      </c>
      <c r="AV147" s="435"/>
      <c r="AW147" s="78"/>
      <c r="AX147" s="2119" t="s">
        <v>2694</v>
      </c>
      <c r="AY147" s="2997" t="s">
        <v>1209</v>
      </c>
      <c r="AZ147" s="1921"/>
      <c r="BA147" s="2998"/>
      <c r="BB147" s="263"/>
      <c r="BC147" s="2999"/>
      <c r="BD147" s="1921"/>
      <c r="BE147" s="769"/>
      <c r="BF147" s="1921"/>
      <c r="BG147" s="755"/>
      <c r="BH147" s="755"/>
      <c r="BI147" s="497"/>
      <c r="BJ147" s="1048"/>
      <c r="BK147" s="2512"/>
      <c r="BL147" s="593"/>
      <c r="BM147" s="593"/>
      <c r="BN147" s="3000"/>
      <c r="BO147" s="2314"/>
      <c r="BP147" s="3001"/>
      <c r="BQ147" s="3000"/>
      <c r="BR147" s="3002"/>
      <c r="BS147" s="2779"/>
      <c r="BT147" s="3002"/>
      <c r="BU147" s="2517"/>
      <c r="BV147" s="1915"/>
      <c r="BW147" s="1992"/>
      <c r="BX147" s="3003"/>
      <c r="BY147" s="3004"/>
      <c r="BZ147" s="3004"/>
      <c r="CA147" s="1922"/>
      <c r="CB147" s="1922"/>
      <c r="CC147" s="1923"/>
      <c r="CD147" s="1923"/>
      <c r="CF147" s="1936"/>
      <c r="CG147" s="1475"/>
      <c r="CH147" s="2519"/>
      <c r="CI147" s="2519"/>
      <c r="CJ147" s="3005">
        <v>0</v>
      </c>
      <c r="CK147" s="3005">
        <v>0</v>
      </c>
      <c r="CL147" s="2980">
        <v>0</v>
      </c>
      <c r="CM147" s="823">
        <v>0</v>
      </c>
      <c r="CN147" s="2954">
        <v>0</v>
      </c>
      <c r="CO147" s="2954">
        <v>0</v>
      </c>
      <c r="CP147" s="2954">
        <v>0</v>
      </c>
      <c r="CQ147" s="3075">
        <v>0</v>
      </c>
      <c r="CR147" s="3106"/>
      <c r="CS147" s="2980"/>
      <c r="CT147" s="2767"/>
    </row>
    <row r="148" spans="1:98" s="1013" customFormat="1" ht="77.25" hidden="1" thickBot="1" x14ac:dyDescent="0.3">
      <c r="A148" s="3071" t="s">
        <v>2652</v>
      </c>
      <c r="B148" s="3071" t="s">
        <v>1230</v>
      </c>
      <c r="C148" s="3072">
        <v>2020</v>
      </c>
      <c r="D148" s="3072" t="s">
        <v>2744</v>
      </c>
      <c r="E148" s="3006" t="s">
        <v>212</v>
      </c>
      <c r="F148" s="3061" t="s">
        <v>212</v>
      </c>
      <c r="G148" s="3073" t="s">
        <v>2653</v>
      </c>
      <c r="H148" s="3074">
        <v>0</v>
      </c>
      <c r="I148" s="2993">
        <v>0</v>
      </c>
      <c r="J148" s="3089">
        <v>0</v>
      </c>
      <c r="K148" s="3106"/>
      <c r="L148" s="3106"/>
      <c r="M148" s="3106"/>
      <c r="N148" s="2996">
        <v>0</v>
      </c>
      <c r="O148" s="3076">
        <v>0</v>
      </c>
      <c r="P148" s="3076">
        <v>0</v>
      </c>
      <c r="Q148" s="2996">
        <v>0</v>
      </c>
      <c r="R148" s="3077">
        <v>5807.3680000000004</v>
      </c>
      <c r="S148" s="3078">
        <v>-5807.3680000000004</v>
      </c>
      <c r="T148" s="2995">
        <f>R148+S148</f>
        <v>0</v>
      </c>
      <c r="U148" s="3079">
        <v>0</v>
      </c>
      <c r="V148" s="3076">
        <v>0</v>
      </c>
      <c r="W148" s="3076">
        <v>0</v>
      </c>
      <c r="X148" s="3080">
        <v>0</v>
      </c>
      <c r="Y148" s="3081">
        <v>0</v>
      </c>
      <c r="Z148" s="3082">
        <v>0</v>
      </c>
      <c r="AA148" s="3083">
        <v>0</v>
      </c>
      <c r="AB148" s="1667">
        <v>0</v>
      </c>
      <c r="AC148" s="2119" t="s">
        <v>2741</v>
      </c>
      <c r="AD148" s="3072" t="s">
        <v>1300</v>
      </c>
      <c r="AE148" s="3084" t="s">
        <v>1309</v>
      </c>
      <c r="AF148" s="3084" t="s">
        <v>1282</v>
      </c>
      <c r="AG148" s="3085" t="s">
        <v>1282</v>
      </c>
      <c r="AH148" s="3006">
        <v>12</v>
      </c>
      <c r="AI148" s="1920"/>
      <c r="AJ148" s="584"/>
      <c r="AK148" s="1011">
        <f>H148-I148-T148-Y148-Z148-AA148-AB148</f>
        <v>0</v>
      </c>
      <c r="AL148" s="1084">
        <f>T148-R148-S148</f>
        <v>0</v>
      </c>
      <c r="AM148" s="2991">
        <f>T148-N148-O148-P148-Q148</f>
        <v>0</v>
      </c>
      <c r="AN148" s="513">
        <f>Y148-U148-V148-W148-X148</f>
        <v>0</v>
      </c>
      <c r="AO148" s="2992"/>
      <c r="AP148" s="496"/>
      <c r="AQ148" s="662" t="s">
        <v>1349</v>
      </c>
      <c r="AR148" s="1051">
        <v>5</v>
      </c>
      <c r="AS148" s="1051">
        <v>7</v>
      </c>
      <c r="AT148" s="884">
        <v>8</v>
      </c>
      <c r="AU148" s="1135">
        <v>2</v>
      </c>
      <c r="AV148" s="435"/>
      <c r="AW148" s="78" t="s">
        <v>2755</v>
      </c>
      <c r="AX148" s="2119" t="s">
        <v>2700</v>
      </c>
      <c r="AY148" s="2997" t="s">
        <v>1209</v>
      </c>
      <c r="AZ148" s="1921"/>
      <c r="BA148" s="2998"/>
      <c r="BB148" s="263"/>
      <c r="BC148" s="2999"/>
      <c r="BD148" s="1921"/>
      <c r="BE148" s="769"/>
      <c r="BF148" s="1921"/>
      <c r="BG148" s="755"/>
      <c r="BH148" s="755"/>
      <c r="BI148" s="497"/>
      <c r="BJ148" s="1048"/>
      <c r="BK148" s="2512"/>
      <c r="BL148" s="593"/>
      <c r="BM148" s="593"/>
      <c r="BN148" s="3000"/>
      <c r="BO148" s="2314"/>
      <c r="BP148" s="3001"/>
      <c r="BQ148" s="3000"/>
      <c r="BR148" s="3002"/>
      <c r="BS148" s="2779"/>
      <c r="BT148" s="3002"/>
      <c r="BU148" s="2517"/>
      <c r="BV148" s="1915"/>
      <c r="BW148" s="1992"/>
      <c r="BX148" s="3003"/>
      <c r="BY148" s="3004"/>
      <c r="BZ148" s="3004"/>
      <c r="CA148" s="1922"/>
      <c r="CB148" s="1922"/>
      <c r="CC148" s="1923"/>
      <c r="CD148" s="1923"/>
      <c r="CF148" s="1936"/>
      <c r="CG148" s="1475"/>
      <c r="CH148" s="2519"/>
      <c r="CI148" s="2519"/>
      <c r="CJ148" s="3005">
        <v>0</v>
      </c>
      <c r="CK148" s="3005">
        <v>0</v>
      </c>
      <c r="CL148" s="2980">
        <v>0</v>
      </c>
      <c r="CM148" s="823">
        <v>0</v>
      </c>
      <c r="CN148" s="2954">
        <v>0</v>
      </c>
      <c r="CO148" s="2954">
        <v>0</v>
      </c>
      <c r="CP148" s="2954">
        <v>0</v>
      </c>
      <c r="CQ148" s="3075">
        <v>0</v>
      </c>
      <c r="CR148" s="3106"/>
      <c r="CS148" s="2980"/>
      <c r="CT148" s="2767"/>
    </row>
    <row r="149" spans="1:98" s="985" customFormat="1" ht="15.75" hidden="1" thickBot="1" x14ac:dyDescent="0.3">
      <c r="A149" s="2555"/>
      <c r="B149" s="1871"/>
      <c r="C149" s="1872"/>
      <c r="D149" s="1872"/>
      <c r="E149" s="2556"/>
      <c r="F149" s="1872"/>
      <c r="G149" s="2557"/>
      <c r="H149" s="1874"/>
      <c r="I149" s="2533">
        <f t="shared" si="13"/>
        <v>0</v>
      </c>
      <c r="J149" s="2643">
        <f t="shared" si="10"/>
        <v>0</v>
      </c>
      <c r="K149" s="2643">
        <f t="shared" si="11"/>
        <v>0</v>
      </c>
      <c r="L149" s="2643">
        <f t="shared" si="12"/>
        <v>0</v>
      </c>
      <c r="M149" s="1878"/>
      <c r="N149" s="2559"/>
      <c r="O149" s="2560"/>
      <c r="P149" s="2560"/>
      <c r="Q149" s="1885"/>
      <c r="R149" s="2561"/>
      <c r="S149" s="2562"/>
      <c r="T149" s="2563"/>
      <c r="U149" s="2561"/>
      <c r="V149" s="2561"/>
      <c r="W149" s="2561"/>
      <c r="X149" s="2561"/>
      <c r="Y149" s="2560"/>
      <c r="Z149" s="1884"/>
      <c r="AA149" s="2559"/>
      <c r="AB149" s="2559"/>
      <c r="AC149" s="762"/>
      <c r="AD149" s="1872"/>
      <c r="AE149" s="2330"/>
      <c r="AF149" s="2564"/>
      <c r="AG149" s="2564"/>
      <c r="AH149" s="1872"/>
      <c r="AI149" s="2565"/>
      <c r="AJ149" s="2416"/>
      <c r="AK149" s="516"/>
      <c r="AL149" s="1503"/>
      <c r="AM149" s="1504"/>
      <c r="AN149" s="2200"/>
      <c r="AO149" s="2200"/>
      <c r="AP149" s="1341"/>
      <c r="AQ149" s="1342"/>
      <c r="AR149" s="1343"/>
      <c r="AS149" s="1343"/>
      <c r="AT149" s="1342"/>
      <c r="AU149" s="2290"/>
      <c r="AV149" s="455"/>
      <c r="AW149" s="2057"/>
      <c r="AX149" s="2193"/>
      <c r="AY149" s="2193"/>
      <c r="AZ149" s="762"/>
      <c r="BA149" s="762"/>
      <c r="BB149" s="762"/>
      <c r="BC149" s="2054"/>
      <c r="BD149" s="2548"/>
      <c r="BE149" s="2061"/>
      <c r="BF149" s="2566"/>
      <c r="BG149" s="2061"/>
      <c r="BH149" s="403"/>
      <c r="BI149" s="403"/>
      <c r="BJ149" s="983"/>
      <c r="BK149" s="1325"/>
      <c r="BL149" s="2323"/>
      <c r="BM149" s="1878"/>
      <c r="BN149" s="2558"/>
      <c r="BO149" s="2323"/>
      <c r="BP149" s="2315"/>
      <c r="BQ149" s="1878"/>
      <c r="BR149" s="1876"/>
      <c r="BS149" s="1878"/>
      <c r="BT149" s="872"/>
      <c r="BU149" s="2567"/>
      <c r="BV149" s="2551"/>
      <c r="BW149" s="2101"/>
      <c r="BX149" s="2172"/>
      <c r="BY149" s="2568"/>
      <c r="BZ149" s="2206"/>
      <c r="CA149" s="2206"/>
      <c r="CB149" s="2197"/>
      <c r="CC149" s="2197"/>
      <c r="CD149" s="2198"/>
      <c r="CE149" s="2198"/>
      <c r="CG149" s="2458"/>
      <c r="CH149" s="2569"/>
      <c r="CI149" s="2553"/>
      <c r="CJ149" s="2553"/>
    </row>
    <row r="150" spans="1:98" ht="33" hidden="1" customHeight="1" thickBot="1" x14ac:dyDescent="0.3">
      <c r="A150" s="2310" t="s">
        <v>1209</v>
      </c>
      <c r="B150" s="2311" t="s">
        <v>1209</v>
      </c>
      <c r="C150" s="210" t="s">
        <v>1209</v>
      </c>
      <c r="D150" s="140" t="s">
        <v>1209</v>
      </c>
      <c r="E150" s="1188" t="s">
        <v>1209</v>
      </c>
      <c r="F150" s="210" t="s">
        <v>1209</v>
      </c>
      <c r="G150" s="1190" t="s">
        <v>1464</v>
      </c>
      <c r="H150" s="113">
        <f>SUM(H103:H149)</f>
        <v>106636.31554</v>
      </c>
      <c r="I150" s="2533">
        <f t="shared" si="13"/>
        <v>9000</v>
      </c>
      <c r="J150" s="2643">
        <f t="shared" si="10"/>
        <v>97636.315539999996</v>
      </c>
      <c r="K150" s="2643">
        <f t="shared" si="11"/>
        <v>106636.31554</v>
      </c>
      <c r="L150" s="2643">
        <f t="shared" si="12"/>
        <v>0</v>
      </c>
      <c r="M150" s="113"/>
      <c r="N150" s="113">
        <f t="shared" ref="N150:AB150" si="16">SUM(N103:N149)</f>
        <v>0</v>
      </c>
      <c r="O150" s="113">
        <f t="shared" si="16"/>
        <v>0</v>
      </c>
      <c r="P150" s="113">
        <f t="shared" si="16"/>
        <v>0</v>
      </c>
      <c r="Q150" s="113">
        <f t="shared" si="16"/>
        <v>0</v>
      </c>
      <c r="R150" s="113">
        <f t="shared" si="16"/>
        <v>10112.797640000001</v>
      </c>
      <c r="S150" s="113">
        <f t="shared" si="16"/>
        <v>-10112.797640000001</v>
      </c>
      <c r="T150" s="113">
        <f t="shared" si="16"/>
        <v>-2.3646883062777846E-14</v>
      </c>
      <c r="U150" s="113"/>
      <c r="V150" s="113"/>
      <c r="W150" s="113"/>
      <c r="X150" s="113"/>
      <c r="Y150" s="113">
        <f>SUM(Y103:Y149)</f>
        <v>0</v>
      </c>
      <c r="Z150" s="113">
        <f>SUM(Z103:Z149)</f>
        <v>0</v>
      </c>
      <c r="AA150" s="113">
        <f t="shared" si="16"/>
        <v>6100</v>
      </c>
      <c r="AB150" s="113">
        <f t="shared" si="16"/>
        <v>2900</v>
      </c>
      <c r="AC150" s="165" t="s">
        <v>2548</v>
      </c>
      <c r="AD150" s="114" t="s">
        <v>1209</v>
      </c>
      <c r="AE150" s="1505" t="s">
        <v>1209</v>
      </c>
      <c r="AF150" s="114" t="s">
        <v>1209</v>
      </c>
      <c r="AG150" s="122" t="s">
        <v>1209</v>
      </c>
      <c r="AH150" s="305" t="s">
        <v>1209</v>
      </c>
      <c r="AI150" s="723" t="s">
        <v>1209</v>
      </c>
      <c r="AJ150" s="2416">
        <v>15757.663490000006</v>
      </c>
      <c r="AK150" s="516">
        <v>0</v>
      </c>
      <c r="AL150" s="442">
        <v>3.092281986027956E-11</v>
      </c>
      <c r="AM150" s="510">
        <v>0</v>
      </c>
      <c r="AN150" s="1141"/>
      <c r="AO150" s="1141"/>
      <c r="AP150" s="529">
        <v>1</v>
      </c>
      <c r="AQ150" s="1904" t="s">
        <v>1349</v>
      </c>
      <c r="AR150" s="340">
        <v>5</v>
      </c>
      <c r="AS150" s="340"/>
      <c r="AT150" s="340"/>
      <c r="AU150" s="1489"/>
      <c r="AV150" s="451"/>
      <c r="AW150" s="920" t="s">
        <v>2142</v>
      </c>
      <c r="AX150" s="2789"/>
      <c r="AY150" s="2789"/>
      <c r="AZ150" s="165" t="s">
        <v>2548</v>
      </c>
      <c r="BA150" s="165"/>
      <c r="BB150" s="165" t="s">
        <v>2257</v>
      </c>
      <c r="BC150" s="165" t="s">
        <v>2235</v>
      </c>
      <c r="BD150" s="165" t="s">
        <v>2147</v>
      </c>
      <c r="BE150" s="165" t="s">
        <v>1885</v>
      </c>
      <c r="BF150" s="165" t="s">
        <v>1694</v>
      </c>
      <c r="BG150" s="165" t="s">
        <v>1370</v>
      </c>
      <c r="BH150" s="518"/>
      <c r="BI150" s="518"/>
      <c r="BJ150" s="519"/>
      <c r="BK150" s="505"/>
      <c r="BL150" s="113">
        <f>SUM(BL103:BL149)</f>
        <v>11117.558659999999</v>
      </c>
      <c r="BM150" s="113">
        <f>SUM(BM103:BM149)</f>
        <v>86518.756880000001</v>
      </c>
      <c r="BN150" s="113">
        <f>SUM(BN103:BN149)</f>
        <v>88382.19528</v>
      </c>
      <c r="BO150" s="113">
        <f t="shared" ref="BO150:CJ150" si="17">SUM(BO103:BO149)</f>
        <v>88382.19528</v>
      </c>
      <c r="BP150" s="113">
        <f t="shared" si="17"/>
        <v>2563.4373999999998</v>
      </c>
      <c r="BQ150" s="113">
        <f t="shared" si="17"/>
        <v>63133.957139999991</v>
      </c>
      <c r="BR150" s="113">
        <f t="shared" si="17"/>
        <v>21735.674750000002</v>
      </c>
      <c r="BS150" s="113">
        <f t="shared" si="17"/>
        <v>22684.800739999999</v>
      </c>
      <c r="BT150" s="113">
        <f t="shared" si="17"/>
        <v>85818.757880000005</v>
      </c>
      <c r="BU150" s="113">
        <f t="shared" si="17"/>
        <v>0</v>
      </c>
      <c r="BV150" s="113">
        <f t="shared" si="17"/>
        <v>63133.957139999991</v>
      </c>
      <c r="BW150" s="113">
        <f t="shared" si="17"/>
        <v>7858.5914000000002</v>
      </c>
      <c r="BX150" s="113">
        <f t="shared" si="17"/>
        <v>55275.365739999994</v>
      </c>
      <c r="BY150" s="113">
        <f t="shared" si="17"/>
        <v>17336.27982</v>
      </c>
      <c r="BZ150" s="113">
        <f t="shared" si="17"/>
        <v>37939.085919999998</v>
      </c>
      <c r="CA150" s="113">
        <f t="shared" si="17"/>
        <v>27947.06583</v>
      </c>
      <c r="CB150" s="113">
        <f t="shared" si="17"/>
        <v>23648.367890000001</v>
      </c>
      <c r="CC150" s="113">
        <f t="shared" si="17"/>
        <v>0</v>
      </c>
      <c r="CD150" s="113">
        <f t="shared" si="17"/>
        <v>16856.924480000001</v>
      </c>
      <c r="CE150" s="113">
        <f t="shared" si="17"/>
        <v>7827.1225300000006</v>
      </c>
      <c r="CF150" s="113">
        <f t="shared" si="17"/>
        <v>132</v>
      </c>
      <c r="CG150" s="113">
        <f t="shared" si="17"/>
        <v>8705.8001199999999</v>
      </c>
      <c r="CH150" s="113">
        <f t="shared" si="17"/>
        <v>14942.567769999998</v>
      </c>
      <c r="CI150" s="113">
        <f t="shared" si="17"/>
        <v>31626.997610000002</v>
      </c>
      <c r="CJ150" s="113">
        <f t="shared" si="17"/>
        <v>33106.82978</v>
      </c>
    </row>
    <row r="151" spans="1:98" ht="39" hidden="1" thickBot="1" x14ac:dyDescent="0.3">
      <c r="A151" s="3013" t="s">
        <v>366</v>
      </c>
      <c r="B151" s="3014" t="s">
        <v>367</v>
      </c>
      <c r="C151" s="1523">
        <v>2017</v>
      </c>
      <c r="D151" s="3015" t="s">
        <v>1709</v>
      </c>
      <c r="E151" s="3016" t="s">
        <v>365</v>
      </c>
      <c r="F151" s="3017" t="s">
        <v>365</v>
      </c>
      <c r="G151" s="3018" t="s">
        <v>368</v>
      </c>
      <c r="H151" s="980">
        <v>0</v>
      </c>
      <c r="I151" s="980">
        <v>0</v>
      </c>
      <c r="J151" s="1252">
        <v>0</v>
      </c>
      <c r="K151" s="3104"/>
      <c r="L151" s="3104"/>
      <c r="M151" s="3104"/>
      <c r="N151" s="1253">
        <v>0</v>
      </c>
      <c r="O151" s="1540">
        <v>0</v>
      </c>
      <c r="P151" s="1541">
        <v>0</v>
      </c>
      <c r="Q151" s="1540">
        <v>0</v>
      </c>
      <c r="R151" s="2619">
        <v>0</v>
      </c>
      <c r="S151" s="1795">
        <v>0</v>
      </c>
      <c r="T151" s="2743">
        <f>R151+S151</f>
        <v>0</v>
      </c>
      <c r="U151" s="2361">
        <v>0</v>
      </c>
      <c r="V151" s="1541">
        <v>0</v>
      </c>
      <c r="W151" s="1541">
        <v>0</v>
      </c>
      <c r="X151" s="1542">
        <v>0</v>
      </c>
      <c r="Y151" s="1542">
        <v>0</v>
      </c>
      <c r="Z151" s="1262">
        <v>0</v>
      </c>
      <c r="AA151" s="1258">
        <v>0</v>
      </c>
      <c r="AB151" s="1539">
        <v>0</v>
      </c>
      <c r="AC151" s="3020" t="s">
        <v>2701</v>
      </c>
      <c r="AD151" s="3015" t="s">
        <v>1300</v>
      </c>
      <c r="AE151" s="3021" t="s">
        <v>1347</v>
      </c>
      <c r="AF151" s="3021" t="s">
        <v>1282</v>
      </c>
      <c r="AG151" s="3015" t="s">
        <v>1282</v>
      </c>
      <c r="AH151" s="1536">
        <v>7</v>
      </c>
      <c r="AI151" s="721" t="s">
        <v>1447</v>
      </c>
      <c r="AJ151" s="363"/>
      <c r="AK151" s="516">
        <f>H151-I151-T151-Y151-Z151-AA151-AB151</f>
        <v>0</v>
      </c>
      <c r="AL151" s="391">
        <f>T151-R151-S151</f>
        <v>0</v>
      </c>
      <c r="AM151" s="2816">
        <f>T151-N151-O151-P151-Q151</f>
        <v>0</v>
      </c>
      <c r="AN151" s="509">
        <f>Y151-U151-V151-W151-X151</f>
        <v>0</v>
      </c>
      <c r="AO151" s="2807"/>
      <c r="AP151" s="338"/>
      <c r="AQ151" s="923" t="s">
        <v>338</v>
      </c>
      <c r="AR151" s="248">
        <v>6</v>
      </c>
      <c r="AS151" s="248"/>
      <c r="AT151" s="884">
        <v>8</v>
      </c>
      <c r="AU151" s="1135"/>
      <c r="AV151" s="148"/>
      <c r="AW151" s="8"/>
      <c r="AX151" s="3020" t="s">
        <v>2701</v>
      </c>
      <c r="AY151" s="968" t="s">
        <v>2616</v>
      </c>
      <c r="AZ151" s="1757" t="s">
        <v>2452</v>
      </c>
      <c r="BA151" s="1757" t="s">
        <v>2452</v>
      </c>
      <c r="BB151" s="57" t="s">
        <v>1209</v>
      </c>
      <c r="BC151" s="57" t="s">
        <v>1209</v>
      </c>
      <c r="BD151" s="57" t="s">
        <v>1209</v>
      </c>
      <c r="BE151" s="765" t="s">
        <v>1209</v>
      </c>
      <c r="BF151" s="57" t="s">
        <v>1209</v>
      </c>
      <c r="BG151" s="66">
        <v>1</v>
      </c>
      <c r="BH151" s="66">
        <v>0</v>
      </c>
      <c r="BI151" s="460"/>
      <c r="BJ151" s="2"/>
      <c r="BK151" s="20">
        <v>0</v>
      </c>
      <c r="BL151" s="364">
        <v>0</v>
      </c>
      <c r="BM151" s="364"/>
      <c r="BN151" s="1500">
        <v>200</v>
      </c>
      <c r="BO151" s="2313">
        <v>200</v>
      </c>
      <c r="BP151" s="1579">
        <v>0</v>
      </c>
      <c r="BQ151" s="1614">
        <v>200</v>
      </c>
      <c r="BR151" s="1581">
        <v>0</v>
      </c>
      <c r="BS151" s="54">
        <f>BP151+BR151</f>
        <v>0</v>
      </c>
      <c r="BT151" s="1575"/>
      <c r="BU151" s="1443">
        <v>0</v>
      </c>
      <c r="BV151" s="1497">
        <v>0</v>
      </c>
      <c r="BW151" s="20">
        <v>0</v>
      </c>
      <c r="BX151" s="16"/>
      <c r="BY151" s="16">
        <v>0</v>
      </c>
      <c r="BZ151" s="16">
        <v>0</v>
      </c>
      <c r="CA151" s="16">
        <v>0</v>
      </c>
      <c r="CB151" s="16"/>
      <c r="CC151" s="16">
        <v>0</v>
      </c>
      <c r="CD151" s="20">
        <v>0</v>
      </c>
      <c r="CE151">
        <v>11</v>
      </c>
      <c r="CF151" s="253">
        <v>0</v>
      </c>
      <c r="CG151" s="253">
        <v>0</v>
      </c>
      <c r="CH151" s="266">
        <v>0</v>
      </c>
      <c r="CI151" s="266">
        <v>200</v>
      </c>
      <c r="CJ151" s="1194">
        <v>0</v>
      </c>
      <c r="CK151" s="1194">
        <v>0</v>
      </c>
      <c r="CL151" s="1209">
        <v>0</v>
      </c>
      <c r="CM151" s="990">
        <v>0</v>
      </c>
      <c r="CN151" s="3019">
        <v>0</v>
      </c>
      <c r="CO151" s="3019">
        <v>0</v>
      </c>
      <c r="CP151" s="3019">
        <v>0</v>
      </c>
      <c r="CQ151" s="990">
        <v>0</v>
      </c>
      <c r="CR151" s="3104"/>
      <c r="CS151" s="1209"/>
      <c r="CT151" s="2764"/>
    </row>
    <row r="152" spans="1:98" ht="30.75" hidden="1" thickBot="1" x14ac:dyDescent="0.3">
      <c r="A152" s="82" t="s">
        <v>370</v>
      </c>
      <c r="B152" s="146" t="s">
        <v>371</v>
      </c>
      <c r="C152" s="83">
        <v>2017</v>
      </c>
      <c r="D152" s="75" t="s">
        <v>1701</v>
      </c>
      <c r="E152" s="76" t="s">
        <v>26</v>
      </c>
      <c r="F152" s="84" t="s">
        <v>354</v>
      </c>
      <c r="G152" s="228" t="s">
        <v>372</v>
      </c>
      <c r="H152" s="25">
        <v>0</v>
      </c>
      <c r="I152" s="25">
        <v>0</v>
      </c>
      <c r="J152" s="823"/>
      <c r="K152" s="822">
        <v>0</v>
      </c>
      <c r="L152" s="2772">
        <v>0</v>
      </c>
      <c r="M152" s="2781"/>
      <c r="N152" s="374">
        <v>0</v>
      </c>
      <c r="O152" s="44">
        <v>0</v>
      </c>
      <c r="P152" s="375">
        <v>0</v>
      </c>
      <c r="Q152" s="44">
        <v>0</v>
      </c>
      <c r="R152" s="2732">
        <v>22</v>
      </c>
      <c r="S152" s="1168">
        <v>-22</v>
      </c>
      <c r="T152" s="2618">
        <f>R152+S152</f>
        <v>0</v>
      </c>
      <c r="U152" s="2671"/>
      <c r="V152" s="2671"/>
      <c r="W152" s="2671"/>
      <c r="X152" s="2671"/>
      <c r="Y152" s="26">
        <v>0</v>
      </c>
      <c r="Z152" s="378">
        <v>0</v>
      </c>
      <c r="AA152" s="1074">
        <v>0</v>
      </c>
      <c r="AB152" s="27">
        <v>0</v>
      </c>
      <c r="AC152" s="166" t="s">
        <v>2632</v>
      </c>
      <c r="AD152" s="75" t="s">
        <v>1300</v>
      </c>
      <c r="AE152" s="379" t="s">
        <v>1352</v>
      </c>
      <c r="AF152" s="74" t="s">
        <v>1282</v>
      </c>
      <c r="AG152" s="74" t="s">
        <v>1282</v>
      </c>
      <c r="AH152" s="76">
        <v>9</v>
      </c>
      <c r="AI152" s="721" t="s">
        <v>1447</v>
      </c>
      <c r="AJ152" s="363"/>
      <c r="AK152" s="516">
        <f>H152-I152-T152-Y152-Z152-AA152-AB152</f>
        <v>0</v>
      </c>
      <c r="AL152" s="391">
        <f>T152-R152-S152</f>
        <v>0</v>
      </c>
      <c r="AM152" s="509">
        <f>T152-N152-O152-P152-Q152</f>
        <v>0</v>
      </c>
      <c r="AN152" s="1140"/>
      <c r="AO152" s="1140"/>
      <c r="AP152" s="338"/>
      <c r="AQ152" s="923" t="s">
        <v>338</v>
      </c>
      <c r="AR152" s="248">
        <v>6</v>
      </c>
      <c r="AS152" s="248"/>
      <c r="AT152" s="2755">
        <v>7</v>
      </c>
      <c r="AU152" s="1135"/>
      <c r="AV152" s="148"/>
      <c r="AW152" s="8" t="s">
        <v>1795</v>
      </c>
      <c r="AX152" s="149"/>
      <c r="AY152" s="166" t="s">
        <v>2632</v>
      </c>
      <c r="AZ152" s="1757" t="s">
        <v>2453</v>
      </c>
      <c r="BA152" s="1757"/>
      <c r="BB152" s="1757" t="s">
        <v>2453</v>
      </c>
      <c r="BC152" s="57" t="s">
        <v>1209</v>
      </c>
      <c r="BD152" s="57" t="s">
        <v>1209</v>
      </c>
      <c r="BE152" s="57" t="s">
        <v>1209</v>
      </c>
      <c r="BF152" s="765" t="s">
        <v>1209</v>
      </c>
      <c r="BG152" s="57" t="s">
        <v>1209</v>
      </c>
      <c r="BH152" s="66">
        <v>1</v>
      </c>
      <c r="BI152" s="66">
        <v>0</v>
      </c>
      <c r="BJ152" s="460"/>
      <c r="BK152" s="2"/>
      <c r="BL152" s="20">
        <v>0</v>
      </c>
      <c r="BM152" s="364">
        <v>0</v>
      </c>
      <c r="BN152" s="364"/>
      <c r="BO152" s="1500">
        <v>22</v>
      </c>
      <c r="BP152" s="2313">
        <v>22</v>
      </c>
      <c r="BQ152" s="1579">
        <v>0</v>
      </c>
      <c r="BR152" s="1614">
        <v>22</v>
      </c>
      <c r="BS152" s="1581">
        <v>0</v>
      </c>
      <c r="BT152" s="54">
        <f>BQ152+BS152</f>
        <v>0</v>
      </c>
      <c r="BU152" s="1575"/>
      <c r="BV152" s="1443">
        <v>0</v>
      </c>
      <c r="BW152" s="1497">
        <v>0</v>
      </c>
      <c r="BX152" s="20">
        <v>0</v>
      </c>
      <c r="BY152" s="16"/>
      <c r="BZ152" s="16">
        <v>0</v>
      </c>
      <c r="CA152" s="16">
        <v>0</v>
      </c>
      <c r="CB152" s="16">
        <v>0</v>
      </c>
      <c r="CC152" s="16"/>
      <c r="CD152" s="16">
        <v>0</v>
      </c>
      <c r="CE152" s="20">
        <v>0</v>
      </c>
      <c r="CF152">
        <v>11</v>
      </c>
      <c r="CG152" s="253">
        <v>0</v>
      </c>
      <c r="CH152" s="253">
        <v>0</v>
      </c>
      <c r="CI152" s="33">
        <v>0</v>
      </c>
      <c r="CJ152" s="266">
        <v>22</v>
      </c>
      <c r="CK152" s="1552">
        <v>0</v>
      </c>
      <c r="CL152" s="1552">
        <v>0</v>
      </c>
      <c r="CM152" s="1209">
        <v>0</v>
      </c>
      <c r="CN152" s="1209"/>
      <c r="CO152" s="2765"/>
    </row>
    <row r="153" spans="1:98" ht="26.25" hidden="1" thickBot="1" x14ac:dyDescent="0.3">
      <c r="A153" s="1247" t="s">
        <v>373</v>
      </c>
      <c r="B153" s="1807" t="s">
        <v>374</v>
      </c>
      <c r="C153" s="1523">
        <v>2017</v>
      </c>
      <c r="D153" s="979" t="s">
        <v>1701</v>
      </c>
      <c r="E153" s="1536" t="s">
        <v>375</v>
      </c>
      <c r="F153" s="1591" t="s">
        <v>375</v>
      </c>
      <c r="G153" s="1774" t="s">
        <v>376</v>
      </c>
      <c r="H153" s="980">
        <v>20.57</v>
      </c>
      <c r="I153" s="980">
        <v>20.57</v>
      </c>
      <c r="J153" s="1252">
        <v>0</v>
      </c>
      <c r="K153" s="3104"/>
      <c r="L153" s="3104"/>
      <c r="M153" s="3104"/>
      <c r="N153" s="1253">
        <v>0</v>
      </c>
      <c r="O153" s="1540">
        <v>0</v>
      </c>
      <c r="P153" s="1541">
        <v>0</v>
      </c>
      <c r="Q153" s="1540">
        <v>0</v>
      </c>
      <c r="R153" s="2619">
        <v>179.43</v>
      </c>
      <c r="S153" s="1795">
        <v>-179.43</v>
      </c>
      <c r="T153" s="2743">
        <f>R153+S153</f>
        <v>0</v>
      </c>
      <c r="U153" s="2361">
        <v>0</v>
      </c>
      <c r="V153" s="1541">
        <v>0</v>
      </c>
      <c r="W153" s="1541">
        <v>0</v>
      </c>
      <c r="X153" s="1542">
        <v>0</v>
      </c>
      <c r="Y153" s="1542">
        <v>0</v>
      </c>
      <c r="Z153" s="1262">
        <v>0</v>
      </c>
      <c r="AA153" s="1258">
        <v>0</v>
      </c>
      <c r="AB153" s="1539">
        <v>0</v>
      </c>
      <c r="AC153" s="982" t="s">
        <v>2702</v>
      </c>
      <c r="AD153" s="979" t="s">
        <v>1329</v>
      </c>
      <c r="AE153" s="1590" t="s">
        <v>986</v>
      </c>
      <c r="AF153" s="1590" t="s">
        <v>1282</v>
      </c>
      <c r="AG153" s="1589" t="s">
        <v>1282</v>
      </c>
      <c r="AH153" s="1536">
        <v>10</v>
      </c>
      <c r="AI153" s="721" t="s">
        <v>2943</v>
      </c>
      <c r="AJ153" s="363"/>
      <c r="AK153" s="516">
        <f>H153-I153-T153-Y153-Z153-AA153-AB153</f>
        <v>0</v>
      </c>
      <c r="AL153" s="391">
        <f>T153-R153-S153</f>
        <v>0</v>
      </c>
      <c r="AM153" s="2816">
        <f>T153-N153-O153-P153-Q153</f>
        <v>0</v>
      </c>
      <c r="AN153" s="509">
        <f>Y153-U153-V153-W153-X153</f>
        <v>0</v>
      </c>
      <c r="AO153" s="2807"/>
      <c r="AP153" s="338"/>
      <c r="AQ153" s="923" t="s">
        <v>338</v>
      </c>
      <c r="AR153" s="248">
        <v>6</v>
      </c>
      <c r="AS153" s="248"/>
      <c r="AT153" s="884">
        <v>8</v>
      </c>
      <c r="AU153" s="1135"/>
      <c r="AV153" s="148"/>
      <c r="AW153" s="8" t="s">
        <v>1804</v>
      </c>
      <c r="AX153" s="982" t="s">
        <v>2703</v>
      </c>
      <c r="AY153" s="57" t="s">
        <v>1209</v>
      </c>
      <c r="AZ153" s="939" t="s">
        <v>2454</v>
      </c>
      <c r="BA153" s="939" t="s">
        <v>2454</v>
      </c>
      <c r="BB153" s="57" t="s">
        <v>1304</v>
      </c>
      <c r="BC153" s="57" t="s">
        <v>1304</v>
      </c>
      <c r="BD153" s="57" t="s">
        <v>1304</v>
      </c>
      <c r="BE153" s="765" t="s">
        <v>1304</v>
      </c>
      <c r="BF153" s="57" t="s">
        <v>1304</v>
      </c>
      <c r="BG153" s="66">
        <v>1</v>
      </c>
      <c r="BH153" s="66">
        <v>0</v>
      </c>
      <c r="BI153" s="460"/>
      <c r="BJ153" s="2"/>
      <c r="BK153" s="20">
        <v>20.57</v>
      </c>
      <c r="BL153" s="364">
        <v>0</v>
      </c>
      <c r="BM153" s="364"/>
      <c r="BN153" s="1500">
        <v>179.43</v>
      </c>
      <c r="BO153" s="2313">
        <v>179.43</v>
      </c>
      <c r="BP153" s="1579">
        <v>0</v>
      </c>
      <c r="BQ153" s="1614">
        <v>179.43</v>
      </c>
      <c r="BR153" s="1581">
        <v>0</v>
      </c>
      <c r="BS153" s="54">
        <f>BP153+BR153</f>
        <v>0</v>
      </c>
      <c r="BT153" s="1575"/>
      <c r="BU153" s="1443">
        <v>0</v>
      </c>
      <c r="BV153" s="1497">
        <v>0</v>
      </c>
      <c r="BW153" s="20">
        <v>0</v>
      </c>
      <c r="BX153" s="16"/>
      <c r="BY153" s="16">
        <v>0</v>
      </c>
      <c r="BZ153" s="16">
        <v>0</v>
      </c>
      <c r="CA153" s="16">
        <v>0</v>
      </c>
      <c r="CB153" s="16"/>
      <c r="CC153" s="16">
        <v>0</v>
      </c>
      <c r="CD153" s="20">
        <v>0</v>
      </c>
      <c r="CE153">
        <v>11</v>
      </c>
      <c r="CF153" s="253">
        <v>0</v>
      </c>
      <c r="CG153" s="253">
        <v>0</v>
      </c>
      <c r="CH153" s="266">
        <v>0</v>
      </c>
      <c r="CI153" s="266">
        <v>179.43</v>
      </c>
      <c r="CJ153" s="321">
        <v>0</v>
      </c>
      <c r="CK153" s="321">
        <v>0</v>
      </c>
      <c r="CL153" s="1209">
        <v>0</v>
      </c>
      <c r="CM153" s="990">
        <v>0</v>
      </c>
      <c r="CN153" s="3019">
        <v>0</v>
      </c>
      <c r="CO153" s="3019">
        <v>0</v>
      </c>
      <c r="CP153" s="3019">
        <v>0</v>
      </c>
      <c r="CQ153" s="990">
        <v>0</v>
      </c>
      <c r="CR153" s="3104"/>
      <c r="CS153" s="1209"/>
      <c r="CT153" s="2764"/>
    </row>
    <row r="154" spans="1:98" s="1013" customFormat="1" ht="30.75" hidden="1" thickBot="1" x14ac:dyDescent="0.3">
      <c r="A154" s="82" t="s">
        <v>404</v>
      </c>
      <c r="B154" s="144" t="s">
        <v>405</v>
      </c>
      <c r="C154" s="75">
        <v>2018</v>
      </c>
      <c r="D154" s="75" t="s">
        <v>284</v>
      </c>
      <c r="E154" s="76" t="s">
        <v>26</v>
      </c>
      <c r="F154" s="76" t="s">
        <v>406</v>
      </c>
      <c r="G154" s="228" t="s">
        <v>407</v>
      </c>
      <c r="H154" s="25">
        <v>150</v>
      </c>
      <c r="I154" s="2533">
        <f t="shared" si="13"/>
        <v>0</v>
      </c>
      <c r="J154" s="2643">
        <f t="shared" si="10"/>
        <v>150</v>
      </c>
      <c r="K154" s="2643">
        <f t="shared" si="11"/>
        <v>150</v>
      </c>
      <c r="L154" s="2643">
        <f t="shared" si="12"/>
        <v>0</v>
      </c>
      <c r="M154" s="1915"/>
      <c r="N154" s="2371">
        <v>0</v>
      </c>
      <c r="O154" s="593">
        <v>0</v>
      </c>
      <c r="P154" s="1475">
        <v>0</v>
      </c>
      <c r="Q154" s="530">
        <v>0</v>
      </c>
      <c r="R154" s="2335">
        <v>0</v>
      </c>
      <c r="S154" s="1450">
        <v>0</v>
      </c>
      <c r="T154" s="1463">
        <v>0</v>
      </c>
      <c r="U154" s="2337"/>
      <c r="V154" s="2337"/>
      <c r="W154" s="2337"/>
      <c r="X154" s="2337"/>
      <c r="Y154" s="26">
        <v>0</v>
      </c>
      <c r="Z154" s="26">
        <v>0</v>
      </c>
      <c r="AA154" s="1074">
        <v>0</v>
      </c>
      <c r="AB154" s="280">
        <v>0</v>
      </c>
      <c r="AC154" s="143" t="s">
        <v>1209</v>
      </c>
      <c r="AD154" s="75" t="s">
        <v>1329</v>
      </c>
      <c r="AE154" s="379" t="s">
        <v>847</v>
      </c>
      <c r="AF154" s="74" t="s">
        <v>1283</v>
      </c>
      <c r="AG154" s="74" t="s">
        <v>1283</v>
      </c>
      <c r="AH154" s="76">
        <v>6</v>
      </c>
      <c r="AI154" s="722" t="s">
        <v>1447</v>
      </c>
      <c r="AJ154" s="2416">
        <v>0</v>
      </c>
      <c r="AK154" s="516">
        <v>0</v>
      </c>
      <c r="AL154" s="452">
        <v>0</v>
      </c>
      <c r="AM154" s="513">
        <v>0</v>
      </c>
      <c r="AN154" s="1142"/>
      <c r="AO154" s="1142"/>
      <c r="AP154" s="496"/>
      <c r="AQ154" s="662" t="s">
        <v>338</v>
      </c>
      <c r="AR154" s="175">
        <v>6</v>
      </c>
      <c r="AS154" s="175"/>
      <c r="AT154" s="662">
        <v>3</v>
      </c>
      <c r="AU154" s="1494"/>
      <c r="AV154" s="435"/>
      <c r="AW154" s="75" t="s">
        <v>1797</v>
      </c>
      <c r="AX154" s="143"/>
      <c r="AY154" s="143"/>
      <c r="AZ154" s="143" t="s">
        <v>1209</v>
      </c>
      <c r="BA154" s="143"/>
      <c r="BB154" s="143" t="s">
        <v>1209</v>
      </c>
      <c r="BC154" s="143" t="s">
        <v>1209</v>
      </c>
      <c r="BD154" s="143" t="s">
        <v>1209</v>
      </c>
      <c r="BE154" s="143" t="s">
        <v>1209</v>
      </c>
      <c r="BF154" s="773" t="s">
        <v>1209</v>
      </c>
      <c r="BG154" s="143" t="s">
        <v>1209</v>
      </c>
      <c r="BH154" s="436">
        <v>1</v>
      </c>
      <c r="BI154" s="436">
        <v>0</v>
      </c>
      <c r="BJ154" s="653"/>
      <c r="BK154" s="433"/>
      <c r="BL154" s="25">
        <v>0</v>
      </c>
      <c r="BM154" s="1438">
        <v>150</v>
      </c>
      <c r="BN154" s="2105">
        <v>150</v>
      </c>
      <c r="BO154" s="2105">
        <v>150</v>
      </c>
      <c r="BP154" s="2314">
        <v>0</v>
      </c>
      <c r="BQ154" s="1482">
        <v>150</v>
      </c>
      <c r="BR154" s="27">
        <v>0</v>
      </c>
      <c r="BS154" s="172">
        <v>0</v>
      </c>
      <c r="BT154" s="54">
        <v>150</v>
      </c>
      <c r="BU154" s="44"/>
      <c r="BV154" s="1482">
        <v>150</v>
      </c>
      <c r="BW154" s="866">
        <v>0</v>
      </c>
      <c r="BX154" s="25">
        <v>150</v>
      </c>
      <c r="BY154" s="655"/>
      <c r="BZ154" s="1195">
        <v>150</v>
      </c>
      <c r="CA154" s="1119">
        <v>150</v>
      </c>
      <c r="CB154" s="655">
        <v>150</v>
      </c>
      <c r="CC154" s="655"/>
      <c r="CD154" s="655">
        <v>150</v>
      </c>
      <c r="CE154" s="25">
        <v>0</v>
      </c>
      <c r="CG154" s="374">
        <v>0</v>
      </c>
      <c r="CH154" s="374">
        <v>150</v>
      </c>
      <c r="CI154" s="1037">
        <v>0</v>
      </c>
      <c r="CJ154" s="1037">
        <v>0</v>
      </c>
    </row>
    <row r="155" spans="1:98" ht="30.75" hidden="1" thickBot="1" x14ac:dyDescent="0.3">
      <c r="A155" s="1247" t="s">
        <v>412</v>
      </c>
      <c r="B155" s="1582" t="s">
        <v>413</v>
      </c>
      <c r="C155" s="1523">
        <v>2018</v>
      </c>
      <c r="D155" s="1352" t="s">
        <v>101</v>
      </c>
      <c r="E155" s="1791" t="s">
        <v>402</v>
      </c>
      <c r="F155" s="1790" t="s">
        <v>1805</v>
      </c>
      <c r="G155" s="1792" t="s">
        <v>414</v>
      </c>
      <c r="H155" s="1564">
        <v>1628.52144</v>
      </c>
      <c r="I155" s="2533">
        <f t="shared" si="13"/>
        <v>0</v>
      </c>
      <c r="J155" s="2643">
        <f t="shared" si="10"/>
        <v>1628.52144</v>
      </c>
      <c r="K155" s="2643">
        <f t="shared" si="11"/>
        <v>1628.52144</v>
      </c>
      <c r="L155" s="2643">
        <f t="shared" si="12"/>
        <v>0</v>
      </c>
      <c r="M155" s="1759"/>
      <c r="N155" s="2361">
        <v>0</v>
      </c>
      <c r="O155" s="1540">
        <v>0</v>
      </c>
      <c r="P155" s="1541">
        <v>0</v>
      </c>
      <c r="Q155" s="1542">
        <v>0</v>
      </c>
      <c r="R155" s="2408">
        <v>3.7019999999999982</v>
      </c>
      <c r="S155" s="2409">
        <v>-3.7019999999999982</v>
      </c>
      <c r="T155" s="1545">
        <v>0</v>
      </c>
      <c r="U155" s="2341"/>
      <c r="V155" s="2341"/>
      <c r="W155" s="2341"/>
      <c r="X155" s="2341"/>
      <c r="Y155" s="1542">
        <v>0</v>
      </c>
      <c r="Z155" s="1542">
        <v>0</v>
      </c>
      <c r="AA155" s="1258">
        <v>0</v>
      </c>
      <c r="AB155" s="1539">
        <v>0</v>
      </c>
      <c r="AC155" s="982" t="s">
        <v>2549</v>
      </c>
      <c r="AD155" s="979" t="s">
        <v>1329</v>
      </c>
      <c r="AE155" s="1590" t="s">
        <v>355</v>
      </c>
      <c r="AF155" s="1589" t="s">
        <v>1283</v>
      </c>
      <c r="AG155" s="1589" t="s">
        <v>1283</v>
      </c>
      <c r="AH155" s="70">
        <v>8</v>
      </c>
      <c r="AI155" s="721" t="s">
        <v>1447</v>
      </c>
      <c r="AJ155" s="2416">
        <v>3.7019999999999982</v>
      </c>
      <c r="AK155" s="516">
        <v>0</v>
      </c>
      <c r="AL155" s="351">
        <v>0</v>
      </c>
      <c r="AM155" s="509">
        <v>0</v>
      </c>
      <c r="AN155" s="1140"/>
      <c r="AO155" s="1140"/>
      <c r="AP155" s="338"/>
      <c r="AQ155" s="923" t="s">
        <v>338</v>
      </c>
      <c r="AR155" s="248">
        <v>6</v>
      </c>
      <c r="AS155" s="248"/>
      <c r="AT155" s="674">
        <v>6</v>
      </c>
      <c r="AU155" s="1296"/>
      <c r="AV155" s="148"/>
      <c r="AW155" s="8" t="s">
        <v>1798</v>
      </c>
      <c r="AX155" s="57"/>
      <c r="AY155" s="57"/>
      <c r="AZ155" s="982" t="s">
        <v>2549</v>
      </c>
      <c r="BA155" s="982"/>
      <c r="BB155" s="939" t="s">
        <v>2436</v>
      </c>
      <c r="BC155" s="57" t="s">
        <v>1209</v>
      </c>
      <c r="BD155" s="57" t="s">
        <v>1209</v>
      </c>
      <c r="BE155" s="57" t="s">
        <v>1209</v>
      </c>
      <c r="BF155" s="765" t="s">
        <v>1209</v>
      </c>
      <c r="BG155" s="57" t="s">
        <v>1209</v>
      </c>
      <c r="BH155" s="66">
        <v>1</v>
      </c>
      <c r="BI155" s="66">
        <v>0</v>
      </c>
      <c r="BJ155" s="460"/>
      <c r="BK155" s="2"/>
      <c r="BL155" s="1564">
        <v>0</v>
      </c>
      <c r="BM155" s="1759">
        <v>1628.52144</v>
      </c>
      <c r="BN155" s="2112">
        <v>1632.22344</v>
      </c>
      <c r="BO155" s="1500">
        <v>1632.22344</v>
      </c>
      <c r="BP155" s="2313">
        <v>1632.22344</v>
      </c>
      <c r="BQ155" s="1579">
        <v>0</v>
      </c>
      <c r="BR155" s="1614">
        <v>1632.22344</v>
      </c>
      <c r="BS155" s="1581">
        <v>0</v>
      </c>
      <c r="BT155" s="54">
        <v>0</v>
      </c>
      <c r="BU155" s="1575"/>
      <c r="BV155" s="1443">
        <v>0</v>
      </c>
      <c r="BW155" s="1497">
        <v>0</v>
      </c>
      <c r="BX155" s="20">
        <v>0</v>
      </c>
      <c r="BY155" s="321"/>
      <c r="BZ155" s="321">
        <v>0</v>
      </c>
      <c r="CA155" s="321">
        <v>0</v>
      </c>
      <c r="CB155" s="321">
        <v>0</v>
      </c>
      <c r="CC155" s="321"/>
      <c r="CD155" s="321">
        <v>0</v>
      </c>
      <c r="CE155" s="4">
        <v>0</v>
      </c>
      <c r="CF155">
        <v>11</v>
      </c>
      <c r="CG155" s="253">
        <v>0</v>
      </c>
      <c r="CH155" s="253">
        <v>0</v>
      </c>
      <c r="CI155" s="266">
        <v>0</v>
      </c>
      <c r="CJ155" s="266">
        <v>1632.22344</v>
      </c>
    </row>
    <row r="156" spans="1:98" s="1013" customFormat="1" ht="26.25" hidden="1" thickBot="1" x14ac:dyDescent="0.3">
      <c r="A156" s="82" t="s">
        <v>417</v>
      </c>
      <c r="B156" s="144" t="s">
        <v>418</v>
      </c>
      <c r="C156" s="75">
        <v>2018</v>
      </c>
      <c r="D156" s="75" t="s">
        <v>1268</v>
      </c>
      <c r="E156" s="76" t="s">
        <v>347</v>
      </c>
      <c r="F156" s="84" t="s">
        <v>1305</v>
      </c>
      <c r="G156" s="228" t="s">
        <v>419</v>
      </c>
      <c r="H156" s="25">
        <v>199.892</v>
      </c>
      <c r="I156" s="2533">
        <f t="shared" si="13"/>
        <v>0</v>
      </c>
      <c r="J156" s="2643">
        <f t="shared" si="10"/>
        <v>199.892</v>
      </c>
      <c r="K156" s="2643">
        <f t="shared" si="11"/>
        <v>199.892</v>
      </c>
      <c r="L156" s="2643">
        <f t="shared" si="12"/>
        <v>0</v>
      </c>
      <c r="M156" s="1438"/>
      <c r="N156" s="542">
        <v>0</v>
      </c>
      <c r="O156" s="44">
        <v>0</v>
      </c>
      <c r="P156" s="375">
        <v>0</v>
      </c>
      <c r="Q156" s="26">
        <v>0</v>
      </c>
      <c r="R156" s="2350">
        <v>0</v>
      </c>
      <c r="S156" s="1456">
        <v>0</v>
      </c>
      <c r="T156" s="1463">
        <v>0</v>
      </c>
      <c r="U156" s="2337"/>
      <c r="V156" s="2337"/>
      <c r="W156" s="2337"/>
      <c r="X156" s="2337"/>
      <c r="Y156" s="378">
        <v>0</v>
      </c>
      <c r="Z156" s="378">
        <v>0</v>
      </c>
      <c r="AA156" s="1074">
        <v>0</v>
      </c>
      <c r="AB156" s="27">
        <v>0</v>
      </c>
      <c r="AC156" s="143" t="s">
        <v>1209</v>
      </c>
      <c r="AD156" s="75" t="s">
        <v>1329</v>
      </c>
      <c r="AE156" s="379" t="s">
        <v>846</v>
      </c>
      <c r="AF156" s="74" t="s">
        <v>1283</v>
      </c>
      <c r="AG156" s="74" t="s">
        <v>1283</v>
      </c>
      <c r="AH156" s="76">
        <v>12</v>
      </c>
      <c r="AI156" s="722" t="s">
        <v>1447</v>
      </c>
      <c r="AJ156" s="2416">
        <v>0.10800000000000409</v>
      </c>
      <c r="AK156" s="516">
        <v>0</v>
      </c>
      <c r="AL156" s="452">
        <v>0</v>
      </c>
      <c r="AM156" s="513">
        <v>0</v>
      </c>
      <c r="AN156" s="1142"/>
      <c r="AO156" s="1142"/>
      <c r="AP156" s="496"/>
      <c r="AQ156" s="662" t="s">
        <v>338</v>
      </c>
      <c r="AR156" s="175">
        <v>6</v>
      </c>
      <c r="AS156" s="175"/>
      <c r="AT156" s="662">
        <v>5</v>
      </c>
      <c r="AU156" s="1494"/>
      <c r="AV156" s="435"/>
      <c r="AW156" s="75" t="s">
        <v>1799</v>
      </c>
      <c r="AX156" s="143"/>
      <c r="AY156" s="143"/>
      <c r="AZ156" s="143" t="s">
        <v>1209</v>
      </c>
      <c r="BA156" s="143"/>
      <c r="BB156" s="143" t="s">
        <v>1209</v>
      </c>
      <c r="BC156" s="143" t="s">
        <v>1209</v>
      </c>
      <c r="BD156" s="143" t="s">
        <v>1209</v>
      </c>
      <c r="BE156" s="143"/>
      <c r="BF156" s="773" t="s">
        <v>1209</v>
      </c>
      <c r="BG156" s="143" t="s">
        <v>1209</v>
      </c>
      <c r="BH156" s="436">
        <v>1</v>
      </c>
      <c r="BI156" s="436">
        <v>0</v>
      </c>
      <c r="BJ156" s="497"/>
      <c r="BK156" s="433"/>
      <c r="BL156" s="25">
        <v>0</v>
      </c>
      <c r="BM156" s="1438">
        <v>199.892</v>
      </c>
      <c r="BN156" s="2105">
        <v>200</v>
      </c>
      <c r="BO156" s="2105">
        <v>200</v>
      </c>
      <c r="BP156" s="2314">
        <v>0.10800000000000409</v>
      </c>
      <c r="BQ156" s="1482">
        <v>199.892</v>
      </c>
      <c r="BR156" s="27">
        <v>0</v>
      </c>
      <c r="BS156" s="172">
        <v>0</v>
      </c>
      <c r="BT156" s="54">
        <v>199.892</v>
      </c>
      <c r="BU156" s="44"/>
      <c r="BV156" s="1482">
        <v>199.892</v>
      </c>
      <c r="BW156" s="866">
        <v>0</v>
      </c>
      <c r="BX156" s="25">
        <v>199.892</v>
      </c>
      <c r="BY156" s="1119">
        <v>199.892</v>
      </c>
      <c r="BZ156" s="655">
        <v>0</v>
      </c>
      <c r="CA156" s="655">
        <v>0</v>
      </c>
      <c r="CB156" s="655">
        <v>0</v>
      </c>
      <c r="CC156" s="655"/>
      <c r="CD156" s="655">
        <v>0</v>
      </c>
      <c r="CE156" s="25">
        <v>0</v>
      </c>
      <c r="CF156" s="1013">
        <v>9</v>
      </c>
      <c r="CG156" s="374">
        <v>0</v>
      </c>
      <c r="CH156" s="374">
        <v>0</v>
      </c>
      <c r="CI156" s="1037">
        <v>200</v>
      </c>
      <c r="CJ156" s="1037">
        <v>0</v>
      </c>
    </row>
    <row r="157" spans="1:98" ht="26.25" hidden="1" thickBot="1" x14ac:dyDescent="0.3">
      <c r="A157" s="82" t="s">
        <v>420</v>
      </c>
      <c r="B157" s="144" t="s">
        <v>421</v>
      </c>
      <c r="C157" s="75">
        <v>2018</v>
      </c>
      <c r="D157" s="75" t="s">
        <v>1268</v>
      </c>
      <c r="E157" s="76" t="s">
        <v>422</v>
      </c>
      <c r="F157" s="84" t="s">
        <v>1310</v>
      </c>
      <c r="G157" s="228" t="s">
        <v>423</v>
      </c>
      <c r="H157" s="25">
        <v>6316.7610000000004</v>
      </c>
      <c r="I157" s="25">
        <v>6316.7610000000004</v>
      </c>
      <c r="J157" s="823"/>
      <c r="K157" s="822">
        <v>0</v>
      </c>
      <c r="L157" s="2772">
        <v>0</v>
      </c>
      <c r="M157" s="2781"/>
      <c r="N157" s="374">
        <v>0</v>
      </c>
      <c r="O157" s="44">
        <v>0</v>
      </c>
      <c r="P157" s="375">
        <v>0</v>
      </c>
      <c r="Q157" s="44">
        <v>0</v>
      </c>
      <c r="R157" s="2732">
        <v>38.518290000000491</v>
      </c>
      <c r="S157" s="1168">
        <v>-38.51829</v>
      </c>
      <c r="T157" s="2618">
        <f>R157+S157</f>
        <v>4.9027448767446913E-13</v>
      </c>
      <c r="U157" s="2671"/>
      <c r="V157" s="2671"/>
      <c r="W157" s="2671"/>
      <c r="X157" s="2671"/>
      <c r="Y157" s="378">
        <v>0</v>
      </c>
      <c r="Z157" s="378">
        <v>0</v>
      </c>
      <c r="AA157" s="1074">
        <v>0</v>
      </c>
      <c r="AB157" s="27">
        <v>0</v>
      </c>
      <c r="AC157" s="166" t="s">
        <v>1209</v>
      </c>
      <c r="AD157" s="75" t="s">
        <v>1329</v>
      </c>
      <c r="AE157" s="379" t="s">
        <v>1352</v>
      </c>
      <c r="AF157" s="74" t="s">
        <v>1283</v>
      </c>
      <c r="AG157" s="1764" t="s">
        <v>1283</v>
      </c>
      <c r="AH157" s="76">
        <v>12</v>
      </c>
      <c r="AI157" s="721" t="s">
        <v>1447</v>
      </c>
      <c r="AJ157" s="363"/>
      <c r="AK157" s="516">
        <f>H157-I157-T157-Y157-Z157-AA157-AB157</f>
        <v>-4.9027448767446913E-13</v>
      </c>
      <c r="AL157" s="391">
        <f>T157-R157-S157</f>
        <v>0</v>
      </c>
      <c r="AM157" s="509">
        <f>T157-N157-O157-P157-Q157</f>
        <v>4.9027448767446913E-13</v>
      </c>
      <c r="AN157" s="1140"/>
      <c r="AO157" s="1140"/>
      <c r="AP157" s="338"/>
      <c r="AQ157" s="923" t="s">
        <v>338</v>
      </c>
      <c r="AR157" s="248">
        <v>6</v>
      </c>
      <c r="AS157" s="248"/>
      <c r="AT157" s="2755">
        <v>7</v>
      </c>
      <c r="AU157" s="1135"/>
      <c r="AV157" s="148"/>
      <c r="AW157" s="8" t="s">
        <v>2659</v>
      </c>
      <c r="AX157" s="149"/>
      <c r="AY157" s="166" t="s">
        <v>1209</v>
      </c>
      <c r="AZ157" s="1757" t="s">
        <v>2550</v>
      </c>
      <c r="BA157" s="1757"/>
      <c r="BB157" s="1757" t="s">
        <v>2437</v>
      </c>
      <c r="BC157" s="57" t="s">
        <v>2191</v>
      </c>
      <c r="BD157" s="57" t="s">
        <v>1209</v>
      </c>
      <c r="BE157" s="568" t="s">
        <v>921</v>
      </c>
      <c r="BF157" s="765" t="s">
        <v>1209</v>
      </c>
      <c r="BG157" s="57" t="s">
        <v>1209</v>
      </c>
      <c r="BH157" s="66">
        <v>0</v>
      </c>
      <c r="BI157" s="66">
        <v>1</v>
      </c>
      <c r="BJ157" s="460"/>
      <c r="BK157" s="2"/>
      <c r="BL157" s="20">
        <v>0</v>
      </c>
      <c r="BM157" s="364">
        <f>5927.21922+351.02349</f>
        <v>6278.2427099999995</v>
      </c>
      <c r="BN157" s="364"/>
      <c r="BO157" s="1500">
        <v>6316.7610000000004</v>
      </c>
      <c r="BP157" s="2313">
        <v>389.54178000000047</v>
      </c>
      <c r="BQ157" s="1579">
        <v>0</v>
      </c>
      <c r="BR157" s="1614">
        <v>6316.7610000000004</v>
      </c>
      <c r="BS157" s="1581">
        <v>5927.21922</v>
      </c>
      <c r="BT157" s="54">
        <f>BQ157+BS157</f>
        <v>5927.21922</v>
      </c>
      <c r="BU157" s="1575"/>
      <c r="BV157" s="1443">
        <v>0</v>
      </c>
      <c r="BW157" s="1497">
        <v>0</v>
      </c>
      <c r="BX157" s="1193">
        <v>0</v>
      </c>
      <c r="BY157" s="1038"/>
      <c r="BZ157" s="16">
        <v>0</v>
      </c>
      <c r="CA157" s="16">
        <v>0</v>
      </c>
      <c r="CB157" s="970">
        <v>0</v>
      </c>
      <c r="CC157" s="970"/>
      <c r="CD157" s="16">
        <v>0</v>
      </c>
      <c r="CE157" s="20">
        <v>0</v>
      </c>
      <c r="CF157">
        <v>11</v>
      </c>
      <c r="CG157" s="253">
        <v>0</v>
      </c>
      <c r="CH157" s="253">
        <v>0</v>
      </c>
      <c r="CI157" s="266">
        <v>0</v>
      </c>
      <c r="CJ157" s="266">
        <v>6316.7610000000004</v>
      </c>
      <c r="CK157" s="1552">
        <v>0</v>
      </c>
      <c r="CL157" s="1552">
        <v>0</v>
      </c>
      <c r="CM157" s="1209">
        <v>0</v>
      </c>
      <c r="CN157" s="1209"/>
      <c r="CO157" s="2765"/>
    </row>
    <row r="158" spans="1:98" s="985" customFormat="1" ht="45.75" hidden="1" thickBot="1" x14ac:dyDescent="0.3">
      <c r="A158" s="1806" t="s">
        <v>429</v>
      </c>
      <c r="B158" s="1807" t="s">
        <v>1312</v>
      </c>
      <c r="C158" s="1523">
        <v>2019</v>
      </c>
      <c r="D158" s="1523" t="s">
        <v>1265</v>
      </c>
      <c r="E158" s="1791" t="s">
        <v>365</v>
      </c>
      <c r="F158" s="1790" t="s">
        <v>365</v>
      </c>
      <c r="G158" s="1808" t="s">
        <v>430</v>
      </c>
      <c r="H158" s="1564">
        <v>1111.50821</v>
      </c>
      <c r="I158" s="2533">
        <f t="shared" si="13"/>
        <v>0</v>
      </c>
      <c r="J158" s="2643">
        <f t="shared" si="10"/>
        <v>1111.50821</v>
      </c>
      <c r="K158" s="2643">
        <f t="shared" si="11"/>
        <v>1111.50821</v>
      </c>
      <c r="L158" s="2643">
        <f t="shared" si="12"/>
        <v>0</v>
      </c>
      <c r="M158" s="1759"/>
      <c r="N158" s="2372">
        <v>0</v>
      </c>
      <c r="O158" s="1758">
        <v>0</v>
      </c>
      <c r="P158" s="1794">
        <v>0</v>
      </c>
      <c r="Q158" s="1793">
        <v>0</v>
      </c>
      <c r="R158" s="2351">
        <v>6.8503299999999996</v>
      </c>
      <c r="S158" s="1809">
        <v>-6.8503299999998699</v>
      </c>
      <c r="T158" s="1545">
        <v>1.2967404927621828E-13</v>
      </c>
      <c r="U158" s="2341"/>
      <c r="V158" s="2341"/>
      <c r="W158" s="2341"/>
      <c r="X158" s="2341"/>
      <c r="Y158" s="1810">
        <v>0</v>
      </c>
      <c r="Z158" s="1810">
        <v>0</v>
      </c>
      <c r="AA158" s="1619">
        <v>0</v>
      </c>
      <c r="AB158" s="1619">
        <v>0</v>
      </c>
      <c r="AC158" s="1523" t="s">
        <v>2438</v>
      </c>
      <c r="AD158" s="570" t="s">
        <v>1329</v>
      </c>
      <c r="AE158" s="1811" t="s">
        <v>355</v>
      </c>
      <c r="AF158" s="1812" t="s">
        <v>1283</v>
      </c>
      <c r="AG158" s="1812" t="s">
        <v>1283</v>
      </c>
      <c r="AH158" s="1791">
        <v>7</v>
      </c>
      <c r="AI158" s="2095" t="s">
        <v>1447</v>
      </c>
      <c r="AJ158" s="2416">
        <v>6.8503299999999854</v>
      </c>
      <c r="AK158" s="516">
        <v>-1.2967404927621828E-13</v>
      </c>
      <c r="AL158" s="1320">
        <v>0</v>
      </c>
      <c r="AM158" s="512">
        <v>1.2967404927621828E-13</v>
      </c>
      <c r="AN158" s="1171"/>
      <c r="AO158" s="1171"/>
      <c r="AP158" s="1177"/>
      <c r="AQ158" s="674" t="s">
        <v>338</v>
      </c>
      <c r="AR158" s="367">
        <v>6</v>
      </c>
      <c r="AS158" s="367">
        <v>1</v>
      </c>
      <c r="AT158" s="674">
        <v>6</v>
      </c>
      <c r="AU158" s="1966"/>
      <c r="AV158" s="1559"/>
      <c r="AW158" s="1560" t="s">
        <v>1800</v>
      </c>
      <c r="AX158" s="1523"/>
      <c r="AY158" s="1523"/>
      <c r="AZ158" s="1523" t="s">
        <v>2438</v>
      </c>
      <c r="BA158" s="1523"/>
      <c r="BB158" s="1523" t="s">
        <v>2438</v>
      </c>
      <c r="BC158" s="1560" t="s">
        <v>1209</v>
      </c>
      <c r="BD158" s="1560" t="s">
        <v>1209</v>
      </c>
      <c r="BE158" s="1560" t="s">
        <v>1209</v>
      </c>
      <c r="BF158" s="2211" t="s">
        <v>1209</v>
      </c>
      <c r="BG158" s="757" t="s">
        <v>1209</v>
      </c>
      <c r="BH158" s="1562">
        <v>1</v>
      </c>
      <c r="BI158" s="1562">
        <v>0</v>
      </c>
      <c r="BJ158" s="983"/>
      <c r="BK158" s="454"/>
      <c r="BL158" s="1564">
        <v>0</v>
      </c>
      <c r="BM158" s="1759">
        <v>1111.50821</v>
      </c>
      <c r="BN158" s="2210">
        <v>1118.3585399999999</v>
      </c>
      <c r="BO158" s="2210">
        <v>1118.3585399999999</v>
      </c>
      <c r="BP158" s="2315">
        <v>6.8503299999999854</v>
      </c>
      <c r="BQ158" s="1705">
        <v>1111.50821</v>
      </c>
      <c r="BR158" s="1619">
        <v>6.8503299999999996</v>
      </c>
      <c r="BS158" s="2134">
        <v>0</v>
      </c>
      <c r="BT158" s="54">
        <v>1111.50821</v>
      </c>
      <c r="BU158" s="1758"/>
      <c r="BV158" s="1705">
        <v>1111.50821</v>
      </c>
      <c r="BW158" s="2212">
        <v>366.26342</v>
      </c>
      <c r="BX158" s="1564">
        <v>745.24479000000008</v>
      </c>
      <c r="BY158" s="2213">
        <v>721.24579000000006</v>
      </c>
      <c r="BZ158" s="2214">
        <v>23.998999999999999</v>
      </c>
      <c r="CA158" s="2214">
        <v>0</v>
      </c>
      <c r="CB158" s="2215">
        <v>0</v>
      </c>
      <c r="CC158" s="2215"/>
      <c r="CD158" s="2215">
        <v>0</v>
      </c>
      <c r="CE158" s="1998">
        <v>0</v>
      </c>
      <c r="CF158" s="985">
        <v>10</v>
      </c>
      <c r="CG158" s="2216">
        <v>0</v>
      </c>
      <c r="CH158" s="2216">
        <v>0</v>
      </c>
      <c r="CI158" s="2217">
        <v>745.24479000000008</v>
      </c>
      <c r="CJ158" s="2217">
        <v>373.11374999999987</v>
      </c>
    </row>
    <row r="159" spans="1:98" ht="26.25" hidden="1" thickBot="1" x14ac:dyDescent="0.3">
      <c r="A159" s="1247" t="s">
        <v>433</v>
      </c>
      <c r="B159" s="1248" t="s">
        <v>1314</v>
      </c>
      <c r="C159" s="979">
        <v>2019</v>
      </c>
      <c r="D159" s="979" t="s">
        <v>1265</v>
      </c>
      <c r="E159" s="1536" t="s">
        <v>415</v>
      </c>
      <c r="F159" s="1591" t="s">
        <v>415</v>
      </c>
      <c r="G159" s="1774" t="s">
        <v>434</v>
      </c>
      <c r="H159" s="980">
        <v>894.50161000000003</v>
      </c>
      <c r="I159" s="2533">
        <f t="shared" si="13"/>
        <v>0</v>
      </c>
      <c r="J159" s="2643">
        <f t="shared" si="10"/>
        <v>894.50161000000003</v>
      </c>
      <c r="K159" s="2643">
        <f t="shared" si="11"/>
        <v>894.50161000000003</v>
      </c>
      <c r="L159" s="2643">
        <f t="shared" si="12"/>
        <v>0</v>
      </c>
      <c r="M159" s="1759"/>
      <c r="N159" s="2361">
        <v>0</v>
      </c>
      <c r="O159" s="1540">
        <v>0</v>
      </c>
      <c r="P159" s="1541">
        <v>0</v>
      </c>
      <c r="Q159" s="1542">
        <v>0</v>
      </c>
      <c r="R159" s="2408">
        <v>5.883389999999963</v>
      </c>
      <c r="S159" s="2409">
        <v>-5.883389999999963</v>
      </c>
      <c r="T159" s="1545">
        <v>0</v>
      </c>
      <c r="U159" s="2341"/>
      <c r="V159" s="2341"/>
      <c r="W159" s="2341"/>
      <c r="X159" s="2341"/>
      <c r="Y159" s="1262">
        <v>0</v>
      </c>
      <c r="Z159" s="1262">
        <v>0</v>
      </c>
      <c r="AA159" s="1539">
        <v>0</v>
      </c>
      <c r="AB159" s="1539">
        <v>0</v>
      </c>
      <c r="AC159" s="569" t="s">
        <v>2551</v>
      </c>
      <c r="AD159" s="982" t="s">
        <v>1329</v>
      </c>
      <c r="AE159" s="1590" t="s">
        <v>355</v>
      </c>
      <c r="AF159" s="2410" t="s">
        <v>1283</v>
      </c>
      <c r="AG159" s="2410" t="s">
        <v>1283</v>
      </c>
      <c r="AH159" s="73">
        <v>10</v>
      </c>
      <c r="AI159" s="721" t="s">
        <v>1447</v>
      </c>
      <c r="AJ159" s="2416">
        <v>5.883389999999963</v>
      </c>
      <c r="AK159" s="516">
        <v>0</v>
      </c>
      <c r="AL159" s="351">
        <v>0</v>
      </c>
      <c r="AM159" s="509">
        <v>0</v>
      </c>
      <c r="AN159" s="1140"/>
      <c r="AO159" s="1140"/>
      <c r="AP159" s="338"/>
      <c r="AQ159" s="923" t="s">
        <v>338</v>
      </c>
      <c r="AR159" s="248">
        <v>6</v>
      </c>
      <c r="AS159" s="248">
        <v>1</v>
      </c>
      <c r="AT159" s="674">
        <v>6</v>
      </c>
      <c r="AU159" s="1296"/>
      <c r="AV159" s="148"/>
      <c r="AW159" s="8" t="s">
        <v>1802</v>
      </c>
      <c r="AX159" s="149"/>
      <c r="AY159" s="149"/>
      <c r="AZ159" s="569" t="s">
        <v>2551</v>
      </c>
      <c r="BA159" s="569"/>
      <c r="BB159" s="1757" t="s">
        <v>2439</v>
      </c>
      <c r="BC159" s="8" t="s">
        <v>1209</v>
      </c>
      <c r="BD159" s="8" t="s">
        <v>1209</v>
      </c>
      <c r="BE159" s="650" t="s">
        <v>921</v>
      </c>
      <c r="BF159" s="765" t="s">
        <v>1209</v>
      </c>
      <c r="BG159" s="568" t="s">
        <v>1308</v>
      </c>
      <c r="BH159" s="390">
        <v>1</v>
      </c>
      <c r="BI159" s="390">
        <v>0</v>
      </c>
      <c r="BJ159" s="460"/>
      <c r="BK159" s="2"/>
      <c r="BL159" s="980">
        <v>0</v>
      </c>
      <c r="BM159" s="1759">
        <v>894.50161000000003</v>
      </c>
      <c r="BN159" s="2112">
        <v>900.38499999999999</v>
      </c>
      <c r="BO159" s="1500">
        <v>900.38499999999999</v>
      </c>
      <c r="BP159" s="2313">
        <v>838.38499999999999</v>
      </c>
      <c r="BQ159" s="1579">
        <v>62</v>
      </c>
      <c r="BR159" s="1614">
        <v>838.38499999999999</v>
      </c>
      <c r="BS159" s="1581">
        <v>0</v>
      </c>
      <c r="BT159" s="54">
        <v>62</v>
      </c>
      <c r="BU159" s="1575"/>
      <c r="BV159" s="1443">
        <v>62</v>
      </c>
      <c r="BW159" s="1497">
        <v>62</v>
      </c>
      <c r="BX159" s="20">
        <v>0</v>
      </c>
      <c r="BY159" s="16"/>
      <c r="BZ159" s="264">
        <v>0</v>
      </c>
      <c r="CA159" s="264">
        <v>0</v>
      </c>
      <c r="CB159" s="970">
        <v>0</v>
      </c>
      <c r="CC159" s="970"/>
      <c r="CD159" s="16">
        <v>0</v>
      </c>
      <c r="CE159" s="20">
        <v>0</v>
      </c>
      <c r="CF159">
        <v>11</v>
      </c>
      <c r="CG159" s="253">
        <v>0</v>
      </c>
      <c r="CH159" s="253">
        <v>0</v>
      </c>
      <c r="CI159" s="266">
        <v>0</v>
      </c>
      <c r="CJ159" s="266">
        <v>900.38499999999999</v>
      </c>
    </row>
    <row r="160" spans="1:98" ht="26.25" hidden="1" thickBot="1" x14ac:dyDescent="0.3">
      <c r="A160" s="1247" t="s">
        <v>443</v>
      </c>
      <c r="B160" s="1248" t="s">
        <v>1320</v>
      </c>
      <c r="C160" s="979">
        <v>2019</v>
      </c>
      <c r="D160" s="979" t="s">
        <v>1265</v>
      </c>
      <c r="E160" s="1536" t="s">
        <v>396</v>
      </c>
      <c r="F160" s="1591" t="s">
        <v>396</v>
      </c>
      <c r="G160" s="1774" t="s">
        <v>444</v>
      </c>
      <c r="H160" s="980">
        <v>276.40499999999997</v>
      </c>
      <c r="I160" s="980">
        <v>276.40499999999997</v>
      </c>
      <c r="J160" s="2672"/>
      <c r="K160" s="2672">
        <v>0</v>
      </c>
      <c r="L160" s="2772">
        <v>0</v>
      </c>
      <c r="M160" s="2781"/>
      <c r="N160" s="1253">
        <v>0</v>
      </c>
      <c r="O160" s="1540">
        <v>0</v>
      </c>
      <c r="P160" s="1541">
        <v>0</v>
      </c>
      <c r="Q160" s="1540">
        <v>0</v>
      </c>
      <c r="R160" s="2743">
        <v>293.59500000000003</v>
      </c>
      <c r="S160" s="2673">
        <v>-293.59500000000003</v>
      </c>
      <c r="T160" s="2619">
        <f>R160+S160</f>
        <v>0</v>
      </c>
      <c r="U160" s="2623"/>
      <c r="V160" s="2623"/>
      <c r="W160" s="2623"/>
      <c r="X160" s="2623"/>
      <c r="Y160" s="1262">
        <v>0</v>
      </c>
      <c r="Z160" s="1262">
        <v>0</v>
      </c>
      <c r="AA160" s="1539">
        <v>0</v>
      </c>
      <c r="AB160" s="1539">
        <v>0</v>
      </c>
      <c r="AC160" s="569" t="s">
        <v>2618</v>
      </c>
      <c r="AD160" s="982" t="s">
        <v>1329</v>
      </c>
      <c r="AE160" s="1590" t="s">
        <v>1352</v>
      </c>
      <c r="AF160" s="2410" t="s">
        <v>1283</v>
      </c>
      <c r="AG160" s="1812" t="s">
        <v>1283</v>
      </c>
      <c r="AH160" s="1536">
        <v>10</v>
      </c>
      <c r="AI160" s="721" t="s">
        <v>1448</v>
      </c>
      <c r="AJ160" s="363"/>
      <c r="AK160" s="516">
        <f>H160-I160-T160-Y160-Z160-AA160-AB160</f>
        <v>0</v>
      </c>
      <c r="AL160" s="391">
        <f>T160-R160-S160</f>
        <v>0</v>
      </c>
      <c r="AM160" s="509">
        <f>T160-N160-O160-P160-Q160</f>
        <v>0</v>
      </c>
      <c r="AN160" s="1140"/>
      <c r="AO160" s="1140"/>
      <c r="AP160" s="338"/>
      <c r="AQ160" s="923" t="s">
        <v>338</v>
      </c>
      <c r="AR160" s="248">
        <v>6</v>
      </c>
      <c r="AS160" s="248">
        <v>1</v>
      </c>
      <c r="AT160" s="2755">
        <v>7</v>
      </c>
      <c r="AU160" s="1135"/>
      <c r="AV160" s="148"/>
      <c r="AW160" s="8" t="s">
        <v>1803</v>
      </c>
      <c r="AX160" s="149"/>
      <c r="AY160" s="569" t="s">
        <v>2618</v>
      </c>
      <c r="AZ160" s="1757" t="s">
        <v>2440</v>
      </c>
      <c r="BA160" s="1757"/>
      <c r="BB160" s="1757" t="s">
        <v>2440</v>
      </c>
      <c r="BC160" s="8" t="s">
        <v>1209</v>
      </c>
      <c r="BD160" s="8" t="s">
        <v>1209</v>
      </c>
      <c r="BE160" s="8" t="s">
        <v>1209</v>
      </c>
      <c r="BF160" s="765" t="s">
        <v>1209</v>
      </c>
      <c r="BG160" s="57" t="s">
        <v>1209</v>
      </c>
      <c r="BH160" s="390">
        <v>1</v>
      </c>
      <c r="BI160" s="390">
        <v>0</v>
      </c>
      <c r="BJ160" s="460"/>
      <c r="BK160" s="2"/>
      <c r="BL160" s="20">
        <v>0</v>
      </c>
      <c r="BM160" s="364">
        <v>276.40499999999997</v>
      </c>
      <c r="BN160" s="364"/>
      <c r="BO160" s="1500">
        <v>570</v>
      </c>
      <c r="BP160" s="2313">
        <v>293.59500000000003</v>
      </c>
      <c r="BQ160" s="1579">
        <v>0</v>
      </c>
      <c r="BR160" s="1614">
        <v>570</v>
      </c>
      <c r="BS160" s="1581">
        <f>191.18+85.225</f>
        <v>276.40499999999997</v>
      </c>
      <c r="BT160" s="54">
        <f>BQ160+BS160</f>
        <v>276.40499999999997</v>
      </c>
      <c r="BU160" s="1575"/>
      <c r="BV160" s="1443">
        <v>0</v>
      </c>
      <c r="BW160" s="1497">
        <v>0</v>
      </c>
      <c r="BX160" s="20">
        <v>0</v>
      </c>
      <c r="BY160" s="16">
        <v>0</v>
      </c>
      <c r="BZ160" s="264">
        <v>0</v>
      </c>
      <c r="CA160" s="264">
        <v>0</v>
      </c>
      <c r="CB160" s="16">
        <v>0</v>
      </c>
      <c r="CC160" s="16"/>
      <c r="CD160" s="16">
        <v>0</v>
      </c>
      <c r="CE160" s="20">
        <v>0</v>
      </c>
      <c r="CF160">
        <v>9</v>
      </c>
      <c r="CG160" s="253">
        <v>0</v>
      </c>
      <c r="CH160" s="253">
        <v>0</v>
      </c>
      <c r="CI160" s="266">
        <v>0</v>
      </c>
      <c r="CJ160" s="266">
        <v>570</v>
      </c>
      <c r="CK160" s="2672">
        <v>0</v>
      </c>
      <c r="CL160" s="2672">
        <v>0</v>
      </c>
      <c r="CM160" s="1209">
        <v>0</v>
      </c>
      <c r="CN160" s="1209"/>
      <c r="CO160" s="2766"/>
    </row>
    <row r="161" spans="1:93" s="985" customFormat="1" ht="26.25" hidden="1" thickBot="1" x14ac:dyDescent="0.3">
      <c r="A161" s="82" t="s">
        <v>445</v>
      </c>
      <c r="B161" s="144" t="s">
        <v>1321</v>
      </c>
      <c r="C161" s="75">
        <v>2019</v>
      </c>
      <c r="D161" s="75" t="s">
        <v>1265</v>
      </c>
      <c r="E161" s="76" t="s">
        <v>347</v>
      </c>
      <c r="F161" s="84" t="s">
        <v>1305</v>
      </c>
      <c r="G161" s="228" t="s">
        <v>446</v>
      </c>
      <c r="H161" s="25">
        <v>87.241</v>
      </c>
      <c r="I161" s="2533">
        <f t="shared" si="13"/>
        <v>0</v>
      </c>
      <c r="J161" s="2643">
        <f t="shared" si="10"/>
        <v>87.241</v>
      </c>
      <c r="K161" s="2643">
        <f t="shared" si="11"/>
        <v>87.241</v>
      </c>
      <c r="L161" s="2643">
        <f t="shared" si="12"/>
        <v>0</v>
      </c>
      <c r="M161" s="1374"/>
      <c r="N161" s="542">
        <v>0</v>
      </c>
      <c r="O161" s="44">
        <v>0</v>
      </c>
      <c r="P161" s="375">
        <v>0</v>
      </c>
      <c r="Q161" s="26">
        <v>0</v>
      </c>
      <c r="R161" s="2350">
        <v>0</v>
      </c>
      <c r="S161" s="1456">
        <v>0</v>
      </c>
      <c r="T161" s="1463">
        <v>0</v>
      </c>
      <c r="U161" s="2337"/>
      <c r="V161" s="2337"/>
      <c r="W161" s="2337"/>
      <c r="X161" s="2337"/>
      <c r="Y161" s="378">
        <v>0</v>
      </c>
      <c r="Z161" s="378">
        <v>0</v>
      </c>
      <c r="AA161" s="27">
        <v>0</v>
      </c>
      <c r="AB161" s="27">
        <v>0</v>
      </c>
      <c r="AC161" s="75" t="s">
        <v>1209</v>
      </c>
      <c r="AD161" s="143" t="s">
        <v>1329</v>
      </c>
      <c r="AE161" s="379" t="s">
        <v>2072</v>
      </c>
      <c r="AF161" s="795" t="s">
        <v>1283</v>
      </c>
      <c r="AG161" s="795" t="s">
        <v>1283</v>
      </c>
      <c r="AH161" s="76">
        <v>12</v>
      </c>
      <c r="AI161" s="722" t="s">
        <v>1447</v>
      </c>
      <c r="AJ161" s="2416">
        <v>0</v>
      </c>
      <c r="AK161" s="516">
        <v>0</v>
      </c>
      <c r="AL161" s="1320">
        <v>0</v>
      </c>
      <c r="AM161" s="512">
        <v>0</v>
      </c>
      <c r="AN161" s="1171"/>
      <c r="AO161" s="1171"/>
      <c r="AP161" s="1177"/>
      <c r="AQ161" s="674" t="s">
        <v>338</v>
      </c>
      <c r="AR161" s="367">
        <v>6</v>
      </c>
      <c r="AS161" s="367">
        <v>1</v>
      </c>
      <c r="AT161" s="674">
        <v>5</v>
      </c>
      <c r="AU161" s="1966"/>
      <c r="AV161" s="455"/>
      <c r="AW161" s="979" t="s">
        <v>1803</v>
      </c>
      <c r="AX161" s="979"/>
      <c r="AY161" s="979"/>
      <c r="AZ161" s="75" t="s">
        <v>1209</v>
      </c>
      <c r="BA161" s="75"/>
      <c r="BB161" s="75" t="s">
        <v>1209</v>
      </c>
      <c r="BC161" s="75" t="s">
        <v>2180</v>
      </c>
      <c r="BD161" s="979" t="s">
        <v>2180</v>
      </c>
      <c r="BE161" s="979" t="s">
        <v>1209</v>
      </c>
      <c r="BF161" s="981" t="s">
        <v>1209</v>
      </c>
      <c r="BG161" s="982" t="s">
        <v>1209</v>
      </c>
      <c r="BH161" s="403">
        <v>1</v>
      </c>
      <c r="BI161" s="403">
        <v>0</v>
      </c>
      <c r="BJ161" s="983"/>
      <c r="BK161" s="454"/>
      <c r="BL161" s="25">
        <v>0</v>
      </c>
      <c r="BM161" s="1374">
        <v>87.241</v>
      </c>
      <c r="BN161" s="2105">
        <v>87.241</v>
      </c>
      <c r="BO161" s="2105">
        <v>87.241</v>
      </c>
      <c r="BP161" s="2314">
        <v>0</v>
      </c>
      <c r="BQ161" s="1482">
        <v>87.241</v>
      </c>
      <c r="BR161" s="27">
        <v>0</v>
      </c>
      <c r="BS161" s="172">
        <v>0</v>
      </c>
      <c r="BT161" s="54">
        <v>87.241</v>
      </c>
      <c r="BU161" s="44"/>
      <c r="BV161" s="1482">
        <v>87.241</v>
      </c>
      <c r="BW161" s="1498">
        <v>87.241</v>
      </c>
      <c r="BX161" s="980">
        <v>0</v>
      </c>
      <c r="BY161" s="984">
        <v>0</v>
      </c>
      <c r="BZ161" s="1376">
        <v>0</v>
      </c>
      <c r="CA161" s="1376">
        <v>0</v>
      </c>
      <c r="CB161" s="984">
        <v>0</v>
      </c>
      <c r="CC161" s="984"/>
      <c r="CD161" s="984">
        <v>0</v>
      </c>
      <c r="CE161" s="980">
        <v>0</v>
      </c>
      <c r="CF161" s="985">
        <v>9</v>
      </c>
      <c r="CG161" s="374">
        <v>0</v>
      </c>
      <c r="CH161" s="374">
        <v>0</v>
      </c>
      <c r="CI161" s="1037">
        <v>0</v>
      </c>
      <c r="CJ161" s="1037">
        <v>87.241</v>
      </c>
    </row>
    <row r="162" spans="1:93" s="985" customFormat="1" ht="26.25" hidden="1" thickBot="1" x14ac:dyDescent="0.3">
      <c r="A162" s="82" t="s">
        <v>447</v>
      </c>
      <c r="B162" s="144" t="s">
        <v>1322</v>
      </c>
      <c r="C162" s="75">
        <v>2019</v>
      </c>
      <c r="D162" s="75" t="s">
        <v>1265</v>
      </c>
      <c r="E162" s="76" t="s">
        <v>439</v>
      </c>
      <c r="F162" s="84" t="s">
        <v>439</v>
      </c>
      <c r="G162" s="228" t="s">
        <v>448</v>
      </c>
      <c r="H162" s="25">
        <v>146.23500000000001</v>
      </c>
      <c r="I162" s="2533">
        <f t="shared" si="13"/>
        <v>0</v>
      </c>
      <c r="J162" s="2643">
        <f t="shared" ref="J162:J231" si="18">BL162+BM162</f>
        <v>146.23500000000001</v>
      </c>
      <c r="K162" s="2643">
        <f t="shared" si="11"/>
        <v>146.23500000000001</v>
      </c>
      <c r="L162" s="2643">
        <f t="shared" si="12"/>
        <v>0</v>
      </c>
      <c r="M162" s="1374"/>
      <c r="N162" s="542">
        <v>0</v>
      </c>
      <c r="O162" s="44">
        <v>0</v>
      </c>
      <c r="P162" s="375">
        <v>0</v>
      </c>
      <c r="Q162" s="26">
        <v>0</v>
      </c>
      <c r="R162" s="2350">
        <v>0</v>
      </c>
      <c r="S162" s="1456">
        <v>0</v>
      </c>
      <c r="T162" s="1463">
        <v>0</v>
      </c>
      <c r="U162" s="2337"/>
      <c r="V162" s="2337"/>
      <c r="W162" s="2337"/>
      <c r="X162" s="2337"/>
      <c r="Y162" s="378">
        <v>0</v>
      </c>
      <c r="Z162" s="378">
        <v>0</v>
      </c>
      <c r="AA162" s="27">
        <v>0</v>
      </c>
      <c r="AB162" s="27">
        <v>0</v>
      </c>
      <c r="AC162" s="75" t="s">
        <v>1209</v>
      </c>
      <c r="AD162" s="143" t="s">
        <v>1329</v>
      </c>
      <c r="AE162" s="379" t="s">
        <v>1007</v>
      </c>
      <c r="AF162" s="795" t="s">
        <v>1283</v>
      </c>
      <c r="AG162" s="795" t="s">
        <v>1283</v>
      </c>
      <c r="AH162" s="76">
        <v>1</v>
      </c>
      <c r="AI162" s="722" t="s">
        <v>1447</v>
      </c>
      <c r="AJ162" s="2416">
        <v>0</v>
      </c>
      <c r="AK162" s="516">
        <v>0</v>
      </c>
      <c r="AL162" s="452">
        <v>0</v>
      </c>
      <c r="AM162" s="513">
        <v>0</v>
      </c>
      <c r="AN162" s="1142"/>
      <c r="AO162" s="1142"/>
      <c r="AP162" s="496"/>
      <c r="AQ162" s="662" t="s">
        <v>338</v>
      </c>
      <c r="AR162" s="175">
        <v>6</v>
      </c>
      <c r="AS162" s="175">
        <v>1</v>
      </c>
      <c r="AT162" s="662">
        <v>4</v>
      </c>
      <c r="AU162" s="1494"/>
      <c r="AV162" s="455"/>
      <c r="AW162" s="979"/>
      <c r="AX162" s="979"/>
      <c r="AY162" s="979"/>
      <c r="AZ162" s="75" t="s">
        <v>1209</v>
      </c>
      <c r="BA162" s="75"/>
      <c r="BB162" s="75" t="s">
        <v>1209</v>
      </c>
      <c r="BC162" s="75" t="s">
        <v>1209</v>
      </c>
      <c r="BD162" s="75" t="s">
        <v>1209</v>
      </c>
      <c r="BE162" s="979" t="s">
        <v>1868</v>
      </c>
      <c r="BF162" s="981" t="s">
        <v>921</v>
      </c>
      <c r="BG162" s="982" t="s">
        <v>1209</v>
      </c>
      <c r="BH162" s="403">
        <v>1</v>
      </c>
      <c r="BI162" s="403">
        <v>0</v>
      </c>
      <c r="BJ162" s="983"/>
      <c r="BK162" s="433"/>
      <c r="BL162" s="25">
        <v>0</v>
      </c>
      <c r="BM162" s="1374">
        <v>146.23500000000001</v>
      </c>
      <c r="BN162" s="2105">
        <v>146.23500000000001</v>
      </c>
      <c r="BO162" s="2105">
        <v>146.23500000000001</v>
      </c>
      <c r="BP162" s="2314">
        <v>0</v>
      </c>
      <c r="BQ162" s="1482">
        <v>146.23500000000001</v>
      </c>
      <c r="BR162" s="27">
        <v>0</v>
      </c>
      <c r="BS162" s="172">
        <v>0</v>
      </c>
      <c r="BT162" s="54">
        <v>146.23500000000001</v>
      </c>
      <c r="BU162" s="44"/>
      <c r="BV162" s="1482">
        <v>146.23500000000001</v>
      </c>
      <c r="BW162" s="866">
        <v>0</v>
      </c>
      <c r="BX162" s="25">
        <v>146.23500000000001</v>
      </c>
      <c r="BY162" s="655"/>
      <c r="BZ162" s="1200">
        <v>146.23500000000001</v>
      </c>
      <c r="CA162" s="1129">
        <v>146.23500000000001</v>
      </c>
      <c r="CB162" s="984">
        <v>146.23500000000001</v>
      </c>
      <c r="CC162" s="984"/>
      <c r="CD162" s="984">
        <v>0</v>
      </c>
      <c r="CE162" s="980">
        <v>0</v>
      </c>
      <c r="CG162" s="374">
        <v>0</v>
      </c>
      <c r="CH162" s="374">
        <v>146.23500000000001</v>
      </c>
      <c r="CI162" s="1037">
        <v>0</v>
      </c>
      <c r="CJ162" s="1037">
        <v>0</v>
      </c>
    </row>
    <row r="163" spans="1:93" ht="26.25" hidden="1" thickBot="1" x14ac:dyDescent="0.3">
      <c r="A163" s="82" t="s">
        <v>451</v>
      </c>
      <c r="B163" s="144" t="s">
        <v>1324</v>
      </c>
      <c r="C163" s="75">
        <v>2019</v>
      </c>
      <c r="D163" s="75" t="s">
        <v>1265</v>
      </c>
      <c r="E163" s="76" t="s">
        <v>406</v>
      </c>
      <c r="F163" s="84" t="s">
        <v>406</v>
      </c>
      <c r="G163" s="228" t="s">
        <v>452</v>
      </c>
      <c r="H163" s="25">
        <v>279.75200000000001</v>
      </c>
      <c r="I163" s="2533">
        <f t="shared" si="13"/>
        <v>0</v>
      </c>
      <c r="J163" s="2643">
        <f t="shared" si="18"/>
        <v>279.75200000000001</v>
      </c>
      <c r="K163" s="2643">
        <f t="shared" ref="K163:K232" si="19">J163+I163</f>
        <v>279.75200000000001</v>
      </c>
      <c r="L163" s="2643">
        <f t="shared" ref="L163:L232" si="20">K163-H163</f>
        <v>0</v>
      </c>
      <c r="M163" s="1438"/>
      <c r="N163" s="542">
        <v>0</v>
      </c>
      <c r="O163" s="44">
        <v>0</v>
      </c>
      <c r="P163" s="375">
        <v>0</v>
      </c>
      <c r="Q163" s="26">
        <v>0</v>
      </c>
      <c r="R163" s="2350">
        <v>0</v>
      </c>
      <c r="S163" s="1456">
        <v>0</v>
      </c>
      <c r="T163" s="1463">
        <v>0</v>
      </c>
      <c r="U163" s="2337"/>
      <c r="V163" s="2337"/>
      <c r="W163" s="2337"/>
      <c r="X163" s="2337"/>
      <c r="Y163" s="378">
        <v>0</v>
      </c>
      <c r="Z163" s="378">
        <v>0</v>
      </c>
      <c r="AA163" s="27">
        <v>0</v>
      </c>
      <c r="AB163" s="27">
        <v>0</v>
      </c>
      <c r="AC163" s="166" t="s">
        <v>1209</v>
      </c>
      <c r="AD163" s="143" t="s">
        <v>1329</v>
      </c>
      <c r="AE163" s="379" t="s">
        <v>355</v>
      </c>
      <c r="AF163" s="795" t="s">
        <v>1283</v>
      </c>
      <c r="AG163" s="795" t="s">
        <v>1283</v>
      </c>
      <c r="AH163" s="73">
        <v>6</v>
      </c>
      <c r="AI163" s="721" t="s">
        <v>1447</v>
      </c>
      <c r="AJ163" s="2416">
        <v>0</v>
      </c>
      <c r="AK163" s="516">
        <v>0</v>
      </c>
      <c r="AL163" s="351">
        <v>0</v>
      </c>
      <c r="AM163" s="509">
        <v>0</v>
      </c>
      <c r="AN163" s="1140"/>
      <c r="AO163" s="1140"/>
      <c r="AP163" s="338"/>
      <c r="AQ163" s="923" t="s">
        <v>338</v>
      </c>
      <c r="AR163" s="248">
        <v>6</v>
      </c>
      <c r="AS163" s="248">
        <v>1</v>
      </c>
      <c r="AT163" s="674">
        <v>6</v>
      </c>
      <c r="AU163" s="1296"/>
      <c r="AV163" s="148"/>
      <c r="AW163" s="8"/>
      <c r="AX163" s="149"/>
      <c r="AY163" s="149"/>
      <c r="AZ163" s="166" t="s">
        <v>1209</v>
      </c>
      <c r="BA163" s="166"/>
      <c r="BB163" s="1757" t="s">
        <v>2441</v>
      </c>
      <c r="BC163" s="8" t="s">
        <v>1209</v>
      </c>
      <c r="BD163" s="8" t="s">
        <v>1209</v>
      </c>
      <c r="BE163" s="650" t="s">
        <v>921</v>
      </c>
      <c r="BF163" s="765" t="s">
        <v>1209</v>
      </c>
      <c r="BG163" s="57" t="s">
        <v>1209</v>
      </c>
      <c r="BH163" s="390">
        <v>1</v>
      </c>
      <c r="BI163" s="390">
        <v>0</v>
      </c>
      <c r="BJ163" s="460"/>
      <c r="BK163" s="2"/>
      <c r="BL163" s="25">
        <v>0</v>
      </c>
      <c r="BM163" s="1438">
        <v>279.75200000000001</v>
      </c>
      <c r="BN163" s="2105">
        <v>279.75200000000001</v>
      </c>
      <c r="BO163" s="1500">
        <v>279.75200000000001</v>
      </c>
      <c r="BP163" s="2313">
        <v>279.75200000000001</v>
      </c>
      <c r="BQ163" s="1579">
        <v>0</v>
      </c>
      <c r="BR163" s="1614">
        <v>279.75200000000001</v>
      </c>
      <c r="BS163" s="1581">
        <v>0</v>
      </c>
      <c r="BT163" s="54">
        <v>0</v>
      </c>
      <c r="BU163" s="1575"/>
      <c r="BV163" s="1443">
        <v>0</v>
      </c>
      <c r="BW163" s="1497">
        <v>0</v>
      </c>
      <c r="BX163" s="20">
        <v>0</v>
      </c>
      <c r="BY163" s="16">
        <v>0</v>
      </c>
      <c r="BZ163" s="264">
        <v>0</v>
      </c>
      <c r="CA163" s="264">
        <v>0</v>
      </c>
      <c r="CB163" s="970">
        <v>0</v>
      </c>
      <c r="CC163" s="970"/>
      <c r="CD163" s="16">
        <v>0</v>
      </c>
      <c r="CE163" s="20">
        <v>0</v>
      </c>
      <c r="CF163">
        <v>9</v>
      </c>
      <c r="CG163" s="253">
        <v>0</v>
      </c>
      <c r="CH163" s="253">
        <v>0</v>
      </c>
      <c r="CI163" s="266">
        <v>0</v>
      </c>
      <c r="CJ163" s="266">
        <v>279.75200000000001</v>
      </c>
    </row>
    <row r="164" spans="1:93" ht="30.75" hidden="1" thickBot="1" x14ac:dyDescent="0.3">
      <c r="A164" s="1247" t="s">
        <v>453</v>
      </c>
      <c r="B164" s="1248" t="s">
        <v>1325</v>
      </c>
      <c r="C164" s="979">
        <v>2019</v>
      </c>
      <c r="D164" s="979" t="s">
        <v>1265</v>
      </c>
      <c r="E164" s="1536" t="s">
        <v>365</v>
      </c>
      <c r="F164" s="1591" t="s">
        <v>365</v>
      </c>
      <c r="G164" s="1774" t="s">
        <v>454</v>
      </c>
      <c r="H164" s="980">
        <v>295.94580000000002</v>
      </c>
      <c r="I164" s="980">
        <v>295.94580000000002</v>
      </c>
      <c r="J164" s="2672"/>
      <c r="K164" s="2672">
        <v>0</v>
      </c>
      <c r="L164" s="2772">
        <v>0</v>
      </c>
      <c r="M164" s="2781"/>
      <c r="N164" s="1253">
        <v>0</v>
      </c>
      <c r="O164" s="1540">
        <v>0</v>
      </c>
      <c r="P164" s="1541">
        <v>0</v>
      </c>
      <c r="Q164" s="1540">
        <v>0</v>
      </c>
      <c r="R164" s="2743">
        <v>54.05419999999998</v>
      </c>
      <c r="S164" s="2673">
        <v>-54.054200000000002</v>
      </c>
      <c r="T164" s="2619">
        <f>R164+S164</f>
        <v>0</v>
      </c>
      <c r="U164" s="2623"/>
      <c r="V164" s="2623"/>
      <c r="W164" s="2623"/>
      <c r="X164" s="2623"/>
      <c r="Y164" s="1262">
        <v>0</v>
      </c>
      <c r="Z164" s="1262">
        <v>0</v>
      </c>
      <c r="AA164" s="1539">
        <v>0</v>
      </c>
      <c r="AB164" s="1539">
        <v>0</v>
      </c>
      <c r="AC164" s="569" t="s">
        <v>2619</v>
      </c>
      <c r="AD164" s="982" t="s">
        <v>1329</v>
      </c>
      <c r="AE164" s="1590" t="s">
        <v>1352</v>
      </c>
      <c r="AF164" s="2410" t="s">
        <v>1283</v>
      </c>
      <c r="AG164" s="2410" t="s">
        <v>1283</v>
      </c>
      <c r="AH164" s="1536">
        <v>7</v>
      </c>
      <c r="AI164" s="721" t="s">
        <v>1447</v>
      </c>
      <c r="AJ164" s="363"/>
      <c r="AK164" s="516">
        <f>H164-I164-T164-Y164-Z164-AA164-AB164</f>
        <v>0</v>
      </c>
      <c r="AL164" s="391">
        <f>T164-R164-S164</f>
        <v>0</v>
      </c>
      <c r="AM164" s="509">
        <f>T164-N164-O164-P164-Q164</f>
        <v>0</v>
      </c>
      <c r="AN164" s="1140"/>
      <c r="AO164" s="1140"/>
      <c r="AP164" s="338"/>
      <c r="AQ164" s="923" t="s">
        <v>338</v>
      </c>
      <c r="AR164" s="248">
        <v>6</v>
      </c>
      <c r="AS164" s="248">
        <v>1</v>
      </c>
      <c r="AT164" s="2755">
        <v>7</v>
      </c>
      <c r="AU164" s="1135"/>
      <c r="AV164" s="148"/>
      <c r="AW164" s="8"/>
      <c r="AX164" s="149"/>
      <c r="AY164" s="569" t="s">
        <v>2619</v>
      </c>
      <c r="AZ164" s="1757" t="s">
        <v>2442</v>
      </c>
      <c r="BA164" s="1757"/>
      <c r="BB164" s="1757" t="s">
        <v>2442</v>
      </c>
      <c r="BC164" s="8" t="s">
        <v>1209</v>
      </c>
      <c r="BD164" s="8" t="s">
        <v>1209</v>
      </c>
      <c r="BE164" s="8" t="s">
        <v>1209</v>
      </c>
      <c r="BF164" s="765" t="s">
        <v>1209</v>
      </c>
      <c r="BG164" s="57" t="s">
        <v>1209</v>
      </c>
      <c r="BH164" s="390">
        <v>1</v>
      </c>
      <c r="BI164" s="390">
        <v>0</v>
      </c>
      <c r="BJ164" s="460"/>
      <c r="BK164" s="2"/>
      <c r="BL164" s="20">
        <v>0</v>
      </c>
      <c r="BM164" s="364">
        <v>295.94580000000002</v>
      </c>
      <c r="BN164" s="364"/>
      <c r="BO164" s="1500">
        <v>350</v>
      </c>
      <c r="BP164" s="2313">
        <v>54.05419999999998</v>
      </c>
      <c r="BQ164" s="1579">
        <v>295.94580000000002</v>
      </c>
      <c r="BR164" s="1614">
        <v>54.05419999999998</v>
      </c>
      <c r="BS164" s="1581">
        <v>0</v>
      </c>
      <c r="BT164" s="54">
        <f>BQ164+BS164</f>
        <v>295.94580000000002</v>
      </c>
      <c r="BU164" s="1575"/>
      <c r="BV164" s="1443">
        <v>295.94580000000002</v>
      </c>
      <c r="BW164" s="1497">
        <v>259.64580000000001</v>
      </c>
      <c r="BX164" s="20">
        <v>36.299999999999997</v>
      </c>
      <c r="BY164" s="1387">
        <v>36.299999999999997</v>
      </c>
      <c r="BZ164" s="264">
        <v>0</v>
      </c>
      <c r="CA164" s="264">
        <v>0</v>
      </c>
      <c r="CB164" s="16">
        <v>0</v>
      </c>
      <c r="CC164" s="16"/>
      <c r="CD164" s="16">
        <v>0</v>
      </c>
      <c r="CE164" s="20">
        <v>0</v>
      </c>
      <c r="CF164">
        <v>11</v>
      </c>
      <c r="CG164" s="253">
        <v>0</v>
      </c>
      <c r="CH164" s="253">
        <v>0</v>
      </c>
      <c r="CI164" s="266">
        <v>36.299999999999997</v>
      </c>
      <c r="CJ164" s="266">
        <v>313.7</v>
      </c>
      <c r="CK164" s="2672">
        <v>0</v>
      </c>
      <c r="CL164" s="2672">
        <v>0</v>
      </c>
      <c r="CM164" s="1209">
        <v>0</v>
      </c>
      <c r="CN164" s="1209"/>
      <c r="CO164" s="2766"/>
    </row>
    <row r="165" spans="1:93" s="985" customFormat="1" ht="30.75" thickBot="1" x14ac:dyDescent="0.3">
      <c r="A165" s="289" t="s">
        <v>1179</v>
      </c>
      <c r="B165" s="1112" t="s">
        <v>1327</v>
      </c>
      <c r="C165" s="275">
        <v>2019</v>
      </c>
      <c r="D165" s="275" t="s">
        <v>1265</v>
      </c>
      <c r="E165" s="664" t="s">
        <v>382</v>
      </c>
      <c r="F165" s="291" t="s">
        <v>1306</v>
      </c>
      <c r="G165" s="1265" t="s">
        <v>1180</v>
      </c>
      <c r="H165" s="293">
        <v>266.19486000000001</v>
      </c>
      <c r="I165" s="2533">
        <f t="shared" si="13"/>
        <v>0</v>
      </c>
      <c r="J165" s="2643">
        <f t="shared" si="18"/>
        <v>266.19486000000001</v>
      </c>
      <c r="K165" s="2643">
        <f t="shared" si="19"/>
        <v>266.19486000000001</v>
      </c>
      <c r="L165" s="2643">
        <f t="shared" si="20"/>
        <v>0</v>
      </c>
      <c r="M165" s="1439"/>
      <c r="N165" s="738">
        <v>0</v>
      </c>
      <c r="O165" s="742">
        <v>0</v>
      </c>
      <c r="P165" s="667">
        <v>0</v>
      </c>
      <c r="Q165" s="295">
        <v>0</v>
      </c>
      <c r="R165" s="2352">
        <v>0</v>
      </c>
      <c r="S165" s="1457">
        <v>0</v>
      </c>
      <c r="T165" s="1464">
        <v>0</v>
      </c>
      <c r="U165" s="2336"/>
      <c r="V165" s="2336"/>
      <c r="W165" s="2336"/>
      <c r="X165" s="2336"/>
      <c r="Y165" s="1115">
        <v>0</v>
      </c>
      <c r="Z165" s="1115">
        <v>0</v>
      </c>
      <c r="AA165" s="294">
        <v>0</v>
      </c>
      <c r="AB165" s="294">
        <v>0</v>
      </c>
      <c r="AC165" s="275" t="s">
        <v>1209</v>
      </c>
      <c r="AD165" s="143" t="s">
        <v>1329</v>
      </c>
      <c r="AE165" s="671" t="s">
        <v>369</v>
      </c>
      <c r="AF165" s="1116" t="s">
        <v>1283</v>
      </c>
      <c r="AG165" s="1116" t="s">
        <v>1283</v>
      </c>
      <c r="AH165" s="664">
        <v>5</v>
      </c>
      <c r="AI165" s="728" t="s">
        <v>2962</v>
      </c>
      <c r="AJ165" s="2416">
        <v>0</v>
      </c>
      <c r="AK165" s="516">
        <v>0</v>
      </c>
      <c r="AL165" s="1054">
        <v>0</v>
      </c>
      <c r="AM165" s="1056">
        <v>0</v>
      </c>
      <c r="AN165" s="1142"/>
      <c r="AO165" s="1142"/>
      <c r="AP165" s="758"/>
      <c r="AQ165" s="675" t="s">
        <v>338</v>
      </c>
      <c r="AR165" s="673">
        <v>6</v>
      </c>
      <c r="AS165" s="673">
        <v>1</v>
      </c>
      <c r="AT165" s="675">
        <v>4</v>
      </c>
      <c r="AU165" s="1494"/>
      <c r="AV165" s="986"/>
      <c r="AW165" s="977"/>
      <c r="AX165" s="977"/>
      <c r="AY165" s="977"/>
      <c r="AZ165" s="275" t="s">
        <v>1209</v>
      </c>
      <c r="BA165" s="275"/>
      <c r="BB165" s="275" t="s">
        <v>1209</v>
      </c>
      <c r="BC165" s="275" t="s">
        <v>1209</v>
      </c>
      <c r="BD165" s="275" t="s">
        <v>1209</v>
      </c>
      <c r="BE165" s="977" t="s">
        <v>1868</v>
      </c>
      <c r="BF165" s="988" t="s">
        <v>1209</v>
      </c>
      <c r="BG165" s="989" t="s">
        <v>1209</v>
      </c>
      <c r="BH165" s="987">
        <v>1</v>
      </c>
      <c r="BI165" s="987">
        <v>0</v>
      </c>
      <c r="BJ165" s="983"/>
      <c r="BK165" s="433"/>
      <c r="BL165" s="293">
        <v>0</v>
      </c>
      <c r="BM165" s="1439">
        <v>266.19486000000001</v>
      </c>
      <c r="BN165" s="2122">
        <v>266.19486000000001</v>
      </c>
      <c r="BO165" s="2122">
        <v>266.19486000000001</v>
      </c>
      <c r="BP165" s="2314">
        <v>0</v>
      </c>
      <c r="BQ165" s="1486">
        <v>266.19486000000001</v>
      </c>
      <c r="BR165" s="24">
        <v>0</v>
      </c>
      <c r="BS165" s="134">
        <v>0</v>
      </c>
      <c r="BT165" s="54">
        <v>266.19486000000001</v>
      </c>
      <c r="BU165" s="87"/>
      <c r="BV165" s="1486">
        <v>266.19486000000001</v>
      </c>
      <c r="BW165" s="431">
        <v>0</v>
      </c>
      <c r="BX165" s="293">
        <v>266.19486000000001</v>
      </c>
      <c r="BY165" s="823"/>
      <c r="BZ165" s="1201">
        <v>266.19486000000001</v>
      </c>
      <c r="CA165" s="1130">
        <v>266.19486000000001</v>
      </c>
      <c r="CB165" s="990">
        <v>266.19486000000001</v>
      </c>
      <c r="CC165" s="990"/>
      <c r="CD165" s="990">
        <v>0</v>
      </c>
      <c r="CE165" s="978">
        <v>0</v>
      </c>
      <c r="CG165" s="1113">
        <v>0</v>
      </c>
      <c r="CH165" s="1113">
        <v>266.19486000000001</v>
      </c>
      <c r="CI165" s="1446">
        <v>0</v>
      </c>
      <c r="CJ165" s="1446">
        <v>0</v>
      </c>
    </row>
    <row r="166" spans="1:93" ht="30.75" hidden="1" thickBot="1" x14ac:dyDescent="0.3">
      <c r="A166" s="1788" t="s">
        <v>1871</v>
      </c>
      <c r="B166" s="1807" t="s">
        <v>2074</v>
      </c>
      <c r="C166" s="1523">
        <v>2019</v>
      </c>
      <c r="D166" s="1523" t="s">
        <v>2578</v>
      </c>
      <c r="E166" s="1791" t="s">
        <v>402</v>
      </c>
      <c r="F166" s="1790" t="s">
        <v>402</v>
      </c>
      <c r="G166" s="1792" t="s">
        <v>1872</v>
      </c>
      <c r="H166" s="1564">
        <v>2380.433</v>
      </c>
      <c r="I166" s="2533">
        <f t="shared" ref="I166:I235" si="21">H166-J166</f>
        <v>0</v>
      </c>
      <c r="J166" s="2643">
        <f t="shared" si="18"/>
        <v>2380.433</v>
      </c>
      <c r="K166" s="2643">
        <f t="shared" si="19"/>
        <v>2380.433</v>
      </c>
      <c r="L166" s="2643">
        <f t="shared" si="20"/>
        <v>0</v>
      </c>
      <c r="M166" s="1759"/>
      <c r="N166" s="2372">
        <v>0</v>
      </c>
      <c r="O166" s="1758">
        <v>0</v>
      </c>
      <c r="P166" s="1794">
        <v>0</v>
      </c>
      <c r="Q166" s="1793">
        <v>0</v>
      </c>
      <c r="R166" s="2408">
        <v>19.567000000000007</v>
      </c>
      <c r="S166" s="2409">
        <v>-19.567000000000007</v>
      </c>
      <c r="T166" s="1545">
        <v>0</v>
      </c>
      <c r="U166" s="2341"/>
      <c r="V166" s="2341"/>
      <c r="W166" s="2341"/>
      <c r="X166" s="2341"/>
      <c r="Y166" s="1810">
        <v>0</v>
      </c>
      <c r="Z166" s="1810">
        <v>0</v>
      </c>
      <c r="AA166" s="1619">
        <v>0</v>
      </c>
      <c r="AB166" s="1619">
        <v>0</v>
      </c>
      <c r="AC166" s="979" t="s">
        <v>2552</v>
      </c>
      <c r="AD166" s="570" t="s">
        <v>1329</v>
      </c>
      <c r="AE166" s="1590" t="s">
        <v>355</v>
      </c>
      <c r="AF166" s="1812" t="s">
        <v>1283</v>
      </c>
      <c r="AG166" s="1812" t="s">
        <v>1283</v>
      </c>
      <c r="AH166" s="70">
        <v>8</v>
      </c>
      <c r="AI166" s="967"/>
      <c r="AJ166" s="2416">
        <v>19.567000000000007</v>
      </c>
      <c r="AK166" s="516">
        <v>0</v>
      </c>
      <c r="AL166" s="351">
        <v>0</v>
      </c>
      <c r="AM166" s="509">
        <v>0</v>
      </c>
      <c r="AN166" s="1140"/>
      <c r="AO166" s="1140"/>
      <c r="AP166" s="189"/>
      <c r="AQ166" s="1519" t="s">
        <v>338</v>
      </c>
      <c r="AR166" s="976">
        <v>6</v>
      </c>
      <c r="AS166" s="976">
        <v>4</v>
      </c>
      <c r="AT166" s="674">
        <v>6</v>
      </c>
      <c r="AU166" s="1296"/>
      <c r="AV166" s="735"/>
      <c r="AW166" s="62"/>
      <c r="AX166" s="14"/>
      <c r="AY166" s="14"/>
      <c r="AZ166" s="979" t="s">
        <v>2552</v>
      </c>
      <c r="BA166" s="979"/>
      <c r="BB166" s="1275" t="s">
        <v>2443</v>
      </c>
      <c r="BC166" s="7" t="s">
        <v>2181</v>
      </c>
      <c r="BD166" s="1211" t="s">
        <v>2181</v>
      </c>
      <c r="BE166" s="941" t="s">
        <v>1540</v>
      </c>
      <c r="BF166" s="913"/>
      <c r="BG166" s="658"/>
      <c r="BH166" s="518"/>
      <c r="BI166" s="518"/>
      <c r="BJ166" s="459"/>
      <c r="BK166" s="2"/>
      <c r="BL166" s="1564">
        <v>0</v>
      </c>
      <c r="BM166" s="1759">
        <v>2380.433</v>
      </c>
      <c r="BN166" s="2112">
        <v>2400</v>
      </c>
      <c r="BO166" s="1500">
        <v>2400</v>
      </c>
      <c r="BP166" s="2313">
        <v>2400</v>
      </c>
      <c r="BQ166" s="1594">
        <v>0</v>
      </c>
      <c r="BR166" s="1615">
        <v>2400</v>
      </c>
      <c r="BS166" s="1574">
        <v>0</v>
      </c>
      <c r="BT166" s="54">
        <v>0</v>
      </c>
      <c r="BU166" s="1625"/>
      <c r="BV166" s="1447">
        <v>0</v>
      </c>
      <c r="BW166" s="364">
        <v>0</v>
      </c>
      <c r="BX166" s="654">
        <v>0</v>
      </c>
      <c r="BY166" s="1039"/>
      <c r="BZ166" s="364">
        <v>0</v>
      </c>
      <c r="CA166" s="364">
        <v>0</v>
      </c>
      <c r="CB166" s="972">
        <v>0</v>
      </c>
      <c r="CC166" s="1102"/>
      <c r="CD166" s="821"/>
      <c r="CE166" s="318"/>
      <c r="CF166">
        <v>11</v>
      </c>
      <c r="CG166" s="791">
        <v>0</v>
      </c>
      <c r="CH166" s="791">
        <v>0</v>
      </c>
      <c r="CI166" s="265">
        <v>0</v>
      </c>
      <c r="CJ166" s="265">
        <v>2400</v>
      </c>
    </row>
    <row r="167" spans="1:93" s="1013" customFormat="1" ht="26.25" hidden="1" thickBot="1" x14ac:dyDescent="0.3">
      <c r="A167" s="268" t="s">
        <v>1876</v>
      </c>
      <c r="B167" s="146" t="s">
        <v>2076</v>
      </c>
      <c r="C167" s="83">
        <v>2019</v>
      </c>
      <c r="D167" s="83" t="s">
        <v>2578</v>
      </c>
      <c r="E167" s="90" t="s">
        <v>365</v>
      </c>
      <c r="F167" s="1761" t="s">
        <v>365</v>
      </c>
      <c r="G167" s="971" t="s">
        <v>1877</v>
      </c>
      <c r="H167" s="85">
        <v>60.5</v>
      </c>
      <c r="I167" s="2533">
        <f t="shared" si="21"/>
        <v>0</v>
      </c>
      <c r="J167" s="2643">
        <f t="shared" si="18"/>
        <v>60.5</v>
      </c>
      <c r="K167" s="2643">
        <f t="shared" si="19"/>
        <v>60.5</v>
      </c>
      <c r="L167" s="2643">
        <f t="shared" si="20"/>
        <v>0</v>
      </c>
      <c r="M167" s="1438"/>
      <c r="N167" s="2373">
        <v>0</v>
      </c>
      <c r="O167" s="86">
        <v>0</v>
      </c>
      <c r="P167" s="1553">
        <v>0</v>
      </c>
      <c r="Q167" s="46">
        <v>0</v>
      </c>
      <c r="R167" s="2353">
        <v>0</v>
      </c>
      <c r="S167" s="1762">
        <v>0</v>
      </c>
      <c r="T167" s="1463">
        <v>0</v>
      </c>
      <c r="U167" s="2337"/>
      <c r="V167" s="2337"/>
      <c r="W167" s="2337"/>
      <c r="X167" s="2337"/>
      <c r="Y167" s="1763">
        <v>0</v>
      </c>
      <c r="Z167" s="1763">
        <v>0</v>
      </c>
      <c r="AA167" s="45">
        <v>0</v>
      </c>
      <c r="AB167" s="45">
        <v>0</v>
      </c>
      <c r="AC167" s="83" t="s">
        <v>1209</v>
      </c>
      <c r="AD167" s="150" t="s">
        <v>1329</v>
      </c>
      <c r="AE167" s="1815" t="s">
        <v>355</v>
      </c>
      <c r="AF167" s="1764" t="s">
        <v>1283</v>
      </c>
      <c r="AG167" s="1764" t="s">
        <v>1283</v>
      </c>
      <c r="AH167" s="90">
        <v>7</v>
      </c>
      <c r="AI167" s="1967"/>
      <c r="AJ167" s="2416">
        <v>0</v>
      </c>
      <c r="AK167" s="516">
        <v>0</v>
      </c>
      <c r="AL167" s="452">
        <v>0</v>
      </c>
      <c r="AM167" s="513">
        <v>0</v>
      </c>
      <c r="AN167" s="1142"/>
      <c r="AO167" s="1142"/>
      <c r="AP167" s="191"/>
      <c r="AQ167" s="1968" t="s">
        <v>338</v>
      </c>
      <c r="AR167" s="1969">
        <v>6</v>
      </c>
      <c r="AS167" s="1969">
        <v>4</v>
      </c>
      <c r="AT167" s="1968">
        <v>6</v>
      </c>
      <c r="AU167" s="1494"/>
      <c r="AV167" s="928"/>
      <c r="AW167" s="812"/>
      <c r="AX167" s="588"/>
      <c r="AY167" s="588"/>
      <c r="AZ167" s="83" t="s">
        <v>1209</v>
      </c>
      <c r="BA167" s="83"/>
      <c r="BB167" s="83" t="s">
        <v>1209</v>
      </c>
      <c r="BC167" s="83" t="s">
        <v>1209</v>
      </c>
      <c r="BD167" s="83" t="s">
        <v>1209</v>
      </c>
      <c r="BE167" s="1970" t="s">
        <v>1540</v>
      </c>
      <c r="BF167" s="1971"/>
      <c r="BG167" s="756"/>
      <c r="BH167" s="1062"/>
      <c r="BI167" s="1062"/>
      <c r="BJ167" s="653"/>
      <c r="BK167" s="433"/>
      <c r="BL167" s="85">
        <v>0</v>
      </c>
      <c r="BM167" s="1438">
        <v>60.5</v>
      </c>
      <c r="BN167" s="2105">
        <v>60.5</v>
      </c>
      <c r="BO167" s="2105">
        <v>60.5</v>
      </c>
      <c r="BP167" s="2314">
        <v>0</v>
      </c>
      <c r="BQ167" s="1483">
        <v>0</v>
      </c>
      <c r="BR167" s="45">
        <v>60.5</v>
      </c>
      <c r="BS167" s="2129">
        <v>60.5</v>
      </c>
      <c r="BT167" s="54">
        <v>60.5</v>
      </c>
      <c r="BU167" s="86"/>
      <c r="BV167" s="1483">
        <v>0</v>
      </c>
      <c r="BW167" s="1929">
        <v>0</v>
      </c>
      <c r="BX167" s="25">
        <v>0</v>
      </c>
      <c r="BY167" s="1552">
        <v>0</v>
      </c>
      <c r="BZ167" s="1438">
        <v>0</v>
      </c>
      <c r="CA167" s="1438">
        <v>0</v>
      </c>
      <c r="CB167" s="1972">
        <v>0</v>
      </c>
      <c r="CC167" s="1914"/>
      <c r="CD167" s="1915"/>
      <c r="CE167" s="591"/>
      <c r="CF167" s="1013">
        <v>9</v>
      </c>
      <c r="CG167" s="1417">
        <v>0</v>
      </c>
      <c r="CH167" s="1417">
        <v>0</v>
      </c>
      <c r="CI167" s="1018">
        <v>0</v>
      </c>
      <c r="CJ167" s="1018">
        <v>60.5</v>
      </c>
    </row>
    <row r="168" spans="1:93" s="961" customFormat="1" ht="30.75" hidden="1" thickBot="1" x14ac:dyDescent="0.3">
      <c r="A168" s="1788" t="s">
        <v>1878</v>
      </c>
      <c r="B168" s="1807" t="s">
        <v>2077</v>
      </c>
      <c r="C168" s="1523">
        <v>2019</v>
      </c>
      <c r="D168" s="1523" t="s">
        <v>2578</v>
      </c>
      <c r="E168" s="1791" t="s">
        <v>416</v>
      </c>
      <c r="F168" s="1790" t="s">
        <v>416</v>
      </c>
      <c r="G168" s="1792" t="s">
        <v>1879</v>
      </c>
      <c r="H168" s="1564">
        <v>213.53</v>
      </c>
      <c r="I168" s="2533">
        <f t="shared" si="21"/>
        <v>0</v>
      </c>
      <c r="J168" s="2643">
        <f t="shared" si="18"/>
        <v>213.53</v>
      </c>
      <c r="K168" s="2643">
        <f t="shared" si="19"/>
        <v>213.53</v>
      </c>
      <c r="L168" s="2643">
        <f t="shared" si="20"/>
        <v>0</v>
      </c>
      <c r="M168" s="1759"/>
      <c r="N168" s="2372">
        <v>0</v>
      </c>
      <c r="O168" s="1758">
        <v>0</v>
      </c>
      <c r="P168" s="1794">
        <v>0</v>
      </c>
      <c r="Q168" s="1793">
        <v>0</v>
      </c>
      <c r="R168" s="2408">
        <v>149.47</v>
      </c>
      <c r="S168" s="2409">
        <v>-149.47</v>
      </c>
      <c r="T168" s="1545">
        <v>0</v>
      </c>
      <c r="U168" s="2341"/>
      <c r="V168" s="2341"/>
      <c r="W168" s="2341"/>
      <c r="X168" s="2341"/>
      <c r="Y168" s="1810">
        <v>0</v>
      </c>
      <c r="Z168" s="1810">
        <v>0</v>
      </c>
      <c r="AA168" s="1619">
        <v>0</v>
      </c>
      <c r="AB168" s="1619">
        <v>0</v>
      </c>
      <c r="AC168" s="1523" t="s">
        <v>2553</v>
      </c>
      <c r="AD168" s="570" t="s">
        <v>1329</v>
      </c>
      <c r="AE168" s="1590" t="s">
        <v>355</v>
      </c>
      <c r="AF168" s="1812" t="s">
        <v>1283</v>
      </c>
      <c r="AG168" s="1812" t="s">
        <v>1283</v>
      </c>
      <c r="AH168" s="2219">
        <v>2</v>
      </c>
      <c r="AI168" s="2218"/>
      <c r="AJ168" s="2416">
        <v>149.47</v>
      </c>
      <c r="AK168" s="516">
        <v>0</v>
      </c>
      <c r="AL168" s="1215">
        <v>0</v>
      </c>
      <c r="AM168" s="1217">
        <v>0</v>
      </c>
      <c r="AN168" s="1295"/>
      <c r="AO168" s="1295"/>
      <c r="AP168" s="1526"/>
      <c r="AQ168" s="2220" t="s">
        <v>338</v>
      </c>
      <c r="AR168" s="2221">
        <v>6</v>
      </c>
      <c r="AS168" s="2221">
        <v>4</v>
      </c>
      <c r="AT168" s="674">
        <v>6</v>
      </c>
      <c r="AU168" s="1296"/>
      <c r="AV168" s="2222"/>
      <c r="AW168" s="2223"/>
      <c r="AX168" s="2790"/>
      <c r="AY168" s="2790"/>
      <c r="AZ168" s="1523" t="s">
        <v>2553</v>
      </c>
      <c r="BA168" s="1523"/>
      <c r="BB168" s="1652" t="s">
        <v>2444</v>
      </c>
      <c r="BC168" s="1347" t="s">
        <v>1209</v>
      </c>
      <c r="BD168" s="1347" t="s">
        <v>1209</v>
      </c>
      <c r="BE168" s="2224" t="s">
        <v>1540</v>
      </c>
      <c r="BF168" s="2225"/>
      <c r="BG168" s="2226"/>
      <c r="BH168" s="2227"/>
      <c r="BI168" s="2227"/>
      <c r="BJ168" s="708"/>
      <c r="BK168" s="707"/>
      <c r="BL168" s="1564">
        <v>0</v>
      </c>
      <c r="BM168" s="1759">
        <v>213.53</v>
      </c>
      <c r="BN168" s="2112">
        <v>363</v>
      </c>
      <c r="BO168" s="2109">
        <v>363</v>
      </c>
      <c r="BP168" s="2317">
        <v>363</v>
      </c>
      <c r="BQ168" s="1765">
        <v>0</v>
      </c>
      <c r="BR168" s="1654">
        <v>213.53</v>
      </c>
      <c r="BS168" s="2128">
        <v>0</v>
      </c>
      <c r="BT168" s="54">
        <v>0</v>
      </c>
      <c r="BU168" s="1766"/>
      <c r="BV168" s="1751">
        <v>0</v>
      </c>
      <c r="BW168" s="2117">
        <v>0</v>
      </c>
      <c r="BX168" s="965">
        <v>0</v>
      </c>
      <c r="BY168" s="1385"/>
      <c r="BZ168" s="1748">
        <v>0</v>
      </c>
      <c r="CA168" s="1748">
        <v>0</v>
      </c>
      <c r="CB168" s="2228">
        <v>0</v>
      </c>
      <c r="CC168" s="2186"/>
      <c r="CD168" s="1372"/>
      <c r="CE168" s="2187"/>
      <c r="CF168" s="961">
        <v>11</v>
      </c>
      <c r="CG168" s="2229">
        <v>0</v>
      </c>
      <c r="CH168" s="2229">
        <v>0</v>
      </c>
      <c r="CI168" s="2230">
        <v>0</v>
      </c>
      <c r="CJ168" s="2230">
        <v>363</v>
      </c>
    </row>
    <row r="169" spans="1:93" ht="26.25" hidden="1" thickBot="1" x14ac:dyDescent="0.3">
      <c r="A169" s="173" t="s">
        <v>1881</v>
      </c>
      <c r="B169" s="144" t="s">
        <v>2079</v>
      </c>
      <c r="C169" s="75">
        <v>2019</v>
      </c>
      <c r="D169" s="83" t="s">
        <v>2578</v>
      </c>
      <c r="E169" s="76" t="s">
        <v>402</v>
      </c>
      <c r="F169" s="84" t="s">
        <v>402</v>
      </c>
      <c r="G169" s="228" t="s">
        <v>1882</v>
      </c>
      <c r="H169" s="25">
        <v>491.875</v>
      </c>
      <c r="I169" s="2533">
        <f t="shared" si="21"/>
        <v>0</v>
      </c>
      <c r="J169" s="2643">
        <f t="shared" si="18"/>
        <v>491.875</v>
      </c>
      <c r="K169" s="2643">
        <f t="shared" si="19"/>
        <v>491.875</v>
      </c>
      <c r="L169" s="2643">
        <f t="shared" si="20"/>
        <v>0</v>
      </c>
      <c r="M169" s="1438"/>
      <c r="N169" s="542">
        <v>0</v>
      </c>
      <c r="O169" s="44">
        <v>0</v>
      </c>
      <c r="P169" s="375">
        <v>0</v>
      </c>
      <c r="Q169" s="26">
        <v>0</v>
      </c>
      <c r="R169" s="2350">
        <v>0</v>
      </c>
      <c r="S169" s="1456">
        <v>0</v>
      </c>
      <c r="T169" s="1463">
        <v>0</v>
      </c>
      <c r="U169" s="2337"/>
      <c r="V169" s="2337"/>
      <c r="W169" s="2337"/>
      <c r="X169" s="2337"/>
      <c r="Y169" s="378">
        <v>0</v>
      </c>
      <c r="Z169" s="378">
        <v>0</v>
      </c>
      <c r="AA169" s="27">
        <v>0</v>
      </c>
      <c r="AB169" s="27">
        <v>0</v>
      </c>
      <c r="AC169" s="83" t="s">
        <v>1209</v>
      </c>
      <c r="AD169" s="143" t="s">
        <v>1329</v>
      </c>
      <c r="AE169" s="379" t="s">
        <v>355</v>
      </c>
      <c r="AF169" s="1764" t="s">
        <v>1283</v>
      </c>
      <c r="AG169" s="1764" t="s">
        <v>1283</v>
      </c>
      <c r="AH169" s="73">
        <v>8</v>
      </c>
      <c r="AI169" s="967"/>
      <c r="AJ169" s="2416">
        <v>0</v>
      </c>
      <c r="AK169" s="516">
        <v>0</v>
      </c>
      <c r="AL169" s="351">
        <v>0</v>
      </c>
      <c r="AM169" s="509">
        <v>0</v>
      </c>
      <c r="AN169" s="1140"/>
      <c r="AO169" s="1140"/>
      <c r="AP169" s="189"/>
      <c r="AQ169" s="1519" t="s">
        <v>338</v>
      </c>
      <c r="AR169" s="976">
        <v>6</v>
      </c>
      <c r="AS169" s="976">
        <v>4</v>
      </c>
      <c r="AT169" s="674">
        <v>6</v>
      </c>
      <c r="AU169" s="1296"/>
      <c r="AV169" s="735"/>
      <c r="AW169" s="62"/>
      <c r="AX169" s="14"/>
      <c r="AY169" s="14"/>
      <c r="AZ169" s="83" t="s">
        <v>1209</v>
      </c>
      <c r="BA169" s="83"/>
      <c r="BB169" s="1273" t="s">
        <v>2445</v>
      </c>
      <c r="BC169" s="8" t="s">
        <v>1209</v>
      </c>
      <c r="BD169" s="8" t="s">
        <v>1209</v>
      </c>
      <c r="BE169" s="933" t="s">
        <v>1540</v>
      </c>
      <c r="BF169" s="913"/>
      <c r="BG169" s="658"/>
      <c r="BH169" s="518"/>
      <c r="BI169" s="518"/>
      <c r="BJ169" s="459"/>
      <c r="BK169" s="2"/>
      <c r="BL169" s="25">
        <v>0</v>
      </c>
      <c r="BM169" s="1438">
        <v>491.875</v>
      </c>
      <c r="BN169" s="2105">
        <v>491.875</v>
      </c>
      <c r="BO169" s="1500">
        <v>491.875</v>
      </c>
      <c r="BP169" s="2313">
        <v>491.875</v>
      </c>
      <c r="BQ169" s="1579">
        <v>0</v>
      </c>
      <c r="BR169" s="1614">
        <v>491.875</v>
      </c>
      <c r="BS169" s="1581">
        <v>0</v>
      </c>
      <c r="BT169" s="54">
        <v>0</v>
      </c>
      <c r="BU169" s="1575"/>
      <c r="BV169" s="1443">
        <v>0</v>
      </c>
      <c r="BW169" s="1497">
        <v>0</v>
      </c>
      <c r="BX169" s="20">
        <v>0</v>
      </c>
      <c r="BY169" s="16"/>
      <c r="BZ169" s="264">
        <v>0</v>
      </c>
      <c r="CA169" s="264">
        <v>0</v>
      </c>
      <c r="CB169" s="975">
        <v>0</v>
      </c>
      <c r="CC169" s="1102"/>
      <c r="CD169" s="821"/>
      <c r="CE169" s="318"/>
      <c r="CF169">
        <v>11</v>
      </c>
      <c r="CG169" s="253">
        <v>0</v>
      </c>
      <c r="CH169" s="253">
        <v>0</v>
      </c>
      <c r="CI169" s="266">
        <v>0</v>
      </c>
      <c r="CJ169" s="266">
        <v>491.875</v>
      </c>
    </row>
    <row r="170" spans="1:93" s="1013" customFormat="1" ht="26.25" hidden="1" thickBot="1" x14ac:dyDescent="0.3">
      <c r="A170" s="173" t="s">
        <v>1904</v>
      </c>
      <c r="B170" s="144" t="s">
        <v>2080</v>
      </c>
      <c r="C170" s="75">
        <v>2019</v>
      </c>
      <c r="D170" s="83" t="s">
        <v>2578</v>
      </c>
      <c r="E170" s="76" t="s">
        <v>356</v>
      </c>
      <c r="F170" s="84" t="s">
        <v>356</v>
      </c>
      <c r="G170" s="228" t="s">
        <v>1905</v>
      </c>
      <c r="H170" s="25">
        <v>450</v>
      </c>
      <c r="I170" s="2533">
        <f t="shared" si="21"/>
        <v>0</v>
      </c>
      <c r="J170" s="2643">
        <f t="shared" si="18"/>
        <v>450</v>
      </c>
      <c r="K170" s="2643">
        <f t="shared" si="19"/>
        <v>450</v>
      </c>
      <c r="L170" s="2643">
        <f t="shared" si="20"/>
        <v>0</v>
      </c>
      <c r="M170" s="1438"/>
      <c r="N170" s="542">
        <v>0</v>
      </c>
      <c r="O170" s="44">
        <v>0</v>
      </c>
      <c r="P170" s="375">
        <v>0</v>
      </c>
      <c r="Q170" s="26">
        <v>0</v>
      </c>
      <c r="R170" s="2350">
        <v>0</v>
      </c>
      <c r="S170" s="1456">
        <v>0</v>
      </c>
      <c r="T170" s="1463">
        <v>0</v>
      </c>
      <c r="U170" s="2337"/>
      <c r="V170" s="2337"/>
      <c r="W170" s="2337"/>
      <c r="X170" s="2337"/>
      <c r="Y170" s="378">
        <v>0</v>
      </c>
      <c r="Z170" s="378">
        <v>0</v>
      </c>
      <c r="AA170" s="27">
        <v>0</v>
      </c>
      <c r="AB170" s="27">
        <v>0</v>
      </c>
      <c r="AC170" s="75" t="s">
        <v>2446</v>
      </c>
      <c r="AD170" s="143" t="s">
        <v>1329</v>
      </c>
      <c r="AE170" s="379" t="s">
        <v>355</v>
      </c>
      <c r="AF170" s="1764" t="s">
        <v>1283</v>
      </c>
      <c r="AG170" s="1764" t="s">
        <v>1283</v>
      </c>
      <c r="AH170" s="76">
        <v>6</v>
      </c>
      <c r="AI170" s="1967"/>
      <c r="AJ170" s="2416">
        <v>0</v>
      </c>
      <c r="AK170" s="516">
        <v>0</v>
      </c>
      <c r="AL170" s="452">
        <v>0</v>
      </c>
      <c r="AM170" s="513">
        <v>0</v>
      </c>
      <c r="AN170" s="1142"/>
      <c r="AO170" s="1142"/>
      <c r="AP170" s="191"/>
      <c r="AQ170" s="1968" t="s">
        <v>338</v>
      </c>
      <c r="AR170" s="1969">
        <v>6</v>
      </c>
      <c r="AS170" s="1969">
        <v>4</v>
      </c>
      <c r="AT170" s="1968">
        <v>6</v>
      </c>
      <c r="AU170" s="1494"/>
      <c r="AV170" s="928"/>
      <c r="AW170" s="812"/>
      <c r="AX170" s="588"/>
      <c r="AY170" s="588"/>
      <c r="AZ170" s="75" t="s">
        <v>2446</v>
      </c>
      <c r="BA170" s="75"/>
      <c r="BB170" s="75" t="s">
        <v>2446</v>
      </c>
      <c r="BC170" s="75" t="s">
        <v>1209</v>
      </c>
      <c r="BD170" s="75" t="s">
        <v>1209</v>
      </c>
      <c r="BE170" s="1912" t="s">
        <v>1540</v>
      </c>
      <c r="BF170" s="1971"/>
      <c r="BG170" s="756"/>
      <c r="BH170" s="1062"/>
      <c r="BI170" s="1062"/>
      <c r="BJ170" s="653"/>
      <c r="BK170" s="433"/>
      <c r="BL170" s="25">
        <v>0</v>
      </c>
      <c r="BM170" s="1438">
        <v>450</v>
      </c>
      <c r="BN170" s="2105">
        <v>450</v>
      </c>
      <c r="BO170" s="2105">
        <v>450</v>
      </c>
      <c r="BP170" s="2314">
        <v>0</v>
      </c>
      <c r="BQ170" s="1482">
        <v>0</v>
      </c>
      <c r="BR170" s="27">
        <v>450</v>
      </c>
      <c r="BS170" s="172">
        <v>450</v>
      </c>
      <c r="BT170" s="54">
        <v>450</v>
      </c>
      <c r="BU170" s="40"/>
      <c r="BV170" s="1482">
        <v>0</v>
      </c>
      <c r="BW170" s="1498">
        <v>0</v>
      </c>
      <c r="BX170" s="25">
        <v>0</v>
      </c>
      <c r="BY170" s="655"/>
      <c r="BZ170" s="866">
        <v>0</v>
      </c>
      <c r="CA170" s="866">
        <v>0</v>
      </c>
      <c r="CB170" s="1973">
        <v>0</v>
      </c>
      <c r="CC170" s="1914"/>
      <c r="CD170" s="1915"/>
      <c r="CE170" s="591"/>
      <c r="CF170" s="1013">
        <v>11</v>
      </c>
      <c r="CG170" s="374">
        <v>0</v>
      </c>
      <c r="CH170" s="374">
        <v>0</v>
      </c>
      <c r="CI170" s="1037">
        <v>0</v>
      </c>
      <c r="CJ170" s="1037">
        <v>450</v>
      </c>
    </row>
    <row r="171" spans="1:93" s="1013" customFormat="1" ht="26.25" hidden="1" thickBot="1" x14ac:dyDescent="0.3">
      <c r="A171" s="173" t="s">
        <v>1906</v>
      </c>
      <c r="B171" s="144" t="s">
        <v>2081</v>
      </c>
      <c r="C171" s="75">
        <v>2019</v>
      </c>
      <c r="D171" s="83" t="s">
        <v>2578</v>
      </c>
      <c r="E171" s="76" t="s">
        <v>356</v>
      </c>
      <c r="F171" s="84" t="s">
        <v>356</v>
      </c>
      <c r="G171" s="228" t="s">
        <v>1907</v>
      </c>
      <c r="H171" s="25">
        <v>400</v>
      </c>
      <c r="I171" s="2533">
        <f t="shared" si="21"/>
        <v>0</v>
      </c>
      <c r="J171" s="2643">
        <f t="shared" si="18"/>
        <v>400</v>
      </c>
      <c r="K171" s="2643">
        <f t="shared" si="19"/>
        <v>400</v>
      </c>
      <c r="L171" s="2643">
        <f t="shared" si="20"/>
        <v>0</v>
      </c>
      <c r="M171" s="1438"/>
      <c r="N171" s="542">
        <v>0</v>
      </c>
      <c r="O171" s="44">
        <v>0</v>
      </c>
      <c r="P171" s="375">
        <v>0</v>
      </c>
      <c r="Q171" s="26">
        <v>0</v>
      </c>
      <c r="R171" s="2350">
        <v>0</v>
      </c>
      <c r="S171" s="1456">
        <v>0</v>
      </c>
      <c r="T171" s="1463">
        <v>0</v>
      </c>
      <c r="U171" s="2337"/>
      <c r="V171" s="2337"/>
      <c r="W171" s="2337"/>
      <c r="X171" s="2337"/>
      <c r="Y171" s="378">
        <v>0</v>
      </c>
      <c r="Z171" s="378">
        <v>0</v>
      </c>
      <c r="AA171" s="27">
        <v>0</v>
      </c>
      <c r="AB171" s="27">
        <v>0</v>
      </c>
      <c r="AC171" s="75" t="s">
        <v>2446</v>
      </c>
      <c r="AD171" s="143" t="s">
        <v>1329</v>
      </c>
      <c r="AE171" s="379" t="s">
        <v>355</v>
      </c>
      <c r="AF171" s="1764" t="s">
        <v>1283</v>
      </c>
      <c r="AG171" s="1764" t="s">
        <v>1283</v>
      </c>
      <c r="AH171" s="76">
        <v>6</v>
      </c>
      <c r="AI171" s="1967"/>
      <c r="AJ171" s="2416">
        <v>0</v>
      </c>
      <c r="AK171" s="516">
        <v>0</v>
      </c>
      <c r="AL171" s="452">
        <v>0</v>
      </c>
      <c r="AM171" s="513">
        <v>0</v>
      </c>
      <c r="AN171" s="1142"/>
      <c r="AO171" s="1142"/>
      <c r="AP171" s="191"/>
      <c r="AQ171" s="1968" t="s">
        <v>338</v>
      </c>
      <c r="AR171" s="1969">
        <v>6</v>
      </c>
      <c r="AS171" s="1969">
        <v>4</v>
      </c>
      <c r="AT171" s="1968">
        <v>6</v>
      </c>
      <c r="AU171" s="1494"/>
      <c r="AV171" s="928"/>
      <c r="AW171" s="812"/>
      <c r="AX171" s="588"/>
      <c r="AY171" s="588"/>
      <c r="AZ171" s="75" t="s">
        <v>2446</v>
      </c>
      <c r="BA171" s="75"/>
      <c r="BB171" s="75" t="s">
        <v>2446</v>
      </c>
      <c r="BC171" s="75" t="s">
        <v>1209</v>
      </c>
      <c r="BD171" s="75" t="s">
        <v>1209</v>
      </c>
      <c r="BE171" s="1912" t="s">
        <v>1540</v>
      </c>
      <c r="BF171" s="1971"/>
      <c r="BG171" s="756"/>
      <c r="BH171" s="1062"/>
      <c r="BI171" s="1062"/>
      <c r="BJ171" s="653"/>
      <c r="BK171" s="433"/>
      <c r="BL171" s="25">
        <v>0</v>
      </c>
      <c r="BM171" s="1438">
        <v>400</v>
      </c>
      <c r="BN171" s="2105">
        <v>400</v>
      </c>
      <c r="BO171" s="2105">
        <v>400</v>
      </c>
      <c r="BP171" s="2314">
        <v>0</v>
      </c>
      <c r="BQ171" s="1482">
        <v>0</v>
      </c>
      <c r="BR171" s="27">
        <v>400</v>
      </c>
      <c r="BS171" s="172">
        <v>400</v>
      </c>
      <c r="BT171" s="54">
        <v>400</v>
      </c>
      <c r="BU171" s="40"/>
      <c r="BV171" s="1482">
        <v>0</v>
      </c>
      <c r="BW171" s="1498">
        <v>0</v>
      </c>
      <c r="BX171" s="25">
        <v>0</v>
      </c>
      <c r="BY171" s="655"/>
      <c r="BZ171" s="866">
        <v>0</v>
      </c>
      <c r="CA171" s="866">
        <v>0</v>
      </c>
      <c r="CB171" s="1973">
        <v>0</v>
      </c>
      <c r="CC171" s="1914"/>
      <c r="CD171" s="1915"/>
      <c r="CE171" s="591"/>
      <c r="CF171" s="1013">
        <v>11</v>
      </c>
      <c r="CG171" s="374">
        <v>0</v>
      </c>
      <c r="CH171" s="374">
        <v>0</v>
      </c>
      <c r="CI171" s="1037">
        <v>0</v>
      </c>
      <c r="CJ171" s="1037">
        <v>400</v>
      </c>
    </row>
    <row r="172" spans="1:93" ht="30.75" hidden="1" thickBot="1" x14ac:dyDescent="0.3">
      <c r="A172" s="2292" t="s">
        <v>1908</v>
      </c>
      <c r="B172" s="2683" t="s">
        <v>2082</v>
      </c>
      <c r="C172" s="977">
        <v>2019</v>
      </c>
      <c r="D172" s="1872" t="s">
        <v>2578</v>
      </c>
      <c r="E172" s="2744" t="s">
        <v>422</v>
      </c>
      <c r="F172" s="2745" t="s">
        <v>422</v>
      </c>
      <c r="G172" s="2746" t="s">
        <v>1909</v>
      </c>
      <c r="H172" s="978">
        <v>4790.8055000000004</v>
      </c>
      <c r="I172" s="978">
        <v>4790.8055000000004</v>
      </c>
      <c r="J172" s="2747"/>
      <c r="K172" s="2747">
        <v>0</v>
      </c>
      <c r="L172" s="2773">
        <v>0</v>
      </c>
      <c r="M172" s="2782"/>
      <c r="N172" s="2776">
        <v>0</v>
      </c>
      <c r="O172" s="2748">
        <v>0</v>
      </c>
      <c r="P172" s="2749">
        <v>0</v>
      </c>
      <c r="Q172" s="2748">
        <v>0</v>
      </c>
      <c r="R172" s="2750">
        <v>1309.1945000000001</v>
      </c>
      <c r="S172" s="2751">
        <v>-1309.1945000000001</v>
      </c>
      <c r="T172" s="2750">
        <f>R172+S172</f>
        <v>0</v>
      </c>
      <c r="U172" s="3187"/>
      <c r="V172" s="3187"/>
      <c r="W172" s="3187"/>
      <c r="X172" s="3187"/>
      <c r="Y172" s="2752">
        <v>0</v>
      </c>
      <c r="Z172" s="2752">
        <v>0</v>
      </c>
      <c r="AA172" s="2297">
        <v>0</v>
      </c>
      <c r="AB172" s="2297">
        <v>0</v>
      </c>
      <c r="AC172" s="977" t="s">
        <v>2631</v>
      </c>
      <c r="AD172" s="989" t="s">
        <v>1329</v>
      </c>
      <c r="AE172" s="2307" t="s">
        <v>1318</v>
      </c>
      <c r="AF172" s="2753" t="s">
        <v>1283</v>
      </c>
      <c r="AG172" s="2753" t="s">
        <v>1283</v>
      </c>
      <c r="AH172" s="2744">
        <v>12</v>
      </c>
      <c r="AI172" s="729"/>
      <c r="AJ172" s="2331"/>
      <c r="AK172" s="2627">
        <f>H172-I172-T172-Y172-Z172-AA172-AB172</f>
        <v>0</v>
      </c>
      <c r="AL172" s="456">
        <f>T172-R172-S172</f>
        <v>0</v>
      </c>
      <c r="AM172" s="514">
        <f>T172-N172-O172-P172-Q172</f>
        <v>0</v>
      </c>
      <c r="AN172" s="1141"/>
      <c r="AO172" s="1141"/>
      <c r="AP172" s="258"/>
      <c r="AQ172" s="1518" t="s">
        <v>338</v>
      </c>
      <c r="AR172" s="340">
        <v>6</v>
      </c>
      <c r="AS172" s="340">
        <v>4</v>
      </c>
      <c r="AT172" s="2756">
        <v>7</v>
      </c>
      <c r="AU172" s="1136"/>
      <c r="AV172" s="521"/>
      <c r="AW172" s="62"/>
      <c r="AX172" s="60"/>
      <c r="AY172" s="977" t="s">
        <v>2631</v>
      </c>
      <c r="AZ172" s="1620" t="s">
        <v>2554</v>
      </c>
      <c r="BA172" s="1620"/>
      <c r="BB172" s="1620" t="s">
        <v>2447</v>
      </c>
      <c r="BC172" s="170" t="s">
        <v>1209</v>
      </c>
      <c r="BD172" s="170" t="s">
        <v>1209</v>
      </c>
      <c r="BE172" s="933" t="s">
        <v>1540</v>
      </c>
      <c r="BF172" s="913"/>
      <c r="BG172" s="658"/>
      <c r="BH172" s="518"/>
      <c r="BI172" s="518"/>
      <c r="BJ172" s="459"/>
      <c r="BK172" s="2"/>
      <c r="BL172" s="50">
        <v>0</v>
      </c>
      <c r="BM172" s="370">
        <f>2999.12432+1791.68118</f>
        <v>4790.8055000000004</v>
      </c>
      <c r="BN172" s="370"/>
      <c r="BO172" s="1501">
        <v>6100</v>
      </c>
      <c r="BP172" s="2313">
        <v>3100.8756800000001</v>
      </c>
      <c r="BQ172" s="1622">
        <v>0</v>
      </c>
      <c r="BR172" s="1623">
        <v>6100</v>
      </c>
      <c r="BS172" s="2135">
        <f>856.62112+2142.5032</f>
        <v>2999.1243199999999</v>
      </c>
      <c r="BT172" s="54">
        <f>BQ172+BS172</f>
        <v>2999.1243199999999</v>
      </c>
      <c r="BU172" s="1760"/>
      <c r="BV172" s="1445">
        <v>0</v>
      </c>
      <c r="BW172" s="370">
        <v>0</v>
      </c>
      <c r="BX172" s="50">
        <v>0</v>
      </c>
      <c r="BY172" s="825"/>
      <c r="BZ172" s="264">
        <v>0</v>
      </c>
      <c r="CA172" s="264">
        <v>0</v>
      </c>
      <c r="CB172" s="975">
        <v>0</v>
      </c>
      <c r="CC172" s="1102"/>
      <c r="CD172" s="821"/>
      <c r="CE172" s="318"/>
      <c r="CF172" s="1104">
        <v>11</v>
      </c>
      <c r="CG172" s="262">
        <v>0</v>
      </c>
      <c r="CH172" s="262">
        <v>0</v>
      </c>
      <c r="CI172" s="855">
        <v>0</v>
      </c>
      <c r="CJ172" s="855">
        <v>6100</v>
      </c>
      <c r="CK172" s="2747">
        <v>0</v>
      </c>
      <c r="CL172" s="2747">
        <v>0</v>
      </c>
      <c r="CM172" s="1209">
        <v>0</v>
      </c>
      <c r="CN172" s="1209"/>
      <c r="CO172" s="2768"/>
    </row>
    <row r="173" spans="1:93" s="961" customFormat="1" ht="26.25" hidden="1" thickBot="1" x14ac:dyDescent="0.3">
      <c r="A173" s="1534" t="s">
        <v>2083</v>
      </c>
      <c r="B173" s="1248" t="s">
        <v>2448</v>
      </c>
      <c r="C173" s="979">
        <v>2019</v>
      </c>
      <c r="D173" s="1523" t="s">
        <v>2506</v>
      </c>
      <c r="E173" s="1536" t="s">
        <v>2084</v>
      </c>
      <c r="F173" s="1591" t="s">
        <v>2084</v>
      </c>
      <c r="G173" s="1774" t="s">
        <v>2085</v>
      </c>
      <c r="H173" s="980">
        <v>317.02</v>
      </c>
      <c r="I173" s="2533">
        <f t="shared" si="21"/>
        <v>0</v>
      </c>
      <c r="J173" s="2643">
        <f t="shared" si="18"/>
        <v>317.02</v>
      </c>
      <c r="K173" s="2643">
        <f t="shared" si="19"/>
        <v>317.02</v>
      </c>
      <c r="L173" s="2643">
        <f t="shared" si="20"/>
        <v>0</v>
      </c>
      <c r="M173" s="1759"/>
      <c r="N173" s="2361">
        <v>0</v>
      </c>
      <c r="O173" s="1540">
        <v>0</v>
      </c>
      <c r="P173" s="1541">
        <v>0</v>
      </c>
      <c r="Q173" s="1542">
        <v>0</v>
      </c>
      <c r="R173" s="2408">
        <v>45.980000000000018</v>
      </c>
      <c r="S173" s="2409">
        <v>-45.98</v>
      </c>
      <c r="T173" s="1545">
        <v>0</v>
      </c>
      <c r="U173" s="2341"/>
      <c r="V173" s="2341"/>
      <c r="W173" s="2341"/>
      <c r="X173" s="2341"/>
      <c r="Y173" s="1262">
        <v>0</v>
      </c>
      <c r="Z173" s="1262">
        <v>0</v>
      </c>
      <c r="AA173" s="1539">
        <v>0</v>
      </c>
      <c r="AB173" s="1539">
        <v>0</v>
      </c>
      <c r="AC173" s="979" t="s">
        <v>2555</v>
      </c>
      <c r="AD173" s="982" t="s">
        <v>1329</v>
      </c>
      <c r="AE173" s="1811" t="s">
        <v>355</v>
      </c>
      <c r="AF173" s="1812" t="s">
        <v>1283</v>
      </c>
      <c r="AG173" s="1812" t="s">
        <v>1283</v>
      </c>
      <c r="AH173" s="2231" t="s">
        <v>2264</v>
      </c>
      <c r="AI173" s="2218"/>
      <c r="AJ173" s="2416">
        <v>45.980000000000018</v>
      </c>
      <c r="AK173" s="516">
        <v>0</v>
      </c>
      <c r="AL173" s="1215">
        <v>0</v>
      </c>
      <c r="AM173" s="1217">
        <v>0</v>
      </c>
      <c r="AN173" s="1295"/>
      <c r="AO173" s="1295"/>
      <c r="AP173" s="1526"/>
      <c r="AQ173" s="2220" t="s">
        <v>338</v>
      </c>
      <c r="AR173" s="2221">
        <v>6</v>
      </c>
      <c r="AS173" s="2221">
        <v>5</v>
      </c>
      <c r="AT173" s="674">
        <v>6</v>
      </c>
      <c r="AU173" s="1296"/>
      <c r="AV173" s="2222"/>
      <c r="AW173" s="2223"/>
      <c r="AX173" s="2790"/>
      <c r="AY173" s="2790"/>
      <c r="AZ173" s="979" t="s">
        <v>2555</v>
      </c>
      <c r="BA173" s="979"/>
      <c r="BB173" s="1599" t="s">
        <v>2449</v>
      </c>
      <c r="BC173" s="919" t="s">
        <v>1540</v>
      </c>
      <c r="BD173" s="2232" t="s">
        <v>1540</v>
      </c>
      <c r="BE173" s="2178"/>
      <c r="BF173" s="2225"/>
      <c r="BG173" s="2226"/>
      <c r="BH173" s="2227"/>
      <c r="BI173" s="2227"/>
      <c r="BJ173" s="708"/>
      <c r="BK173" s="707"/>
      <c r="BL173" s="980">
        <v>0</v>
      </c>
      <c r="BM173" s="1759">
        <v>317.02</v>
      </c>
      <c r="BN173" s="2112">
        <v>363</v>
      </c>
      <c r="BO173" s="2109">
        <v>363</v>
      </c>
      <c r="BP173" s="2317">
        <v>363</v>
      </c>
      <c r="BQ173" s="1641">
        <v>0</v>
      </c>
      <c r="BR173" s="1643">
        <v>317.02</v>
      </c>
      <c r="BS173" s="2133">
        <v>0</v>
      </c>
      <c r="BT173" s="54">
        <v>0</v>
      </c>
      <c r="BU173" s="1597"/>
      <c r="BV173" s="1632">
        <v>0</v>
      </c>
      <c r="BW173" s="2181">
        <v>0</v>
      </c>
      <c r="BX173" s="2182">
        <v>0</v>
      </c>
      <c r="BY173" s="2183"/>
      <c r="BZ173" s="1372"/>
      <c r="CA173" s="1372"/>
      <c r="CB173" s="2186"/>
      <c r="CC173" s="2186"/>
      <c r="CD173" s="1372"/>
      <c r="CE173" s="2187"/>
      <c r="CG173" s="1633">
        <v>0</v>
      </c>
      <c r="CH173" s="1633">
        <v>0</v>
      </c>
      <c r="CI173" s="1634">
        <v>0</v>
      </c>
      <c r="CJ173" s="1634">
        <v>363</v>
      </c>
    </row>
    <row r="174" spans="1:93" s="1013" customFormat="1" ht="30.75" hidden="1" thickBot="1" x14ac:dyDescent="0.3">
      <c r="A174" s="173" t="s">
        <v>2139</v>
      </c>
      <c r="B174" s="144" t="s">
        <v>2451</v>
      </c>
      <c r="C174" s="75">
        <v>2019</v>
      </c>
      <c r="D174" s="83" t="s">
        <v>2506</v>
      </c>
      <c r="E174" s="76" t="s">
        <v>347</v>
      </c>
      <c r="F174" s="84" t="s">
        <v>1305</v>
      </c>
      <c r="G174" s="228" t="s">
        <v>2140</v>
      </c>
      <c r="H174" s="25">
        <v>322.5376</v>
      </c>
      <c r="I174" s="2533">
        <f t="shared" si="21"/>
        <v>0</v>
      </c>
      <c r="J174" s="2643">
        <f t="shared" si="18"/>
        <v>322.5376</v>
      </c>
      <c r="K174" s="2643">
        <f t="shared" si="19"/>
        <v>322.5376</v>
      </c>
      <c r="L174" s="2643">
        <f t="shared" si="20"/>
        <v>0</v>
      </c>
      <c r="M174" s="1438"/>
      <c r="N174" s="542">
        <v>0</v>
      </c>
      <c r="O174" s="44">
        <v>0</v>
      </c>
      <c r="P174" s="375">
        <v>0</v>
      </c>
      <c r="Q174" s="26">
        <v>0</v>
      </c>
      <c r="R174" s="2350">
        <v>4.0000000001327862E-4</v>
      </c>
      <c r="S174" s="1456">
        <v>-4.0000000001327862E-4</v>
      </c>
      <c r="T174" s="1463">
        <v>0</v>
      </c>
      <c r="U174" s="2337"/>
      <c r="V174" s="2337"/>
      <c r="W174" s="2337"/>
      <c r="X174" s="2337"/>
      <c r="Y174" s="378">
        <v>0</v>
      </c>
      <c r="Z174" s="378">
        <v>0</v>
      </c>
      <c r="AA174" s="27">
        <v>0</v>
      </c>
      <c r="AB174" s="27">
        <v>0</v>
      </c>
      <c r="AC174" s="75" t="s">
        <v>1209</v>
      </c>
      <c r="AD174" s="143" t="s">
        <v>1329</v>
      </c>
      <c r="AE174" s="1815" t="s">
        <v>355</v>
      </c>
      <c r="AF174" s="1764" t="s">
        <v>1283</v>
      </c>
      <c r="AG174" s="1764" t="s">
        <v>1283</v>
      </c>
      <c r="AH174" s="302">
        <v>12</v>
      </c>
      <c r="AI174" s="1967"/>
      <c r="AJ174" s="2416">
        <v>4.0000000001327862E-4</v>
      </c>
      <c r="AK174" s="516">
        <v>0</v>
      </c>
      <c r="AL174" s="452">
        <v>0</v>
      </c>
      <c r="AM174" s="513">
        <v>0</v>
      </c>
      <c r="AN174" s="1142"/>
      <c r="AO174" s="1142"/>
      <c r="AP174" s="191"/>
      <c r="AQ174" s="1968" t="s">
        <v>338</v>
      </c>
      <c r="AR174" s="1969">
        <v>6</v>
      </c>
      <c r="AS174" s="1969">
        <v>5</v>
      </c>
      <c r="AT174" s="1968">
        <v>6</v>
      </c>
      <c r="AU174" s="1494"/>
      <c r="AV174" s="928"/>
      <c r="AW174" s="2077" t="s">
        <v>2493</v>
      </c>
      <c r="AX174" s="2791"/>
      <c r="AY174" s="2791"/>
      <c r="AZ174" s="75" t="s">
        <v>1209</v>
      </c>
      <c r="BA174" s="75"/>
      <c r="BB174" s="75" t="s">
        <v>2446</v>
      </c>
      <c r="BC174" s="75" t="s">
        <v>1540</v>
      </c>
      <c r="BD174" s="1912" t="s">
        <v>1540</v>
      </c>
      <c r="BE174" s="1917"/>
      <c r="BF174" s="1971"/>
      <c r="BG174" s="756"/>
      <c r="BH174" s="1062"/>
      <c r="BI174" s="1062"/>
      <c r="BJ174" s="653"/>
      <c r="BK174" s="433"/>
      <c r="BL174" s="25">
        <v>0</v>
      </c>
      <c r="BM174" s="1438">
        <v>322.5376</v>
      </c>
      <c r="BN174" s="2105">
        <v>322.53800000000001</v>
      </c>
      <c r="BO174" s="2105">
        <v>322.53800000000001</v>
      </c>
      <c r="BP174" s="2314">
        <v>0</v>
      </c>
      <c r="BQ174" s="1482">
        <v>0</v>
      </c>
      <c r="BR174" s="27">
        <v>322.53800000000001</v>
      </c>
      <c r="BS174" s="172">
        <v>322.53800000000001</v>
      </c>
      <c r="BT174" s="54">
        <v>322.53800000000001</v>
      </c>
      <c r="BU174" s="44"/>
      <c r="BV174" s="1482">
        <v>0</v>
      </c>
      <c r="BW174" s="866">
        <v>0</v>
      </c>
      <c r="BX174" s="1913">
        <v>0</v>
      </c>
      <c r="BY174" s="1918"/>
      <c r="BZ174" s="1915"/>
      <c r="CA174" s="1915"/>
      <c r="CB174" s="1914"/>
      <c r="CC174" s="1914"/>
      <c r="CD174" s="1915"/>
      <c r="CE174" s="591"/>
      <c r="CG174" s="374">
        <v>0</v>
      </c>
      <c r="CH174" s="374">
        <v>0</v>
      </c>
      <c r="CI174" s="1037">
        <v>0</v>
      </c>
      <c r="CJ174" s="1037">
        <v>322.53800000000001</v>
      </c>
    </row>
    <row r="175" spans="1:93" s="1013" customFormat="1" ht="15.75" hidden="1" thickBot="1" x14ac:dyDescent="0.3">
      <c r="A175" s="89"/>
      <c r="B175" s="587"/>
      <c r="C175" s="588"/>
      <c r="D175" s="588"/>
      <c r="E175" s="2570"/>
      <c r="F175" s="589"/>
      <c r="G175" s="304"/>
      <c r="H175" s="590"/>
      <c r="I175" s="2533">
        <f t="shared" si="21"/>
        <v>0</v>
      </c>
      <c r="J175" s="2643">
        <f t="shared" si="18"/>
        <v>0</v>
      </c>
      <c r="K175" s="2643">
        <f t="shared" si="19"/>
        <v>0</v>
      </c>
      <c r="L175" s="2643">
        <f t="shared" si="20"/>
        <v>0</v>
      </c>
      <c r="M175" s="1915"/>
      <c r="N175" s="592"/>
      <c r="O175" s="593"/>
      <c r="P175" s="593"/>
      <c r="Q175" s="530"/>
      <c r="R175" s="2571"/>
      <c r="S175" s="2572"/>
      <c r="T175" s="2573"/>
      <c r="U175" s="3188"/>
      <c r="V175" s="3188"/>
      <c r="W175" s="3188"/>
      <c r="X175" s="3188"/>
      <c r="Y175" s="2574"/>
      <c r="Z175" s="2575"/>
      <c r="AA175" s="592"/>
      <c r="AB175" s="592"/>
      <c r="AC175" s="594"/>
      <c r="AD175" s="594"/>
      <c r="AE175" s="1035"/>
      <c r="AF175" s="2576"/>
      <c r="AG175" s="2576"/>
      <c r="AH175" s="302"/>
      <c r="AI175" s="1967"/>
      <c r="AJ175" s="2416"/>
      <c r="AK175" s="516"/>
      <c r="AL175" s="452"/>
      <c r="AM175" s="513"/>
      <c r="AN175" s="1142"/>
      <c r="AO175" s="1142"/>
      <c r="AP175" s="496"/>
      <c r="AQ175" s="662"/>
      <c r="AR175" s="175"/>
      <c r="AS175" s="175"/>
      <c r="AT175" s="662"/>
      <c r="AU175" s="1494"/>
      <c r="AV175" s="759"/>
      <c r="AW175" s="2077"/>
      <c r="AX175" s="2792"/>
      <c r="AY175" s="2792"/>
      <c r="AZ175" s="594"/>
      <c r="BA175" s="594"/>
      <c r="BB175" s="594"/>
      <c r="BC175" s="594"/>
      <c r="BD175" s="1921"/>
      <c r="BE175" s="1921"/>
      <c r="BF175" s="2577"/>
      <c r="BG175" s="756"/>
      <c r="BH175" s="1062"/>
      <c r="BI175" s="1062"/>
      <c r="BJ175" s="653"/>
      <c r="BK175" s="433"/>
      <c r="BL175" s="590"/>
      <c r="BM175" s="1915"/>
      <c r="BN175" s="2511"/>
      <c r="BO175" s="2511"/>
      <c r="BP175" s="2314"/>
      <c r="BQ175" s="1915"/>
      <c r="BR175" s="280"/>
      <c r="BS175" s="591"/>
      <c r="BT175" s="872"/>
      <c r="BU175" s="593"/>
      <c r="BV175" s="2517"/>
      <c r="BW175" s="1915"/>
      <c r="BX175" s="1919"/>
      <c r="BY175" s="1993"/>
      <c r="BZ175" s="1915"/>
      <c r="CA175" s="1915"/>
      <c r="CB175" s="1914"/>
      <c r="CC175" s="1914"/>
      <c r="CD175" s="1915"/>
      <c r="CE175" s="591"/>
      <c r="CG175" s="1936"/>
      <c r="CH175" s="1936"/>
      <c r="CI175" s="2519"/>
      <c r="CJ175" s="2519"/>
    </row>
    <row r="176" spans="1:93" ht="36" hidden="1" customHeight="1" thickBot="1" x14ac:dyDescent="0.3">
      <c r="A176" s="2310" t="s">
        <v>1209</v>
      </c>
      <c r="B176" s="2311" t="s">
        <v>1209</v>
      </c>
      <c r="C176" s="210" t="s">
        <v>1209</v>
      </c>
      <c r="D176" s="140" t="s">
        <v>1209</v>
      </c>
      <c r="E176" s="1188" t="s">
        <v>1209</v>
      </c>
      <c r="F176" s="210" t="s">
        <v>1209</v>
      </c>
      <c r="G176" s="1190" t="s">
        <v>1463</v>
      </c>
      <c r="H176" s="113">
        <f t="shared" ref="H176:AB176" si="22">SUM(H154:H175)</f>
        <v>21079.659020000003</v>
      </c>
      <c r="I176" s="2533">
        <f t="shared" si="21"/>
        <v>38.518290000003617</v>
      </c>
      <c r="J176" s="2643">
        <f t="shared" si="18"/>
        <v>21041.140729999999</v>
      </c>
      <c r="K176" s="2643">
        <f t="shared" si="19"/>
        <v>21079.659020000003</v>
      </c>
      <c r="L176" s="2643">
        <f t="shared" si="20"/>
        <v>0</v>
      </c>
      <c r="M176" s="113"/>
      <c r="N176" s="113">
        <f t="shared" si="22"/>
        <v>0</v>
      </c>
      <c r="O176" s="113">
        <f t="shared" si="22"/>
        <v>0</v>
      </c>
      <c r="P176" s="113">
        <f t="shared" si="22"/>
        <v>0</v>
      </c>
      <c r="Q176" s="113">
        <f t="shared" si="22"/>
        <v>0</v>
      </c>
      <c r="R176" s="113">
        <f t="shared" si="22"/>
        <v>1926.8151100000005</v>
      </c>
      <c r="S176" s="113">
        <f t="shared" si="22"/>
        <v>-1926.81511</v>
      </c>
      <c r="T176" s="113">
        <f t="shared" si="22"/>
        <v>6.1994853695068741E-13</v>
      </c>
      <c r="U176" s="113"/>
      <c r="V176" s="113"/>
      <c r="W176" s="113"/>
      <c r="X176" s="113"/>
      <c r="Y176" s="113">
        <f>SUM(Y154:Y175)</f>
        <v>0</v>
      </c>
      <c r="Z176" s="113">
        <f>SUM(Z154:Z175)</f>
        <v>0</v>
      </c>
      <c r="AA176" s="113">
        <f t="shared" si="22"/>
        <v>0</v>
      </c>
      <c r="AB176" s="113">
        <f t="shared" si="22"/>
        <v>0</v>
      </c>
      <c r="AC176" s="165" t="s">
        <v>2556</v>
      </c>
      <c r="AD176" s="123" t="s">
        <v>1209</v>
      </c>
      <c r="AE176" s="502" t="s">
        <v>1209</v>
      </c>
      <c r="AF176" s="123" t="s">
        <v>1209</v>
      </c>
      <c r="AG176" s="123" t="s">
        <v>1209</v>
      </c>
      <c r="AH176" s="305" t="s">
        <v>1209</v>
      </c>
      <c r="AI176" s="1507" t="s">
        <v>1209</v>
      </c>
      <c r="AJ176" s="2416">
        <v>22091.799790000005</v>
      </c>
      <c r="AK176" s="516">
        <v>0</v>
      </c>
      <c r="AL176" s="351">
        <v>8.8675733422860503E-12</v>
      </c>
      <c r="AM176" s="509">
        <v>1.4551915228366852E-11</v>
      </c>
      <c r="AN176" s="1140"/>
      <c r="AO176" s="1140"/>
      <c r="AP176" s="529">
        <v>1</v>
      </c>
      <c r="AQ176" s="1518" t="s">
        <v>338</v>
      </c>
      <c r="AR176" s="340">
        <v>6</v>
      </c>
      <c r="AS176" s="340"/>
      <c r="AT176" s="340"/>
      <c r="AU176" s="1489"/>
      <c r="AV176" s="451"/>
      <c r="AW176" s="62" t="s">
        <v>1886</v>
      </c>
      <c r="AX176" s="658"/>
      <c r="AY176" s="658"/>
      <c r="AZ176" s="165" t="s">
        <v>2556</v>
      </c>
      <c r="BA176" s="165"/>
      <c r="BB176" s="165" t="s">
        <v>2258</v>
      </c>
      <c r="BC176" s="165" t="s">
        <v>2236</v>
      </c>
      <c r="BD176" s="165" t="s">
        <v>2148</v>
      </c>
      <c r="BE176" s="165" t="s">
        <v>1884</v>
      </c>
      <c r="BF176" s="165" t="s">
        <v>1693</v>
      </c>
      <c r="BG176" s="165" t="s">
        <v>1370</v>
      </c>
      <c r="BH176" s="518"/>
      <c r="BI176" s="518"/>
      <c r="BJ176" s="460"/>
      <c r="BK176" s="505"/>
      <c r="BL176" s="113">
        <f>SUM(BL154:BL175)</f>
        <v>0</v>
      </c>
      <c r="BM176" s="113">
        <f>SUM(BM154:BM175)</f>
        <v>21041.140729999999</v>
      </c>
      <c r="BN176" s="113">
        <f>SUM(BN154:BN175)</f>
        <v>9631.3028400000003</v>
      </c>
      <c r="BO176" s="113">
        <f t="shared" ref="BO176:CJ176" si="23">SUM(BO154:BO175)</f>
        <v>22968.063840000003</v>
      </c>
      <c r="BP176" s="113">
        <f t="shared" si="23"/>
        <v>10213.26043</v>
      </c>
      <c r="BQ176" s="113">
        <f t="shared" si="23"/>
        <v>2319.0168699999999</v>
      </c>
      <c r="BR176" s="113">
        <f t="shared" si="23"/>
        <v>20453.488970000002</v>
      </c>
      <c r="BS176" s="113">
        <f t="shared" si="23"/>
        <v>10435.786540000001</v>
      </c>
      <c r="BT176" s="113">
        <f t="shared" si="23"/>
        <v>12754.80341</v>
      </c>
      <c r="BU176" s="113">
        <f t="shared" si="23"/>
        <v>0</v>
      </c>
      <c r="BV176" s="113">
        <f t="shared" si="23"/>
        <v>2319.0168699999999</v>
      </c>
      <c r="BW176" s="113">
        <f t="shared" si="23"/>
        <v>775.15021999999999</v>
      </c>
      <c r="BX176" s="113">
        <f t="shared" si="23"/>
        <v>1543.8666500000002</v>
      </c>
      <c r="BY176" s="113">
        <f t="shared" si="23"/>
        <v>957.43778999999995</v>
      </c>
      <c r="BZ176" s="113">
        <f t="shared" si="23"/>
        <v>586.42885999999999</v>
      </c>
      <c r="CA176" s="113">
        <f t="shared" si="23"/>
        <v>562.42985999999996</v>
      </c>
      <c r="CB176" s="113">
        <f t="shared" si="23"/>
        <v>562.42985999999996</v>
      </c>
      <c r="CC176" s="113">
        <f t="shared" si="23"/>
        <v>0</v>
      </c>
      <c r="CD176" s="113">
        <f t="shared" si="23"/>
        <v>150</v>
      </c>
      <c r="CE176" s="113">
        <f t="shared" si="23"/>
        <v>0</v>
      </c>
      <c r="CF176" s="113">
        <f t="shared" si="23"/>
        <v>165</v>
      </c>
      <c r="CG176" s="113">
        <f t="shared" si="23"/>
        <v>0</v>
      </c>
      <c r="CH176" s="113">
        <f t="shared" si="23"/>
        <v>562.42985999999996</v>
      </c>
      <c r="CI176" s="113">
        <f t="shared" si="23"/>
        <v>981.54479000000003</v>
      </c>
      <c r="CJ176" s="113">
        <f t="shared" si="23"/>
        <v>21424.089190000002</v>
      </c>
    </row>
    <row r="177" spans="1:93" s="1013" customFormat="1" ht="72" hidden="1" customHeight="1" thickBot="1" x14ac:dyDescent="0.3">
      <c r="A177" s="173" t="s">
        <v>470</v>
      </c>
      <c r="B177" s="144" t="s">
        <v>471</v>
      </c>
      <c r="C177" s="191">
        <v>2015</v>
      </c>
      <c r="D177" s="75" t="s">
        <v>472</v>
      </c>
      <c r="E177" s="88" t="s">
        <v>468</v>
      </c>
      <c r="F177" s="88" t="s">
        <v>468</v>
      </c>
      <c r="G177" s="273" t="s">
        <v>1387</v>
      </c>
      <c r="H177" s="274">
        <v>3635</v>
      </c>
      <c r="I177" s="2533">
        <f t="shared" si="21"/>
        <v>0</v>
      </c>
      <c r="J177" s="2643">
        <f t="shared" si="18"/>
        <v>3635</v>
      </c>
      <c r="K177" s="2643">
        <f t="shared" si="19"/>
        <v>3635</v>
      </c>
      <c r="L177" s="2643">
        <f t="shared" si="20"/>
        <v>0</v>
      </c>
      <c r="M177" s="1438"/>
      <c r="N177" s="542">
        <v>0</v>
      </c>
      <c r="O177" s="44">
        <v>0</v>
      </c>
      <c r="P177" s="375">
        <v>0</v>
      </c>
      <c r="Q177" s="26">
        <v>0</v>
      </c>
      <c r="R177" s="2339">
        <v>0</v>
      </c>
      <c r="S177" s="1450">
        <v>0</v>
      </c>
      <c r="T177" s="1463">
        <v>0</v>
      </c>
      <c r="U177" s="3181"/>
      <c r="V177" s="3181"/>
      <c r="W177" s="3181"/>
      <c r="X177" s="3181"/>
      <c r="Y177" s="44">
        <v>0</v>
      </c>
      <c r="Z177" s="27">
        <v>0</v>
      </c>
      <c r="AA177" s="27">
        <v>0</v>
      </c>
      <c r="AB177" s="27">
        <v>0</v>
      </c>
      <c r="AC177" s="717" t="s">
        <v>2557</v>
      </c>
      <c r="AD177" s="711" t="s">
        <v>1329</v>
      </c>
      <c r="AE177" s="379" t="s">
        <v>355</v>
      </c>
      <c r="AF177" s="74" t="s">
        <v>1283</v>
      </c>
      <c r="AG177" s="74" t="s">
        <v>1283</v>
      </c>
      <c r="AH177" s="79">
        <v>9</v>
      </c>
      <c r="AI177" s="722"/>
      <c r="AJ177" s="2416">
        <v>0</v>
      </c>
      <c r="AK177" s="516">
        <v>0</v>
      </c>
      <c r="AL177" s="452">
        <v>0</v>
      </c>
      <c r="AM177" s="513">
        <v>0</v>
      </c>
      <c r="AN177" s="1142"/>
      <c r="AO177" s="1142"/>
      <c r="AP177" s="1179"/>
      <c r="AQ177" s="662" t="s">
        <v>458</v>
      </c>
      <c r="AR177" s="175">
        <v>7</v>
      </c>
      <c r="AS177" s="175"/>
      <c r="AT177" s="662">
        <v>6</v>
      </c>
      <c r="AU177" s="1494"/>
      <c r="AV177" s="435"/>
      <c r="AW177" s="75"/>
      <c r="AX177" s="432"/>
      <c r="AY177" s="432"/>
      <c r="AZ177" s="717" t="s">
        <v>2557</v>
      </c>
      <c r="BA177" s="717"/>
      <c r="BB177" s="717" t="s">
        <v>2512</v>
      </c>
      <c r="BC177" s="582" t="s">
        <v>2487</v>
      </c>
      <c r="BD177" s="1974" t="s">
        <v>2488</v>
      </c>
      <c r="BE177" s="857" t="s">
        <v>1201</v>
      </c>
      <c r="BF177" s="857" t="s">
        <v>1201</v>
      </c>
      <c r="BG177" s="150" t="s">
        <v>1201</v>
      </c>
      <c r="BH177" s="436">
        <v>1</v>
      </c>
      <c r="BI177" s="436">
        <v>0</v>
      </c>
      <c r="BJ177" s="653"/>
      <c r="BK177" s="433"/>
      <c r="BL177" s="274">
        <v>635</v>
      </c>
      <c r="BM177" s="1438">
        <v>3000</v>
      </c>
      <c r="BN177" s="2105">
        <v>3000</v>
      </c>
      <c r="BO177" s="2105">
        <v>3000</v>
      </c>
      <c r="BP177" s="2314">
        <v>0</v>
      </c>
      <c r="BQ177" s="1482">
        <v>300</v>
      </c>
      <c r="BR177" s="27">
        <v>2700</v>
      </c>
      <c r="BS177" s="866">
        <v>2700</v>
      </c>
      <c r="BT177" s="54">
        <v>3000</v>
      </c>
      <c r="BU177" s="1783">
        <v>750</v>
      </c>
      <c r="BV177" s="1482">
        <v>300</v>
      </c>
      <c r="BW177" s="866">
        <v>0</v>
      </c>
      <c r="BX177" s="1961">
        <v>300</v>
      </c>
      <c r="BY177" s="1975"/>
      <c r="BZ177" s="710">
        <v>300</v>
      </c>
      <c r="CA177" s="1330">
        <v>300</v>
      </c>
      <c r="CB177" s="710">
        <v>300</v>
      </c>
      <c r="CC177" s="710"/>
      <c r="CD177" s="710">
        <v>0</v>
      </c>
      <c r="CE177" s="710">
        <v>0</v>
      </c>
      <c r="CG177" s="374">
        <v>0</v>
      </c>
      <c r="CH177" s="374">
        <v>300</v>
      </c>
      <c r="CI177" s="1037">
        <v>0</v>
      </c>
      <c r="CJ177" s="1037">
        <v>2700</v>
      </c>
    </row>
    <row r="178" spans="1:93" s="1013" customFormat="1" ht="39" hidden="1" thickBot="1" x14ac:dyDescent="0.3">
      <c r="A178" s="173" t="s">
        <v>484</v>
      </c>
      <c r="B178" s="144" t="s">
        <v>485</v>
      </c>
      <c r="C178" s="191">
        <v>2016</v>
      </c>
      <c r="D178" s="75" t="s">
        <v>1706</v>
      </c>
      <c r="E178" s="84" t="s">
        <v>468</v>
      </c>
      <c r="F178" s="84" t="s">
        <v>468</v>
      </c>
      <c r="G178" s="229" t="s">
        <v>1390</v>
      </c>
      <c r="H178" s="25">
        <v>53750.42</v>
      </c>
      <c r="I178" s="2533">
        <f t="shared" si="21"/>
        <v>11979.220000000001</v>
      </c>
      <c r="J178" s="2643">
        <f t="shared" si="18"/>
        <v>41771.199999999997</v>
      </c>
      <c r="K178" s="2643">
        <f t="shared" si="19"/>
        <v>53750.42</v>
      </c>
      <c r="L178" s="2643">
        <f t="shared" si="20"/>
        <v>0</v>
      </c>
      <c r="M178" s="1438"/>
      <c r="N178" s="542">
        <v>0</v>
      </c>
      <c r="O178" s="44">
        <v>0</v>
      </c>
      <c r="P178" s="375">
        <v>0</v>
      </c>
      <c r="Q178" s="26">
        <v>0</v>
      </c>
      <c r="R178" s="2335">
        <v>0</v>
      </c>
      <c r="S178" s="1450">
        <v>0</v>
      </c>
      <c r="T178" s="1463">
        <v>0</v>
      </c>
      <c r="U178" s="3181"/>
      <c r="V178" s="3181"/>
      <c r="W178" s="3181"/>
      <c r="X178" s="3181"/>
      <c r="Y178" s="44">
        <v>0</v>
      </c>
      <c r="Z178" s="27">
        <v>0</v>
      </c>
      <c r="AA178" s="27">
        <v>0</v>
      </c>
      <c r="AB178" s="27">
        <v>11979.22</v>
      </c>
      <c r="AC178" s="2284" t="s">
        <v>2558</v>
      </c>
      <c r="AD178" s="711" t="s">
        <v>1329</v>
      </c>
      <c r="AE178" s="379" t="s">
        <v>846</v>
      </c>
      <c r="AF178" s="74" t="s">
        <v>1283</v>
      </c>
      <c r="AG178" s="74" t="s">
        <v>1283</v>
      </c>
      <c r="AH178" s="76">
        <v>9</v>
      </c>
      <c r="AI178" s="722"/>
      <c r="AJ178" s="2416">
        <v>0</v>
      </c>
      <c r="AK178" s="516">
        <v>1.8189894035458565E-12</v>
      </c>
      <c r="AL178" s="452">
        <v>0</v>
      </c>
      <c r="AM178" s="513">
        <v>0</v>
      </c>
      <c r="AN178" s="1142"/>
      <c r="AO178" s="1142"/>
      <c r="AP178" s="1179"/>
      <c r="AQ178" s="662" t="s">
        <v>458</v>
      </c>
      <c r="AR178" s="175">
        <v>7</v>
      </c>
      <c r="AS178" s="175"/>
      <c r="AT178" s="662">
        <v>5</v>
      </c>
      <c r="AU178" s="1494"/>
      <c r="AV178" s="435"/>
      <c r="AW178" s="75" t="s">
        <v>1966</v>
      </c>
      <c r="AX178" s="857"/>
      <c r="AY178" s="857"/>
      <c r="AZ178" s="2284" t="s">
        <v>2558</v>
      </c>
      <c r="BA178" s="2284"/>
      <c r="BB178" s="2284" t="s">
        <v>2513</v>
      </c>
      <c r="BC178" s="857" t="s">
        <v>1209</v>
      </c>
      <c r="BD178" s="1328" t="s">
        <v>2088</v>
      </c>
      <c r="BE178" s="857" t="s">
        <v>1203</v>
      </c>
      <c r="BF178" s="857" t="s">
        <v>1203</v>
      </c>
      <c r="BG178" s="150" t="s">
        <v>1203</v>
      </c>
      <c r="BH178" s="436">
        <v>1</v>
      </c>
      <c r="BI178" s="436">
        <v>0</v>
      </c>
      <c r="BJ178" s="653"/>
      <c r="BK178" s="433"/>
      <c r="BL178" s="25">
        <v>5771.2</v>
      </c>
      <c r="BM178" s="1438">
        <v>36000</v>
      </c>
      <c r="BN178" s="2105">
        <v>36000</v>
      </c>
      <c r="BO178" s="2105">
        <v>36000</v>
      </c>
      <c r="BP178" s="2314">
        <v>0</v>
      </c>
      <c r="BQ178" s="1482">
        <v>36000</v>
      </c>
      <c r="BR178" s="27">
        <v>0</v>
      </c>
      <c r="BS178" s="866">
        <v>0</v>
      </c>
      <c r="BT178" s="54">
        <v>36000</v>
      </c>
      <c r="BU178" s="1783">
        <v>36000</v>
      </c>
      <c r="BV178" s="1482">
        <v>36000</v>
      </c>
      <c r="BW178" s="866">
        <v>0</v>
      </c>
      <c r="BX178" s="25">
        <v>36000</v>
      </c>
      <c r="BY178" s="710"/>
      <c r="BZ178" s="1330">
        <v>36000</v>
      </c>
      <c r="CA178" s="1330">
        <v>6000</v>
      </c>
      <c r="CB178" s="710">
        <v>6000</v>
      </c>
      <c r="CC178" s="710"/>
      <c r="CD178" s="710">
        <v>0</v>
      </c>
      <c r="CE178" s="710">
        <v>0</v>
      </c>
      <c r="CF178" s="1013">
        <v>8</v>
      </c>
      <c r="CG178" s="374">
        <v>0</v>
      </c>
      <c r="CH178" s="374">
        <v>6000</v>
      </c>
      <c r="CI178" s="1037">
        <v>30000</v>
      </c>
      <c r="CJ178" s="1037">
        <v>0</v>
      </c>
    </row>
    <row r="179" spans="1:93" s="1013" customFormat="1" ht="64.5" hidden="1" thickBot="1" x14ac:dyDescent="0.3">
      <c r="A179" s="173" t="s">
        <v>492</v>
      </c>
      <c r="B179" s="144" t="s">
        <v>493</v>
      </c>
      <c r="C179" s="191">
        <v>2017</v>
      </c>
      <c r="D179" s="75" t="s">
        <v>1702</v>
      </c>
      <c r="E179" s="84" t="s">
        <v>460</v>
      </c>
      <c r="F179" s="84" t="s">
        <v>460</v>
      </c>
      <c r="G179" s="229" t="s">
        <v>494</v>
      </c>
      <c r="H179" s="25">
        <v>40039.019999999997</v>
      </c>
      <c r="I179" s="2533">
        <f t="shared" si="21"/>
        <v>0</v>
      </c>
      <c r="J179" s="2643">
        <f t="shared" si="18"/>
        <v>40039.020000000004</v>
      </c>
      <c r="K179" s="2643">
        <f t="shared" si="19"/>
        <v>40039.020000000004</v>
      </c>
      <c r="L179" s="2643">
        <f t="shared" si="20"/>
        <v>0</v>
      </c>
      <c r="M179" s="1438"/>
      <c r="N179" s="542">
        <v>0</v>
      </c>
      <c r="O179" s="44">
        <v>0</v>
      </c>
      <c r="P179" s="375">
        <v>0</v>
      </c>
      <c r="Q179" s="26">
        <v>0</v>
      </c>
      <c r="R179" s="2335">
        <v>0</v>
      </c>
      <c r="S179" s="1450">
        <v>0</v>
      </c>
      <c r="T179" s="1463">
        <v>0</v>
      </c>
      <c r="U179" s="3181"/>
      <c r="V179" s="3181"/>
      <c r="W179" s="3181"/>
      <c r="X179" s="3181"/>
      <c r="Y179" s="44">
        <v>0</v>
      </c>
      <c r="Z179" s="27">
        <v>0</v>
      </c>
      <c r="AA179" s="27">
        <v>0</v>
      </c>
      <c r="AB179" s="27">
        <v>0</v>
      </c>
      <c r="AC179" s="719" t="s">
        <v>1209</v>
      </c>
      <c r="AD179" s="711" t="s">
        <v>1329</v>
      </c>
      <c r="AE179" s="379" t="s">
        <v>1007</v>
      </c>
      <c r="AF179" s="74" t="s">
        <v>1283</v>
      </c>
      <c r="AG179" s="74" t="s">
        <v>1283</v>
      </c>
      <c r="AH179" s="79">
        <v>2</v>
      </c>
      <c r="AI179" s="722"/>
      <c r="AJ179" s="2416">
        <v>0</v>
      </c>
      <c r="AK179" s="516">
        <v>-5.4569682106375694E-12</v>
      </c>
      <c r="AL179" s="452">
        <v>0</v>
      </c>
      <c r="AM179" s="513">
        <v>0</v>
      </c>
      <c r="AN179" s="1142"/>
      <c r="AO179" s="1142"/>
      <c r="AP179" s="1179"/>
      <c r="AQ179" s="662" t="s">
        <v>458</v>
      </c>
      <c r="AR179" s="175">
        <v>7</v>
      </c>
      <c r="AS179" s="175"/>
      <c r="AT179" s="662">
        <v>5</v>
      </c>
      <c r="AU179" s="1494"/>
      <c r="AV179" s="435"/>
      <c r="AW179" s="75" t="s">
        <v>1820</v>
      </c>
      <c r="AX179" s="432"/>
      <c r="AY179" s="432"/>
      <c r="AZ179" s="719" t="s">
        <v>1209</v>
      </c>
      <c r="BA179" s="719"/>
      <c r="BB179" s="719" t="s">
        <v>1209</v>
      </c>
      <c r="BC179" s="858" t="s">
        <v>1209</v>
      </c>
      <c r="BD179" s="1329" t="s">
        <v>2089</v>
      </c>
      <c r="BE179" s="858" t="s">
        <v>1843</v>
      </c>
      <c r="BF179" s="1331" t="s">
        <v>1569</v>
      </c>
      <c r="BG179" s="192" t="s">
        <v>1010</v>
      </c>
      <c r="BH179" s="436">
        <v>1</v>
      </c>
      <c r="BI179" s="436">
        <v>0</v>
      </c>
      <c r="BJ179" s="653"/>
      <c r="BK179" s="433"/>
      <c r="BL179" s="25">
        <v>27585.908880000003</v>
      </c>
      <c r="BM179" s="1438">
        <v>12453.11112</v>
      </c>
      <c r="BN179" s="2105">
        <v>12453.11112</v>
      </c>
      <c r="BO179" s="2105">
        <v>12453.11112</v>
      </c>
      <c r="BP179" s="2314">
        <v>0</v>
      </c>
      <c r="BQ179" s="1482">
        <v>12453.11112</v>
      </c>
      <c r="BR179" s="27">
        <v>0</v>
      </c>
      <c r="BS179" s="866">
        <v>0</v>
      </c>
      <c r="BT179" s="54">
        <v>12453.11112</v>
      </c>
      <c r="BU179" s="1783">
        <v>12453.11</v>
      </c>
      <c r="BV179" s="1482">
        <v>12453.11112</v>
      </c>
      <c r="BW179" s="866">
        <v>0</v>
      </c>
      <c r="BX179" s="25">
        <v>12453.11112</v>
      </c>
      <c r="BY179" s="710"/>
      <c r="BZ179" s="710">
        <v>12453.11112</v>
      </c>
      <c r="CA179" s="1330">
        <v>12453.11112</v>
      </c>
      <c r="CB179" s="710">
        <v>0</v>
      </c>
      <c r="CC179" s="710"/>
      <c r="CD179" s="710">
        <v>0</v>
      </c>
      <c r="CE179" s="710">
        <v>0</v>
      </c>
      <c r="CG179" s="374">
        <v>0</v>
      </c>
      <c r="CH179" s="374">
        <v>0</v>
      </c>
      <c r="CI179" s="1037">
        <v>12453.11112</v>
      </c>
      <c r="CJ179" s="1037">
        <v>0</v>
      </c>
    </row>
    <row r="180" spans="1:93" s="1013" customFormat="1" ht="30.75" hidden="1" thickBot="1" x14ac:dyDescent="0.3">
      <c r="A180" s="173" t="s">
        <v>504</v>
      </c>
      <c r="B180" s="144" t="s">
        <v>505</v>
      </c>
      <c r="C180" s="191">
        <v>2017</v>
      </c>
      <c r="D180" s="75" t="s">
        <v>1702</v>
      </c>
      <c r="E180" s="84" t="s">
        <v>506</v>
      </c>
      <c r="F180" s="84" t="s">
        <v>506</v>
      </c>
      <c r="G180" s="229" t="s">
        <v>507</v>
      </c>
      <c r="H180" s="25">
        <v>99892</v>
      </c>
      <c r="I180" s="2533">
        <f t="shared" si="21"/>
        <v>4892</v>
      </c>
      <c r="J180" s="2643">
        <f t="shared" si="18"/>
        <v>95000</v>
      </c>
      <c r="K180" s="2643">
        <f t="shared" si="19"/>
        <v>99892</v>
      </c>
      <c r="L180" s="2643">
        <f t="shared" si="20"/>
        <v>0</v>
      </c>
      <c r="M180" s="1438"/>
      <c r="N180" s="542">
        <v>0</v>
      </c>
      <c r="O180" s="44">
        <v>0</v>
      </c>
      <c r="P180" s="375">
        <v>0</v>
      </c>
      <c r="Q180" s="26">
        <v>0</v>
      </c>
      <c r="R180" s="2335">
        <v>0</v>
      </c>
      <c r="S180" s="1450">
        <v>0</v>
      </c>
      <c r="T180" s="1463">
        <v>0</v>
      </c>
      <c r="U180" s="3181"/>
      <c r="V180" s="3181"/>
      <c r="W180" s="3181"/>
      <c r="X180" s="3181"/>
      <c r="Y180" s="44">
        <v>0</v>
      </c>
      <c r="Z180" s="27">
        <v>0</v>
      </c>
      <c r="AA180" s="27">
        <v>0</v>
      </c>
      <c r="AB180" s="27">
        <v>4892</v>
      </c>
      <c r="AC180" s="714" t="s">
        <v>1209</v>
      </c>
      <c r="AD180" s="711" t="s">
        <v>1329</v>
      </c>
      <c r="AE180" s="379" t="s">
        <v>355</v>
      </c>
      <c r="AF180" s="74" t="s">
        <v>1283</v>
      </c>
      <c r="AG180" s="74" t="s">
        <v>1283</v>
      </c>
      <c r="AH180" s="76">
        <v>10</v>
      </c>
      <c r="AI180" s="722"/>
      <c r="AJ180" s="2416">
        <v>0</v>
      </c>
      <c r="AK180" s="516">
        <v>0</v>
      </c>
      <c r="AL180" s="452">
        <v>0</v>
      </c>
      <c r="AM180" s="513">
        <v>0</v>
      </c>
      <c r="AN180" s="1142"/>
      <c r="AO180" s="1142"/>
      <c r="AP180" s="1179"/>
      <c r="AQ180" s="662" t="s">
        <v>458</v>
      </c>
      <c r="AR180" s="175">
        <v>7</v>
      </c>
      <c r="AS180" s="175"/>
      <c r="AT180" s="662">
        <v>6</v>
      </c>
      <c r="AU180" s="1494"/>
      <c r="AV180" s="435"/>
      <c r="AW180" s="75" t="s">
        <v>1967</v>
      </c>
      <c r="AX180" s="432"/>
      <c r="AY180" s="432"/>
      <c r="AZ180" s="714" t="s">
        <v>1209</v>
      </c>
      <c r="BA180" s="714"/>
      <c r="BB180" s="714" t="s">
        <v>1209</v>
      </c>
      <c r="BC180" s="714" t="s">
        <v>1209</v>
      </c>
      <c r="BD180" s="714" t="s">
        <v>1442</v>
      </c>
      <c r="BE180" s="714" t="s">
        <v>1442</v>
      </c>
      <c r="BF180" s="714" t="s">
        <v>1442</v>
      </c>
      <c r="BG180" s="192" t="s">
        <v>1433</v>
      </c>
      <c r="BH180" s="436">
        <v>1</v>
      </c>
      <c r="BI180" s="436">
        <v>0</v>
      </c>
      <c r="BJ180" s="653"/>
      <c r="BK180" s="433"/>
      <c r="BL180" s="25">
        <v>68500</v>
      </c>
      <c r="BM180" s="1438">
        <v>26500</v>
      </c>
      <c r="BN180" s="2105">
        <v>26500</v>
      </c>
      <c r="BO180" s="2105">
        <v>26500</v>
      </c>
      <c r="BP180" s="2314">
        <v>0</v>
      </c>
      <c r="BQ180" s="1482">
        <v>11488.99598</v>
      </c>
      <c r="BR180" s="27">
        <v>15011.00402</v>
      </c>
      <c r="BS180" s="866">
        <v>15011.00402</v>
      </c>
      <c r="BT180" s="54">
        <v>26500</v>
      </c>
      <c r="BU180" s="1783">
        <v>11488.995000000001</v>
      </c>
      <c r="BV180" s="1482">
        <v>11488.99598</v>
      </c>
      <c r="BW180" s="866">
        <v>0</v>
      </c>
      <c r="BX180" s="25">
        <v>11488.99598</v>
      </c>
      <c r="BY180" s="710"/>
      <c r="BZ180" s="1330">
        <v>11488.99598</v>
      </c>
      <c r="CA180" s="1330">
        <v>0</v>
      </c>
      <c r="CB180" s="710">
        <v>0</v>
      </c>
      <c r="CC180" s="710"/>
      <c r="CD180" s="710">
        <v>0</v>
      </c>
      <c r="CE180" s="710">
        <v>0</v>
      </c>
      <c r="CF180" s="1977">
        <v>8</v>
      </c>
      <c r="CG180" s="374">
        <v>0</v>
      </c>
      <c r="CH180" s="374">
        <v>0</v>
      </c>
      <c r="CI180" s="1037">
        <v>11488.99598</v>
      </c>
      <c r="CJ180" s="1037">
        <v>15011.00402</v>
      </c>
    </row>
    <row r="181" spans="1:93" ht="51.75" hidden="1" thickBot="1" x14ac:dyDescent="0.3">
      <c r="A181" s="173" t="s">
        <v>512</v>
      </c>
      <c r="B181" s="144" t="s">
        <v>513</v>
      </c>
      <c r="C181" s="191">
        <v>2017</v>
      </c>
      <c r="D181" s="75" t="s">
        <v>1701</v>
      </c>
      <c r="E181" s="76" t="s">
        <v>468</v>
      </c>
      <c r="F181" s="84" t="s">
        <v>468</v>
      </c>
      <c r="G181" s="229" t="s">
        <v>514</v>
      </c>
      <c r="H181" s="661">
        <v>11287.554</v>
      </c>
      <c r="I181" s="25">
        <v>8993.2240000000002</v>
      </c>
      <c r="J181" s="1552"/>
      <c r="K181" s="1552">
        <v>0</v>
      </c>
      <c r="L181" s="2772">
        <v>0</v>
      </c>
      <c r="M181" s="2781"/>
      <c r="N181" s="374">
        <v>0</v>
      </c>
      <c r="O181" s="44">
        <v>0</v>
      </c>
      <c r="P181" s="375">
        <v>0</v>
      </c>
      <c r="Q181" s="26">
        <v>0</v>
      </c>
      <c r="R181" s="2618">
        <v>0</v>
      </c>
      <c r="S181" s="1452">
        <v>0</v>
      </c>
      <c r="T181" s="2618">
        <f>R181+S181</f>
        <v>0</v>
      </c>
      <c r="U181" s="2734"/>
      <c r="V181" s="2734"/>
      <c r="W181" s="2734"/>
      <c r="X181" s="2734"/>
      <c r="Y181" s="44">
        <v>0</v>
      </c>
      <c r="Z181" s="27">
        <v>0</v>
      </c>
      <c r="AA181" s="27">
        <v>0</v>
      </c>
      <c r="AB181" s="375">
        <v>2294.33</v>
      </c>
      <c r="AC181" s="719" t="s">
        <v>2459</v>
      </c>
      <c r="AD181" s="75" t="s">
        <v>1329</v>
      </c>
      <c r="AE181" s="713" t="s">
        <v>1318</v>
      </c>
      <c r="AF181" s="74" t="s">
        <v>1283</v>
      </c>
      <c r="AG181" s="74" t="s">
        <v>1283</v>
      </c>
      <c r="AH181" s="76">
        <v>9</v>
      </c>
      <c r="AI181" s="721"/>
      <c r="AJ181" s="363"/>
      <c r="AK181" s="516">
        <f>H181-I181-T181-Y181-Z181-AA181-AB181</f>
        <v>0</v>
      </c>
      <c r="AL181" s="391">
        <f>T181-R181-S181</f>
        <v>0</v>
      </c>
      <c r="AM181" s="509">
        <f>T181-N181-O181-P181-Q181</f>
        <v>0</v>
      </c>
      <c r="AN181" s="1140"/>
      <c r="AO181" s="1140"/>
      <c r="AP181" s="1151"/>
      <c r="AQ181" s="923" t="s">
        <v>458</v>
      </c>
      <c r="AR181" s="248">
        <v>7</v>
      </c>
      <c r="AS181" s="248"/>
      <c r="AT181" s="2755">
        <v>7</v>
      </c>
      <c r="AU181" s="1135"/>
      <c r="AV181" s="148"/>
      <c r="AW181" s="8"/>
      <c r="AX181" s="81"/>
      <c r="AY181" s="719" t="s">
        <v>2459</v>
      </c>
      <c r="AZ181" s="1803" t="s">
        <v>2459</v>
      </c>
      <c r="BA181" s="1803"/>
      <c r="BB181" s="1803" t="s">
        <v>2459</v>
      </c>
      <c r="BC181" s="700" t="s">
        <v>1209</v>
      </c>
      <c r="BD181" s="700" t="s">
        <v>1844</v>
      </c>
      <c r="BE181" s="700" t="s">
        <v>1844</v>
      </c>
      <c r="BF181" s="700" t="s">
        <v>1570</v>
      </c>
      <c r="BG181" s="151" t="s">
        <v>1198</v>
      </c>
      <c r="BH181" s="66">
        <v>0</v>
      </c>
      <c r="BI181" s="66">
        <v>1</v>
      </c>
      <c r="BJ181" s="459"/>
      <c r="BK181" s="2"/>
      <c r="BL181" s="20">
        <v>0</v>
      </c>
      <c r="BM181" s="364">
        <v>8993.2240000000002</v>
      </c>
      <c r="BN181" s="364"/>
      <c r="BO181" s="1500">
        <v>8993.2240000000002</v>
      </c>
      <c r="BP181" s="2313">
        <v>0</v>
      </c>
      <c r="BQ181" s="1443">
        <v>0</v>
      </c>
      <c r="BR181" s="22">
        <v>8993.2240000000002</v>
      </c>
      <c r="BS181" s="264">
        <f>3931.16053+5062.06347</f>
        <v>8993.2240000000002</v>
      </c>
      <c r="BT181" s="54">
        <f>BQ181+BS181</f>
        <v>8993.2240000000002</v>
      </c>
      <c r="BU181" s="1609">
        <v>0</v>
      </c>
      <c r="BV181" s="1443">
        <v>0</v>
      </c>
      <c r="BW181" s="264">
        <v>0</v>
      </c>
      <c r="BX181" s="20">
        <v>0</v>
      </c>
      <c r="BY181" s="705"/>
      <c r="BZ181" s="705">
        <v>0</v>
      </c>
      <c r="CA181" s="1127">
        <v>0</v>
      </c>
      <c r="CB181" s="705">
        <v>0</v>
      </c>
      <c r="CC181" s="705"/>
      <c r="CD181" s="705">
        <v>0</v>
      </c>
      <c r="CE181" s="705">
        <v>0</v>
      </c>
      <c r="CG181" s="253">
        <v>0</v>
      </c>
      <c r="CH181" s="253">
        <v>0</v>
      </c>
      <c r="CI181" s="266">
        <v>0</v>
      </c>
      <c r="CJ181" s="266">
        <f>8993.22+0.004</f>
        <v>8993.2240000000002</v>
      </c>
      <c r="CK181" s="1552">
        <v>0</v>
      </c>
      <c r="CL181" s="1552">
        <v>0</v>
      </c>
      <c r="CM181" s="1209">
        <v>0</v>
      </c>
      <c r="CN181" s="1209"/>
      <c r="CO181" s="2765"/>
    </row>
    <row r="182" spans="1:93" s="1013" customFormat="1" ht="50.25" hidden="1" customHeight="1" thickBot="1" x14ac:dyDescent="0.3">
      <c r="A182" s="173" t="s">
        <v>515</v>
      </c>
      <c r="B182" s="144" t="s">
        <v>1011</v>
      </c>
      <c r="C182" s="191">
        <v>2018</v>
      </c>
      <c r="D182" s="75" t="s">
        <v>228</v>
      </c>
      <c r="E182" s="84" t="s">
        <v>468</v>
      </c>
      <c r="F182" s="84" t="s">
        <v>468</v>
      </c>
      <c r="G182" s="229" t="s">
        <v>516</v>
      </c>
      <c r="H182" s="25">
        <v>99313</v>
      </c>
      <c r="I182" s="2533">
        <f t="shared" si="21"/>
        <v>20000</v>
      </c>
      <c r="J182" s="2643">
        <f t="shared" si="18"/>
        <v>79313</v>
      </c>
      <c r="K182" s="2643">
        <f t="shared" si="19"/>
        <v>99313</v>
      </c>
      <c r="L182" s="2643">
        <f t="shared" si="20"/>
        <v>0</v>
      </c>
      <c r="M182" s="1438"/>
      <c r="N182" s="2373">
        <v>0</v>
      </c>
      <c r="O182" s="86">
        <v>0</v>
      </c>
      <c r="P182" s="1553">
        <v>0</v>
      </c>
      <c r="Q182" s="46">
        <v>0</v>
      </c>
      <c r="R182" s="2335">
        <v>0</v>
      </c>
      <c r="S182" s="1450">
        <v>0</v>
      </c>
      <c r="T182" s="1463">
        <v>0</v>
      </c>
      <c r="U182" s="3181"/>
      <c r="V182" s="3181"/>
      <c r="W182" s="3181"/>
      <c r="X182" s="3181"/>
      <c r="Y182" s="44">
        <v>0</v>
      </c>
      <c r="Z182" s="27">
        <v>0</v>
      </c>
      <c r="AA182" s="27">
        <v>0</v>
      </c>
      <c r="AB182" s="45">
        <v>20000</v>
      </c>
      <c r="AC182" s="1570" t="s">
        <v>1209</v>
      </c>
      <c r="AD182" s="711" t="s">
        <v>1329</v>
      </c>
      <c r="AE182" s="379" t="s">
        <v>845</v>
      </c>
      <c r="AF182" s="74" t="s">
        <v>1283</v>
      </c>
      <c r="AG182" s="74" t="s">
        <v>1283</v>
      </c>
      <c r="AH182" s="76">
        <v>9</v>
      </c>
      <c r="AI182" s="722"/>
      <c r="AJ182" s="2416">
        <v>0</v>
      </c>
      <c r="AK182" s="516">
        <v>0</v>
      </c>
      <c r="AL182" s="452">
        <v>0</v>
      </c>
      <c r="AM182" s="513">
        <v>0</v>
      </c>
      <c r="AN182" s="1142"/>
      <c r="AO182" s="1142"/>
      <c r="AP182" s="1179"/>
      <c r="AQ182" s="662" t="s">
        <v>458</v>
      </c>
      <c r="AR182" s="175">
        <v>7</v>
      </c>
      <c r="AS182" s="175"/>
      <c r="AT182" s="674">
        <v>6</v>
      </c>
      <c r="AU182" s="1494"/>
      <c r="AV182" s="435"/>
      <c r="AW182" s="75"/>
      <c r="AX182" s="191"/>
      <c r="AY182" s="191"/>
      <c r="AZ182" s="1570" t="s">
        <v>1209</v>
      </c>
      <c r="BA182" s="1570"/>
      <c r="BB182" s="1570" t="s">
        <v>1209</v>
      </c>
      <c r="BC182" s="191" t="s">
        <v>1209</v>
      </c>
      <c r="BD182" s="1916" t="s">
        <v>2090</v>
      </c>
      <c r="BE182" s="191" t="s">
        <v>1571</v>
      </c>
      <c r="BF182" s="1978" t="s">
        <v>1571</v>
      </c>
      <c r="BG182" s="150" t="s">
        <v>1392</v>
      </c>
      <c r="BH182" s="436">
        <v>1</v>
      </c>
      <c r="BI182" s="436">
        <v>2</v>
      </c>
      <c r="BJ182" s="653"/>
      <c r="BK182" s="433"/>
      <c r="BL182" s="25">
        <v>24500</v>
      </c>
      <c r="BM182" s="1438">
        <v>54813</v>
      </c>
      <c r="BN182" s="2105">
        <v>54813</v>
      </c>
      <c r="BO182" s="2105">
        <v>54813</v>
      </c>
      <c r="BP182" s="2314">
        <v>0</v>
      </c>
      <c r="BQ182" s="1482">
        <v>0</v>
      </c>
      <c r="BR182" s="27">
        <v>54813</v>
      </c>
      <c r="BS182" s="866">
        <v>54813</v>
      </c>
      <c r="BT182" s="54">
        <v>54813</v>
      </c>
      <c r="BU182" s="1783">
        <v>54813</v>
      </c>
      <c r="BV182" s="1482">
        <v>0</v>
      </c>
      <c r="BW182" s="866">
        <v>0</v>
      </c>
      <c r="BX182" s="25">
        <v>0</v>
      </c>
      <c r="BY182" s="710"/>
      <c r="BZ182" s="710">
        <v>0</v>
      </c>
      <c r="CA182" s="1330">
        <v>0</v>
      </c>
      <c r="CB182" s="710">
        <v>0</v>
      </c>
      <c r="CC182" s="710"/>
      <c r="CD182" s="710">
        <v>0</v>
      </c>
      <c r="CE182" s="710">
        <v>0</v>
      </c>
      <c r="CG182" s="374">
        <v>0</v>
      </c>
      <c r="CH182" s="374">
        <v>0</v>
      </c>
      <c r="CI182" s="1037">
        <v>0</v>
      </c>
      <c r="CJ182" s="1037">
        <v>54813</v>
      </c>
    </row>
    <row r="183" spans="1:93" ht="102.75" hidden="1" thickBot="1" x14ac:dyDescent="0.3">
      <c r="A183" s="1534" t="s">
        <v>529</v>
      </c>
      <c r="B183" s="1248" t="s">
        <v>1016</v>
      </c>
      <c r="C183" s="1570">
        <v>2018</v>
      </c>
      <c r="D183" s="979" t="s">
        <v>1362</v>
      </c>
      <c r="E183" s="1536" t="s">
        <v>460</v>
      </c>
      <c r="F183" s="1752" t="s">
        <v>460</v>
      </c>
      <c r="G183" s="1671" t="s">
        <v>530</v>
      </c>
      <c r="H183" s="980">
        <v>1725.64876</v>
      </c>
      <c r="I183" s="980">
        <v>1125</v>
      </c>
      <c r="J183" s="2672"/>
      <c r="K183" s="2672">
        <v>0</v>
      </c>
      <c r="L183" s="2772">
        <v>0</v>
      </c>
      <c r="M183" s="2781"/>
      <c r="N183" s="1253">
        <v>0</v>
      </c>
      <c r="O183" s="1540">
        <v>0</v>
      </c>
      <c r="P183" s="1541">
        <v>0</v>
      </c>
      <c r="Q183" s="1542">
        <v>0</v>
      </c>
      <c r="R183" s="2619">
        <v>0</v>
      </c>
      <c r="S183" s="1795">
        <v>0</v>
      </c>
      <c r="T183" s="2619">
        <f>R183+S183</f>
        <v>0</v>
      </c>
      <c r="U183" s="3189"/>
      <c r="V183" s="3189"/>
      <c r="W183" s="3189"/>
      <c r="X183" s="3189"/>
      <c r="Y183" s="1540">
        <v>0</v>
      </c>
      <c r="Z183" s="1539">
        <v>0</v>
      </c>
      <c r="AA183" s="1539">
        <v>0</v>
      </c>
      <c r="AB183" s="1539">
        <v>600.64876000000004</v>
      </c>
      <c r="AC183" s="2168" t="s">
        <v>2657</v>
      </c>
      <c r="AD183" s="1800" t="s">
        <v>1329</v>
      </c>
      <c r="AE183" s="1589" t="s">
        <v>846</v>
      </c>
      <c r="AF183" s="1589" t="s">
        <v>1283</v>
      </c>
      <c r="AG183" s="1589" t="s">
        <v>1283</v>
      </c>
      <c r="AH183" s="1249">
        <v>2</v>
      </c>
      <c r="AI183" s="721"/>
      <c r="AJ183" s="363"/>
      <c r="AK183" s="516">
        <f>H183-I183-T183-Y183-Z183-AA183-AB183</f>
        <v>0</v>
      </c>
      <c r="AL183" s="391">
        <f>T183-R183-S183</f>
        <v>0</v>
      </c>
      <c r="AM183" s="509">
        <f>T183-N183-O183-P183-Q183</f>
        <v>0</v>
      </c>
      <c r="AN183" s="1140"/>
      <c r="AO183" s="1140"/>
      <c r="AP183" s="1151"/>
      <c r="AQ183" s="923" t="s">
        <v>458</v>
      </c>
      <c r="AR183" s="248">
        <v>7</v>
      </c>
      <c r="AS183" s="248"/>
      <c r="AT183" s="2755">
        <v>7</v>
      </c>
      <c r="AU183" s="1135"/>
      <c r="AV183" s="148"/>
      <c r="AW183" s="8" t="s">
        <v>1821</v>
      </c>
      <c r="AX183" s="81"/>
      <c r="AY183" s="2168" t="s">
        <v>2657</v>
      </c>
      <c r="AZ183" s="859" t="s">
        <v>2091</v>
      </c>
      <c r="BA183" s="859"/>
      <c r="BB183" s="859" t="s">
        <v>2091</v>
      </c>
      <c r="BC183" s="859" t="s">
        <v>2091</v>
      </c>
      <c r="BD183" s="1312" t="s">
        <v>2091</v>
      </c>
      <c r="BE183" s="373" t="s">
        <v>1845</v>
      </c>
      <c r="BF183" s="373" t="s">
        <v>1572</v>
      </c>
      <c r="BG183" s="151" t="s">
        <v>1395</v>
      </c>
      <c r="BH183" s="66">
        <v>1</v>
      </c>
      <c r="BI183" s="66">
        <v>0</v>
      </c>
      <c r="BJ183" s="459"/>
      <c r="BK183" s="2"/>
      <c r="BL183" s="20">
        <v>346.99721</v>
      </c>
      <c r="BM183" s="364">
        <v>778.00279</v>
      </c>
      <c r="BN183" s="364"/>
      <c r="BO183" s="1500">
        <v>778.00279</v>
      </c>
      <c r="BP183" s="2313">
        <v>0</v>
      </c>
      <c r="BQ183" s="1443">
        <v>778.00279</v>
      </c>
      <c r="BR183" s="22">
        <v>0</v>
      </c>
      <c r="BS183" s="264">
        <v>0</v>
      </c>
      <c r="BT183" s="54">
        <f>BQ183+BS183</f>
        <v>778.00279</v>
      </c>
      <c r="BU183" s="1609">
        <v>778.00199999999995</v>
      </c>
      <c r="BV183" s="1443">
        <v>778.00279</v>
      </c>
      <c r="BW183" s="264">
        <v>0</v>
      </c>
      <c r="BX183" s="20">
        <v>778.00279</v>
      </c>
      <c r="BY183" s="1127">
        <v>39.763770000000001</v>
      </c>
      <c r="BZ183" s="705">
        <v>738.23901999999998</v>
      </c>
      <c r="CA183" s="1127">
        <v>738.23901999999998</v>
      </c>
      <c r="CB183" s="705">
        <v>0</v>
      </c>
      <c r="CC183" s="705"/>
      <c r="CD183" s="705">
        <v>0</v>
      </c>
      <c r="CE183" s="705">
        <v>0</v>
      </c>
      <c r="CG183" s="253">
        <v>0</v>
      </c>
      <c r="CH183" s="253">
        <v>0</v>
      </c>
      <c r="CI183" s="266">
        <v>778.00279</v>
      </c>
      <c r="CJ183" s="266">
        <v>0</v>
      </c>
      <c r="CK183" s="2672">
        <v>0</v>
      </c>
      <c r="CL183" s="2672">
        <v>0</v>
      </c>
      <c r="CM183" s="1209">
        <v>0</v>
      </c>
      <c r="CN183" s="1209"/>
      <c r="CO183" s="2766"/>
    </row>
    <row r="184" spans="1:93" s="1013" customFormat="1" ht="38.25" hidden="1" customHeight="1" thickBot="1" x14ac:dyDescent="0.3">
      <c r="A184" s="173" t="s">
        <v>531</v>
      </c>
      <c r="B184" s="144" t="s">
        <v>1017</v>
      </c>
      <c r="C184" s="191">
        <v>2018</v>
      </c>
      <c r="D184" s="75" t="s">
        <v>1362</v>
      </c>
      <c r="E184" s="84" t="s">
        <v>460</v>
      </c>
      <c r="F184" s="77" t="s">
        <v>460</v>
      </c>
      <c r="G184" s="229" t="s">
        <v>532</v>
      </c>
      <c r="H184" s="25">
        <v>12415</v>
      </c>
      <c r="I184" s="2533">
        <f t="shared" si="21"/>
        <v>0</v>
      </c>
      <c r="J184" s="2643">
        <f t="shared" si="18"/>
        <v>12415</v>
      </c>
      <c r="K184" s="2643">
        <f t="shared" si="19"/>
        <v>12415</v>
      </c>
      <c r="L184" s="2643">
        <f t="shared" si="20"/>
        <v>0</v>
      </c>
      <c r="M184" s="1438"/>
      <c r="N184" s="542">
        <v>0</v>
      </c>
      <c r="O184" s="44">
        <v>0</v>
      </c>
      <c r="P184" s="375">
        <v>0</v>
      </c>
      <c r="Q184" s="26">
        <v>0</v>
      </c>
      <c r="R184" s="2335">
        <v>0</v>
      </c>
      <c r="S184" s="1450">
        <v>0</v>
      </c>
      <c r="T184" s="1463">
        <v>0</v>
      </c>
      <c r="U184" s="3181"/>
      <c r="V184" s="3181"/>
      <c r="W184" s="3181"/>
      <c r="X184" s="3181"/>
      <c r="Y184" s="44">
        <v>0</v>
      </c>
      <c r="Z184" s="27">
        <v>0</v>
      </c>
      <c r="AA184" s="27">
        <v>0</v>
      </c>
      <c r="AB184" s="27">
        <v>0</v>
      </c>
      <c r="AC184" s="719" t="s">
        <v>1209</v>
      </c>
      <c r="AD184" s="711" t="s">
        <v>1329</v>
      </c>
      <c r="AE184" s="379" t="s">
        <v>1007</v>
      </c>
      <c r="AF184" s="74" t="s">
        <v>1283</v>
      </c>
      <c r="AG184" s="74" t="s">
        <v>1283</v>
      </c>
      <c r="AH184" s="79">
        <v>2</v>
      </c>
      <c r="AI184" s="722"/>
      <c r="AJ184" s="2416">
        <v>0</v>
      </c>
      <c r="AK184" s="516">
        <v>-9.0949470177292824E-13</v>
      </c>
      <c r="AL184" s="452">
        <v>0</v>
      </c>
      <c r="AM184" s="513">
        <v>0</v>
      </c>
      <c r="AN184" s="1142"/>
      <c r="AO184" s="1142"/>
      <c r="AP184" s="1179"/>
      <c r="AQ184" s="662" t="s">
        <v>458</v>
      </c>
      <c r="AR184" s="175">
        <v>7</v>
      </c>
      <c r="AS184" s="175"/>
      <c r="AT184" s="662">
        <v>5</v>
      </c>
      <c r="AU184" s="1494"/>
      <c r="AV184" s="435"/>
      <c r="AW184" s="75" t="s">
        <v>1822</v>
      </c>
      <c r="AX184" s="432"/>
      <c r="AY184" s="432"/>
      <c r="AZ184" s="719" t="s">
        <v>1209</v>
      </c>
      <c r="BA184" s="719"/>
      <c r="BB184" s="719" t="s">
        <v>1209</v>
      </c>
      <c r="BC184" s="719" t="s">
        <v>1209</v>
      </c>
      <c r="BD184" s="1332" t="s">
        <v>2092</v>
      </c>
      <c r="BE184" s="858" t="s">
        <v>1846</v>
      </c>
      <c r="BF184" s="1331" t="s">
        <v>1573</v>
      </c>
      <c r="BG184" s="192" t="s">
        <v>1209</v>
      </c>
      <c r="BH184" s="436">
        <v>1</v>
      </c>
      <c r="BI184" s="436">
        <v>0</v>
      </c>
      <c r="BJ184" s="653"/>
      <c r="BK184" s="433"/>
      <c r="BL184" s="25">
        <v>5470.1869400000005</v>
      </c>
      <c r="BM184" s="1438">
        <v>6944.8130600000004</v>
      </c>
      <c r="BN184" s="2105">
        <v>6944.8130600000004</v>
      </c>
      <c r="BO184" s="2105">
        <v>6944.8130600000004</v>
      </c>
      <c r="BP184" s="2314">
        <v>0</v>
      </c>
      <c r="BQ184" s="1482">
        <v>6944.8130600000004</v>
      </c>
      <c r="BR184" s="27">
        <v>0</v>
      </c>
      <c r="BS184" s="866">
        <v>0</v>
      </c>
      <c r="BT184" s="54">
        <v>6944.8130600000004</v>
      </c>
      <c r="BU184" s="1783">
        <v>6944.81</v>
      </c>
      <c r="BV184" s="1482">
        <v>6944.8130600000004</v>
      </c>
      <c r="BW184" s="866">
        <v>0</v>
      </c>
      <c r="BX184" s="25">
        <v>6944.8130600000004</v>
      </c>
      <c r="BY184" s="710"/>
      <c r="BZ184" s="710">
        <v>6944.8130600000004</v>
      </c>
      <c r="CA184" s="1330">
        <v>6944.8130600000004</v>
      </c>
      <c r="CB184" s="710">
        <v>0</v>
      </c>
      <c r="CC184" s="710"/>
      <c r="CD184" s="710">
        <v>0</v>
      </c>
      <c r="CE184" s="710">
        <v>0</v>
      </c>
      <c r="CG184" s="374">
        <v>0</v>
      </c>
      <c r="CH184" s="374">
        <v>0</v>
      </c>
      <c r="CI184" s="1037">
        <v>6944.8130600000004</v>
      </c>
      <c r="CJ184" s="1037">
        <v>0</v>
      </c>
    </row>
    <row r="185" spans="1:93" s="1013" customFormat="1" ht="51.75" hidden="1" thickBot="1" x14ac:dyDescent="0.3">
      <c r="A185" s="173" t="s">
        <v>553</v>
      </c>
      <c r="B185" s="146" t="s">
        <v>1027</v>
      </c>
      <c r="C185" s="191">
        <v>2018</v>
      </c>
      <c r="D185" s="75" t="s">
        <v>101</v>
      </c>
      <c r="E185" s="84" t="s">
        <v>457</v>
      </c>
      <c r="F185" s="84" t="s">
        <v>457</v>
      </c>
      <c r="G185" s="229" t="s">
        <v>554</v>
      </c>
      <c r="H185" s="661">
        <v>7235.1589199999999</v>
      </c>
      <c r="I185" s="2533">
        <f t="shared" si="21"/>
        <v>1255.6889200000005</v>
      </c>
      <c r="J185" s="2643">
        <f t="shared" si="18"/>
        <v>5979.4699999999993</v>
      </c>
      <c r="K185" s="2643">
        <f t="shared" si="19"/>
        <v>7235.1589199999999</v>
      </c>
      <c r="L185" s="2643">
        <f t="shared" si="20"/>
        <v>0</v>
      </c>
      <c r="M185" s="1438"/>
      <c r="N185" s="542">
        <v>0</v>
      </c>
      <c r="O185" s="44">
        <v>0</v>
      </c>
      <c r="P185" s="375">
        <v>0</v>
      </c>
      <c r="Q185" s="26">
        <v>0</v>
      </c>
      <c r="R185" s="2335">
        <v>0</v>
      </c>
      <c r="S185" s="1450">
        <v>0</v>
      </c>
      <c r="T185" s="1463">
        <v>0</v>
      </c>
      <c r="U185" s="3181"/>
      <c r="V185" s="3181"/>
      <c r="W185" s="3181"/>
      <c r="X185" s="3181"/>
      <c r="Y185" s="44">
        <v>0</v>
      </c>
      <c r="Z185" s="27">
        <v>0</v>
      </c>
      <c r="AA185" s="27">
        <v>0</v>
      </c>
      <c r="AB185" s="27">
        <v>1255.6889200000001</v>
      </c>
      <c r="AC185" s="719" t="s">
        <v>1209</v>
      </c>
      <c r="AD185" s="711" t="s">
        <v>1329</v>
      </c>
      <c r="AE185" s="379" t="s">
        <v>37</v>
      </c>
      <c r="AF185" s="74" t="s">
        <v>1283</v>
      </c>
      <c r="AG185" s="74" t="s">
        <v>1283</v>
      </c>
      <c r="AH185" s="76">
        <v>4</v>
      </c>
      <c r="AI185" s="722"/>
      <c r="AJ185" s="2416">
        <v>1.0800000000017462E-3</v>
      </c>
      <c r="AK185" s="516">
        <v>0</v>
      </c>
      <c r="AL185" s="452">
        <v>0</v>
      </c>
      <c r="AM185" s="513">
        <v>0</v>
      </c>
      <c r="AN185" s="1142"/>
      <c r="AO185" s="1142"/>
      <c r="AP185" s="1179"/>
      <c r="AQ185" s="662" t="s">
        <v>458</v>
      </c>
      <c r="AR185" s="175">
        <v>7</v>
      </c>
      <c r="AS185" s="175"/>
      <c r="AT185" s="674">
        <v>6</v>
      </c>
      <c r="AU185" s="1494"/>
      <c r="AV185" s="455"/>
      <c r="AW185" s="979"/>
      <c r="AX185" s="1405"/>
      <c r="AY185" s="1405"/>
      <c r="AZ185" s="719" t="s">
        <v>1209</v>
      </c>
      <c r="BA185" s="719"/>
      <c r="BB185" s="719" t="s">
        <v>1209</v>
      </c>
      <c r="BC185" s="1979" t="s">
        <v>2188</v>
      </c>
      <c r="BD185" s="1979" t="s">
        <v>1847</v>
      </c>
      <c r="BE185" s="711" t="s">
        <v>1847</v>
      </c>
      <c r="BF185" s="1980" t="s">
        <v>1638</v>
      </c>
      <c r="BG185" s="1980" t="s">
        <v>1434</v>
      </c>
      <c r="BH185" s="1076">
        <v>1</v>
      </c>
      <c r="BI185" s="1076">
        <v>0</v>
      </c>
      <c r="BJ185" s="1078"/>
      <c r="BK185" s="433"/>
      <c r="BL185" s="25">
        <v>2500</v>
      </c>
      <c r="BM185" s="1438">
        <v>3479.47</v>
      </c>
      <c r="BN185" s="2105">
        <v>3479.4710799999998</v>
      </c>
      <c r="BO185" s="2105">
        <v>3479.4710799999998</v>
      </c>
      <c r="BP185" s="2314">
        <v>1.0800000000017462E-3</v>
      </c>
      <c r="BQ185" s="1482">
        <v>0</v>
      </c>
      <c r="BR185" s="27">
        <v>3479.4710799999998</v>
      </c>
      <c r="BS185" s="866">
        <v>3479.47</v>
      </c>
      <c r="BT185" s="54">
        <v>3479.47</v>
      </c>
      <c r="BU185" s="26">
        <v>3479.47</v>
      </c>
      <c r="BV185" s="1482">
        <v>0</v>
      </c>
      <c r="BW185" s="866">
        <v>0</v>
      </c>
      <c r="BX185" s="25">
        <v>0</v>
      </c>
      <c r="BY185" s="710"/>
      <c r="BZ185" s="710">
        <v>0</v>
      </c>
      <c r="CA185" s="1330">
        <v>0</v>
      </c>
      <c r="CB185" s="710">
        <v>0</v>
      </c>
      <c r="CC185" s="710"/>
      <c r="CD185" s="710">
        <v>0</v>
      </c>
      <c r="CE185" s="1079">
        <v>0</v>
      </c>
      <c r="CG185" s="374">
        <v>0</v>
      </c>
      <c r="CH185" s="374">
        <v>0</v>
      </c>
      <c r="CI185" s="1037">
        <v>0</v>
      </c>
      <c r="CJ185" s="1037">
        <v>3479.4710799999998</v>
      </c>
    </row>
    <row r="186" spans="1:93" s="1013" customFormat="1" ht="51.75" hidden="1" thickBot="1" x14ac:dyDescent="0.3">
      <c r="A186" s="173" t="s">
        <v>1108</v>
      </c>
      <c r="B186" s="709" t="s">
        <v>2093</v>
      </c>
      <c r="C186" s="75">
        <v>2019</v>
      </c>
      <c r="D186" s="75" t="s">
        <v>1265</v>
      </c>
      <c r="E186" s="76" t="s">
        <v>468</v>
      </c>
      <c r="F186" s="84" t="s">
        <v>468</v>
      </c>
      <c r="G186" s="229" t="s">
        <v>1597</v>
      </c>
      <c r="H186" s="25">
        <v>25986</v>
      </c>
      <c r="I186" s="2533">
        <f t="shared" si="21"/>
        <v>15986</v>
      </c>
      <c r="J186" s="2643">
        <f t="shared" si="18"/>
        <v>10000</v>
      </c>
      <c r="K186" s="2643">
        <f t="shared" si="19"/>
        <v>25986</v>
      </c>
      <c r="L186" s="2643">
        <f t="shared" si="20"/>
        <v>0</v>
      </c>
      <c r="M186" s="1438"/>
      <c r="N186" s="542">
        <v>0</v>
      </c>
      <c r="O186" s="44">
        <v>0</v>
      </c>
      <c r="P186" s="375">
        <v>0</v>
      </c>
      <c r="Q186" s="26">
        <v>0</v>
      </c>
      <c r="R186" s="2335">
        <v>0</v>
      </c>
      <c r="S186" s="1450">
        <v>0</v>
      </c>
      <c r="T186" s="1463">
        <v>0</v>
      </c>
      <c r="U186" s="3181"/>
      <c r="V186" s="3181"/>
      <c r="W186" s="3181"/>
      <c r="X186" s="3181"/>
      <c r="Y186" s="44">
        <v>0</v>
      </c>
      <c r="Z186" s="27">
        <v>0</v>
      </c>
      <c r="AA186" s="27">
        <v>0</v>
      </c>
      <c r="AB186" s="27">
        <v>15986</v>
      </c>
      <c r="AC186" s="191" t="s">
        <v>1209</v>
      </c>
      <c r="AD186" s="75" t="s">
        <v>1329</v>
      </c>
      <c r="AE186" s="713" t="s">
        <v>37</v>
      </c>
      <c r="AF186" s="74" t="s">
        <v>1283</v>
      </c>
      <c r="AG186" s="797" t="s">
        <v>1283</v>
      </c>
      <c r="AH186" s="76">
        <v>9</v>
      </c>
      <c r="AI186" s="722"/>
      <c r="AJ186" s="2416">
        <v>0</v>
      </c>
      <c r="AK186" s="516">
        <v>0</v>
      </c>
      <c r="AL186" s="452">
        <v>0</v>
      </c>
      <c r="AM186" s="513">
        <v>0</v>
      </c>
      <c r="AN186" s="1142"/>
      <c r="AO186" s="1142"/>
      <c r="AP186" s="1179"/>
      <c r="AQ186" s="662" t="s">
        <v>458</v>
      </c>
      <c r="AR186" s="175">
        <v>7</v>
      </c>
      <c r="AS186" s="175">
        <v>1</v>
      </c>
      <c r="AT186" s="674">
        <v>6</v>
      </c>
      <c r="AU186" s="1494"/>
      <c r="AV186" s="435"/>
      <c r="AW186" s="75"/>
      <c r="AX186" s="191"/>
      <c r="AY186" s="191"/>
      <c r="AZ186" s="191" t="s">
        <v>1209</v>
      </c>
      <c r="BA186" s="191"/>
      <c r="BB186" s="1785" t="s">
        <v>1209</v>
      </c>
      <c r="BC186" s="432" t="s">
        <v>1209</v>
      </c>
      <c r="BD186" s="1981" t="s">
        <v>2094</v>
      </c>
      <c r="BE186" s="432" t="s">
        <v>1737</v>
      </c>
      <c r="BF186" s="1978" t="s">
        <v>1578</v>
      </c>
      <c r="BG186" s="143" t="s">
        <v>1439</v>
      </c>
      <c r="BH186" s="436">
        <v>1</v>
      </c>
      <c r="BI186" s="436">
        <v>0</v>
      </c>
      <c r="BJ186" s="1976"/>
      <c r="BK186" s="433"/>
      <c r="BL186" s="25">
        <v>0</v>
      </c>
      <c r="BM186" s="1438">
        <v>10000</v>
      </c>
      <c r="BN186" s="2105">
        <v>10000</v>
      </c>
      <c r="BO186" s="2105">
        <v>10000</v>
      </c>
      <c r="BP186" s="2314">
        <v>0</v>
      </c>
      <c r="BQ186" s="1482">
        <v>10000</v>
      </c>
      <c r="BR186" s="27">
        <v>0</v>
      </c>
      <c r="BS186" s="866">
        <v>0</v>
      </c>
      <c r="BT186" s="54">
        <v>10000</v>
      </c>
      <c r="BU186" s="1783">
        <v>10000</v>
      </c>
      <c r="BV186" s="1482">
        <v>10000</v>
      </c>
      <c r="BW186" s="1498">
        <v>10000</v>
      </c>
      <c r="BX186" s="25">
        <v>0</v>
      </c>
      <c r="BY186" s="710"/>
      <c r="BZ186" s="710">
        <v>0</v>
      </c>
      <c r="CA186" s="710">
        <v>0</v>
      </c>
      <c r="CB186" s="710">
        <v>0</v>
      </c>
      <c r="CC186" s="710"/>
      <c r="CD186" s="710">
        <v>0</v>
      </c>
      <c r="CE186" s="710">
        <v>0</v>
      </c>
      <c r="CG186" s="374">
        <v>0</v>
      </c>
      <c r="CH186" s="374">
        <v>0</v>
      </c>
      <c r="CI186" s="1037">
        <v>0</v>
      </c>
      <c r="CJ186" s="1037">
        <v>10000</v>
      </c>
    </row>
    <row r="187" spans="1:93" s="1013" customFormat="1" ht="77.25" hidden="1" thickBot="1" x14ac:dyDescent="0.3">
      <c r="A187" s="289" t="s">
        <v>1164</v>
      </c>
      <c r="B187" s="736" t="s">
        <v>2095</v>
      </c>
      <c r="C187" s="275">
        <v>2019</v>
      </c>
      <c r="D187" s="275" t="s">
        <v>1265</v>
      </c>
      <c r="E187" s="664" t="s">
        <v>506</v>
      </c>
      <c r="F187" s="291" t="s">
        <v>506</v>
      </c>
      <c r="G187" s="292" t="s">
        <v>1155</v>
      </c>
      <c r="H187" s="293">
        <v>19900</v>
      </c>
      <c r="I187" s="2533">
        <f t="shared" si="21"/>
        <v>3900</v>
      </c>
      <c r="J187" s="2643">
        <f t="shared" si="18"/>
        <v>16000</v>
      </c>
      <c r="K187" s="2643">
        <f t="shared" si="19"/>
        <v>19900</v>
      </c>
      <c r="L187" s="2643">
        <f t="shared" si="20"/>
        <v>0</v>
      </c>
      <c r="M187" s="1439"/>
      <c r="N187" s="738">
        <v>0</v>
      </c>
      <c r="O187" s="742">
        <v>0</v>
      </c>
      <c r="P187" s="667">
        <v>0</v>
      </c>
      <c r="Q187" s="295">
        <v>0</v>
      </c>
      <c r="R187" s="2336">
        <v>0</v>
      </c>
      <c r="S187" s="1453">
        <v>0</v>
      </c>
      <c r="T187" s="1464">
        <v>0</v>
      </c>
      <c r="U187" s="3190"/>
      <c r="V187" s="3190"/>
      <c r="W187" s="3190"/>
      <c r="X187" s="3190"/>
      <c r="Y187" s="742">
        <v>0</v>
      </c>
      <c r="Z187" s="294">
        <v>0</v>
      </c>
      <c r="AA187" s="294">
        <v>0</v>
      </c>
      <c r="AB187" s="294">
        <v>3900</v>
      </c>
      <c r="AC187" s="1787" t="s">
        <v>1209</v>
      </c>
      <c r="AD187" s="744" t="s">
        <v>1329</v>
      </c>
      <c r="AE187" s="2382" t="s">
        <v>355</v>
      </c>
      <c r="AF187" s="297" t="s">
        <v>1283</v>
      </c>
      <c r="AG187" s="297" t="s">
        <v>1283</v>
      </c>
      <c r="AH187" s="664">
        <v>10</v>
      </c>
      <c r="AI187" s="728"/>
      <c r="AJ187" s="2416">
        <v>0</v>
      </c>
      <c r="AK187" s="516">
        <v>0</v>
      </c>
      <c r="AL187" s="1054">
        <v>0</v>
      </c>
      <c r="AM187" s="1056">
        <v>0</v>
      </c>
      <c r="AN187" s="1143"/>
      <c r="AO187" s="1143"/>
      <c r="AP187" s="1982"/>
      <c r="AQ187" s="675" t="s">
        <v>458</v>
      </c>
      <c r="AR187" s="673">
        <v>7</v>
      </c>
      <c r="AS187" s="673">
        <v>1</v>
      </c>
      <c r="AT187" s="662">
        <v>6</v>
      </c>
      <c r="AU187" s="1964"/>
      <c r="AV187" s="435"/>
      <c r="AW187" s="75"/>
      <c r="AX187" s="1404"/>
      <c r="AY187" s="1404"/>
      <c r="AZ187" s="1787" t="s">
        <v>1209</v>
      </c>
      <c r="BA187" s="1787"/>
      <c r="BB187" s="1787" t="s">
        <v>1209</v>
      </c>
      <c r="BC187" s="1787" t="s">
        <v>2489</v>
      </c>
      <c r="BD187" s="1983" t="s">
        <v>2490</v>
      </c>
      <c r="BE187" s="717" t="s">
        <v>1734</v>
      </c>
      <c r="BF187" s="432" t="s">
        <v>1603</v>
      </c>
      <c r="BG187" s="192" t="s">
        <v>1425</v>
      </c>
      <c r="BH187" s="436">
        <v>0</v>
      </c>
      <c r="BI187" s="436">
        <v>1</v>
      </c>
      <c r="BJ187" s="653"/>
      <c r="BK187" s="672"/>
      <c r="BL187" s="293">
        <v>0</v>
      </c>
      <c r="BM187" s="1439">
        <v>16000</v>
      </c>
      <c r="BN187" s="2122">
        <v>16000</v>
      </c>
      <c r="BO187" s="2122">
        <v>16000</v>
      </c>
      <c r="BP187" s="2314">
        <v>0</v>
      </c>
      <c r="BQ187" s="1484">
        <v>0</v>
      </c>
      <c r="BR187" s="294">
        <v>16000</v>
      </c>
      <c r="BS187" s="1439">
        <v>16000</v>
      </c>
      <c r="BT187" s="54">
        <v>16000</v>
      </c>
      <c r="BU187" s="1786">
        <v>0</v>
      </c>
      <c r="BV187" s="1484">
        <v>0</v>
      </c>
      <c r="BW187" s="1439">
        <v>0</v>
      </c>
      <c r="BX187" s="1984">
        <v>0</v>
      </c>
      <c r="BY187" s="1985"/>
      <c r="BZ187" s="737">
        <v>0</v>
      </c>
      <c r="CA187" s="737">
        <v>0</v>
      </c>
      <c r="CB187" s="710">
        <v>0</v>
      </c>
      <c r="CC187" s="710"/>
      <c r="CD187" s="710">
        <v>0</v>
      </c>
      <c r="CE187" s="710">
        <v>0</v>
      </c>
      <c r="CG187" s="792">
        <v>0</v>
      </c>
      <c r="CH187" s="792">
        <v>0</v>
      </c>
      <c r="CI187" s="1232">
        <v>0</v>
      </c>
      <c r="CJ187" s="1232">
        <v>16000</v>
      </c>
    </row>
    <row r="188" spans="1:93" s="985" customFormat="1" ht="102.75" hidden="1" thickBot="1" x14ac:dyDescent="0.3">
      <c r="A188" s="1788" t="s">
        <v>1582</v>
      </c>
      <c r="B188" s="1789" t="s">
        <v>2096</v>
      </c>
      <c r="C188" s="1523">
        <v>2019</v>
      </c>
      <c r="D188" s="570" t="s">
        <v>1842</v>
      </c>
      <c r="E188" s="1790" t="s">
        <v>460</v>
      </c>
      <c r="F188" s="1791" t="s">
        <v>460</v>
      </c>
      <c r="G188" s="1792" t="s">
        <v>1589</v>
      </c>
      <c r="H188" s="1564">
        <v>7611.0568400000002</v>
      </c>
      <c r="I188" s="2533">
        <f t="shared" si="21"/>
        <v>0</v>
      </c>
      <c r="J188" s="2643">
        <f t="shared" si="18"/>
        <v>7611.0568400000002</v>
      </c>
      <c r="K188" s="2643">
        <f t="shared" si="19"/>
        <v>7611.0568400000002</v>
      </c>
      <c r="L188" s="2643">
        <f t="shared" si="20"/>
        <v>0</v>
      </c>
      <c r="M188" s="1759"/>
      <c r="N188" s="2372">
        <v>0</v>
      </c>
      <c r="O188" s="1758">
        <v>0</v>
      </c>
      <c r="P188" s="1794">
        <v>0</v>
      </c>
      <c r="Q188" s="1793">
        <v>0</v>
      </c>
      <c r="R188" s="2341">
        <v>388.94315999999998</v>
      </c>
      <c r="S188" s="1795">
        <v>-388.94315999999998</v>
      </c>
      <c r="T188" s="1545">
        <v>0</v>
      </c>
      <c r="U188" s="3182"/>
      <c r="V188" s="3182"/>
      <c r="W188" s="3182"/>
      <c r="X188" s="3182"/>
      <c r="Y188" s="1758">
        <v>0</v>
      </c>
      <c r="Z188" s="1619">
        <v>0</v>
      </c>
      <c r="AA188" s="1796">
        <v>0</v>
      </c>
      <c r="AB188" s="1619">
        <v>0</v>
      </c>
      <c r="AC188" s="1804" t="s">
        <v>2460</v>
      </c>
      <c r="AD188" s="2380" t="s">
        <v>1329</v>
      </c>
      <c r="AE188" s="2381" t="s">
        <v>355</v>
      </c>
      <c r="AF188" s="1870" t="s">
        <v>1283</v>
      </c>
      <c r="AG188" s="1870" t="s">
        <v>1283</v>
      </c>
      <c r="AH188" s="2096">
        <v>2</v>
      </c>
      <c r="AI188" s="2095"/>
      <c r="AJ188" s="2416">
        <v>388.94315999999981</v>
      </c>
      <c r="AK188" s="516">
        <v>0</v>
      </c>
      <c r="AL188" s="1320">
        <v>0</v>
      </c>
      <c r="AM188" s="512">
        <v>0</v>
      </c>
      <c r="AN188" s="1171"/>
      <c r="AO188" s="1171"/>
      <c r="AP188" s="1180"/>
      <c r="AQ188" s="674" t="s">
        <v>458</v>
      </c>
      <c r="AR188" s="367">
        <v>7</v>
      </c>
      <c r="AS188" s="367">
        <v>3</v>
      </c>
      <c r="AT188" s="674">
        <v>6</v>
      </c>
      <c r="AU188" s="1966"/>
      <c r="AV188" s="1559"/>
      <c r="AW188" s="2233"/>
      <c r="AX188" s="2234"/>
      <c r="AY188" s="2234"/>
      <c r="AZ188" s="1804" t="s">
        <v>2460</v>
      </c>
      <c r="BA188" s="1804"/>
      <c r="BB188" s="1804" t="s">
        <v>2460</v>
      </c>
      <c r="BC188" s="2235" t="s">
        <v>2097</v>
      </c>
      <c r="BD188" s="2236" t="s">
        <v>2097</v>
      </c>
      <c r="BE188" s="2237" t="s">
        <v>1848</v>
      </c>
      <c r="BF188" s="2238" t="s">
        <v>1590</v>
      </c>
      <c r="BG188" s="2239"/>
      <c r="BH188" s="1562"/>
      <c r="BI188" s="1562"/>
      <c r="BJ188" s="2240"/>
      <c r="BK188" s="454"/>
      <c r="BL188" s="1564">
        <v>0</v>
      </c>
      <c r="BM188" s="1759">
        <v>7611.0568400000002</v>
      </c>
      <c r="BN188" s="2210">
        <v>8000</v>
      </c>
      <c r="BO188" s="2210">
        <v>8000</v>
      </c>
      <c r="BP188" s="2315">
        <v>388.94315999999981</v>
      </c>
      <c r="BQ188" s="1705">
        <v>0</v>
      </c>
      <c r="BR188" s="1619">
        <v>8000</v>
      </c>
      <c r="BS188" s="1759">
        <v>7611.0568400000002</v>
      </c>
      <c r="BT188" s="54">
        <v>7611.0568400000002</v>
      </c>
      <c r="BU188" s="1793">
        <v>0</v>
      </c>
      <c r="BV188" s="1705">
        <v>0</v>
      </c>
      <c r="BW188" s="1759">
        <v>0</v>
      </c>
      <c r="BX188" s="1564">
        <v>0</v>
      </c>
      <c r="BY188" s="2241"/>
      <c r="BZ188" s="2242">
        <v>0</v>
      </c>
      <c r="CA188" s="2242">
        <v>0</v>
      </c>
      <c r="CB188" s="2243">
        <v>0</v>
      </c>
      <c r="CC188" s="2243"/>
      <c r="CD188" s="2243">
        <v>0</v>
      </c>
      <c r="CE188" s="2244">
        <v>0</v>
      </c>
      <c r="CG188" s="2075">
        <v>0</v>
      </c>
      <c r="CH188" s="2075">
        <v>0</v>
      </c>
      <c r="CI188" s="2189">
        <v>0</v>
      </c>
      <c r="CJ188" s="2189">
        <v>8000</v>
      </c>
    </row>
    <row r="189" spans="1:93" s="1782" customFormat="1" ht="64.5" hidden="1" thickBot="1" x14ac:dyDescent="0.3">
      <c r="A189" s="289" t="s">
        <v>1588</v>
      </c>
      <c r="B189" s="736" t="s">
        <v>2098</v>
      </c>
      <c r="C189" s="275">
        <v>2019</v>
      </c>
      <c r="D189" s="1234" t="s">
        <v>1842</v>
      </c>
      <c r="E189" s="291" t="s">
        <v>457</v>
      </c>
      <c r="F189" s="291" t="s">
        <v>457</v>
      </c>
      <c r="G189" s="1265" t="s">
        <v>1580</v>
      </c>
      <c r="H189" s="293">
        <v>7865</v>
      </c>
      <c r="I189" s="2533">
        <f t="shared" si="21"/>
        <v>1365</v>
      </c>
      <c r="J189" s="2643">
        <f t="shared" si="18"/>
        <v>6500</v>
      </c>
      <c r="K189" s="2643">
        <f t="shared" si="19"/>
        <v>7865</v>
      </c>
      <c r="L189" s="2643">
        <f t="shared" si="20"/>
        <v>0</v>
      </c>
      <c r="M189" s="1439"/>
      <c r="N189" s="738">
        <v>0</v>
      </c>
      <c r="O189" s="742">
        <v>0</v>
      </c>
      <c r="P189" s="667">
        <v>0</v>
      </c>
      <c r="Q189" s="295">
        <v>0</v>
      </c>
      <c r="R189" s="2336">
        <v>0</v>
      </c>
      <c r="S189" s="1453">
        <v>0</v>
      </c>
      <c r="T189" s="1464">
        <v>0</v>
      </c>
      <c r="U189" s="3190"/>
      <c r="V189" s="3190"/>
      <c r="W189" s="3190"/>
      <c r="X189" s="3190"/>
      <c r="Y189" s="742">
        <v>0</v>
      </c>
      <c r="Z189" s="294">
        <v>0</v>
      </c>
      <c r="AA189" s="296">
        <v>0</v>
      </c>
      <c r="AB189" s="294">
        <v>1365</v>
      </c>
      <c r="AC189" s="1798" t="s">
        <v>1209</v>
      </c>
      <c r="AD189" s="744" t="s">
        <v>1329</v>
      </c>
      <c r="AE189" s="2382" t="s">
        <v>845</v>
      </c>
      <c r="AF189" s="297" t="s">
        <v>1283</v>
      </c>
      <c r="AG189" s="297" t="s">
        <v>1283</v>
      </c>
      <c r="AH189" s="664">
        <v>4</v>
      </c>
      <c r="AI189" s="728"/>
      <c r="AJ189" s="2416">
        <v>0</v>
      </c>
      <c r="AK189" s="516">
        <v>0</v>
      </c>
      <c r="AL189" s="1054">
        <v>0</v>
      </c>
      <c r="AM189" s="1056">
        <v>0</v>
      </c>
      <c r="AN189" s="1142"/>
      <c r="AO189" s="1142"/>
      <c r="AP189" s="1179"/>
      <c r="AQ189" s="662" t="s">
        <v>458</v>
      </c>
      <c r="AR189" s="175">
        <v>7</v>
      </c>
      <c r="AS189" s="175">
        <v>3</v>
      </c>
      <c r="AT189" s="662">
        <v>6</v>
      </c>
      <c r="AU189" s="1494"/>
      <c r="AV189" s="759"/>
      <c r="AW189" s="275"/>
      <c r="AX189" s="2793"/>
      <c r="AY189" s="2793"/>
      <c r="AZ189" s="1798" t="s">
        <v>1209</v>
      </c>
      <c r="BA189" s="1798"/>
      <c r="BB189" s="1798" t="s">
        <v>1209</v>
      </c>
      <c r="BC189" s="1777" t="s">
        <v>2189</v>
      </c>
      <c r="BD189" s="1778" t="s">
        <v>2099</v>
      </c>
      <c r="BE189" s="714" t="s">
        <v>1849</v>
      </c>
      <c r="BF189" s="1779" t="s">
        <v>1581</v>
      </c>
      <c r="BG189" s="626"/>
      <c r="BH189" s="1057"/>
      <c r="BI189" s="1057"/>
      <c r="BJ189" s="1780"/>
      <c r="BK189" s="433"/>
      <c r="BL189" s="293">
        <v>0</v>
      </c>
      <c r="BM189" s="1439">
        <v>6500</v>
      </c>
      <c r="BN189" s="2122">
        <v>6500</v>
      </c>
      <c r="BO189" s="2122">
        <v>6500</v>
      </c>
      <c r="BP189" s="2314">
        <v>0</v>
      </c>
      <c r="BQ189" s="1484">
        <v>0</v>
      </c>
      <c r="BR189" s="294">
        <v>6500</v>
      </c>
      <c r="BS189" s="1439">
        <v>6500</v>
      </c>
      <c r="BT189" s="54">
        <v>6500</v>
      </c>
      <c r="BU189" s="1797">
        <v>6500</v>
      </c>
      <c r="BV189" s="1484">
        <v>0</v>
      </c>
      <c r="BW189" s="1439">
        <v>0</v>
      </c>
      <c r="BX189" s="293">
        <v>0</v>
      </c>
      <c r="BY189" s="1231"/>
      <c r="BZ189" s="866">
        <v>0</v>
      </c>
      <c r="CA189" s="866">
        <v>0</v>
      </c>
      <c r="CB189" s="866">
        <v>0</v>
      </c>
      <c r="CC189" s="866"/>
      <c r="CD189" s="866">
        <v>0</v>
      </c>
      <c r="CE189" s="866">
        <v>0</v>
      </c>
      <c r="CF189" s="1781"/>
      <c r="CG189" s="792">
        <v>0</v>
      </c>
      <c r="CH189" s="792">
        <v>0</v>
      </c>
      <c r="CI189" s="1232">
        <v>0</v>
      </c>
      <c r="CJ189" s="1232">
        <v>6500</v>
      </c>
    </row>
    <row r="190" spans="1:93" s="985" customFormat="1" ht="77.25" hidden="1" thickBot="1" x14ac:dyDescent="0.3">
      <c r="A190" s="1534" t="s">
        <v>2183</v>
      </c>
      <c r="B190" s="1773" t="s">
        <v>2332</v>
      </c>
      <c r="C190" s="979">
        <v>2019</v>
      </c>
      <c r="D190" s="1523" t="s">
        <v>2506</v>
      </c>
      <c r="E190" s="1591" t="s">
        <v>460</v>
      </c>
      <c r="F190" s="1591" t="s">
        <v>460</v>
      </c>
      <c r="G190" s="1774" t="s">
        <v>2100</v>
      </c>
      <c r="H190" s="980">
        <v>1427.0675200000001</v>
      </c>
      <c r="I190" s="2533">
        <f t="shared" si="21"/>
        <v>150</v>
      </c>
      <c r="J190" s="2643">
        <f t="shared" si="18"/>
        <v>1277.0675200000001</v>
      </c>
      <c r="K190" s="2643">
        <f t="shared" si="19"/>
        <v>1427.0675200000001</v>
      </c>
      <c r="L190" s="2643">
        <f t="shared" si="20"/>
        <v>0</v>
      </c>
      <c r="M190" s="1759"/>
      <c r="N190" s="2361">
        <v>0</v>
      </c>
      <c r="O190" s="1540">
        <v>0</v>
      </c>
      <c r="P190" s="1541">
        <v>0</v>
      </c>
      <c r="Q190" s="1542">
        <v>0</v>
      </c>
      <c r="R190" s="2338">
        <v>172.93247999999994</v>
      </c>
      <c r="S190" s="1544">
        <v>-172.93247999999994</v>
      </c>
      <c r="T190" s="1545">
        <v>0</v>
      </c>
      <c r="U190" s="3182"/>
      <c r="V190" s="3182"/>
      <c r="W190" s="3182"/>
      <c r="X190" s="3182"/>
      <c r="Y190" s="1540">
        <v>0</v>
      </c>
      <c r="Z190" s="1539">
        <v>0</v>
      </c>
      <c r="AA190" s="1775">
        <v>0</v>
      </c>
      <c r="AB190" s="1542">
        <v>150</v>
      </c>
      <c r="AC190" s="1804" t="s">
        <v>2455</v>
      </c>
      <c r="AD190" s="979" t="s">
        <v>1329</v>
      </c>
      <c r="AE190" s="1638" t="s">
        <v>355</v>
      </c>
      <c r="AF190" s="1589" t="s">
        <v>1283</v>
      </c>
      <c r="AG190" s="1589" t="s">
        <v>1283</v>
      </c>
      <c r="AH190" s="2096">
        <v>2</v>
      </c>
      <c r="AI190" s="2245"/>
      <c r="AJ190" s="2416">
        <v>172.93247999999994</v>
      </c>
      <c r="AK190" s="516">
        <v>0</v>
      </c>
      <c r="AL190" s="1320">
        <v>0</v>
      </c>
      <c r="AM190" s="512">
        <v>0</v>
      </c>
      <c r="AN190" s="1171"/>
      <c r="AO190" s="1171"/>
      <c r="AP190" s="1180"/>
      <c r="AQ190" s="674" t="s">
        <v>458</v>
      </c>
      <c r="AR190" s="367">
        <v>7</v>
      </c>
      <c r="AS190" s="367">
        <v>5</v>
      </c>
      <c r="AT190" s="674">
        <v>6</v>
      </c>
      <c r="AU190" s="1966"/>
      <c r="AV190" s="986"/>
      <c r="AW190" s="1872"/>
      <c r="AX190" s="2054"/>
      <c r="AY190" s="2054"/>
      <c r="AZ190" s="1804" t="s">
        <v>2455</v>
      </c>
      <c r="BA190" s="1804"/>
      <c r="BB190" s="1804" t="s">
        <v>2455</v>
      </c>
      <c r="BC190" s="2246" t="s">
        <v>2507</v>
      </c>
      <c r="BD190" s="2238" t="s">
        <v>2507</v>
      </c>
      <c r="BE190" s="2234"/>
      <c r="BF190" s="2247"/>
      <c r="BG190" s="2248"/>
      <c r="BH190" s="987"/>
      <c r="BI190" s="987"/>
      <c r="BJ190" s="2098"/>
      <c r="BK190" s="454"/>
      <c r="BL190" s="980">
        <v>0</v>
      </c>
      <c r="BM190" s="1759">
        <v>1277.0675200000001</v>
      </c>
      <c r="BN190" s="2112">
        <v>1450</v>
      </c>
      <c r="BO190" s="2112">
        <v>1450</v>
      </c>
      <c r="BP190" s="2315">
        <v>172.93247999999994</v>
      </c>
      <c r="BQ190" s="1538">
        <v>0</v>
      </c>
      <c r="BR190" s="1539">
        <v>1450</v>
      </c>
      <c r="BS190" s="1376">
        <v>1277.0675200000001</v>
      </c>
      <c r="BT190" s="54">
        <v>1277.0675200000001</v>
      </c>
      <c r="BU190" s="1539">
        <v>0</v>
      </c>
      <c r="BV190" s="1538">
        <v>0</v>
      </c>
      <c r="BW190" s="1376">
        <v>0</v>
      </c>
      <c r="BX190" s="2071">
        <v>0</v>
      </c>
      <c r="BY190" s="2171"/>
      <c r="BZ190" s="2101"/>
      <c r="CA190" s="2101"/>
      <c r="CB190" s="2101"/>
      <c r="CC190" s="2101"/>
      <c r="CD190" s="2101"/>
      <c r="CE190" s="2101"/>
      <c r="CG190" s="1253">
        <v>0</v>
      </c>
      <c r="CH190" s="1253">
        <v>0</v>
      </c>
      <c r="CI190" s="1548">
        <v>0</v>
      </c>
      <c r="CJ190" s="1548">
        <v>1450</v>
      </c>
    </row>
    <row r="191" spans="1:93" s="985" customFormat="1" ht="39" hidden="1" thickBot="1" x14ac:dyDescent="0.3">
      <c r="A191" s="1534" t="s">
        <v>2184</v>
      </c>
      <c r="B191" s="1773" t="s">
        <v>2333</v>
      </c>
      <c r="C191" s="979">
        <v>2019</v>
      </c>
      <c r="D191" s="1523" t="s">
        <v>2506</v>
      </c>
      <c r="E191" s="1591" t="s">
        <v>460</v>
      </c>
      <c r="F191" s="1591" t="s">
        <v>460</v>
      </c>
      <c r="G191" s="1774" t="s">
        <v>1183</v>
      </c>
      <c r="H191" s="980">
        <v>5237.3222900000001</v>
      </c>
      <c r="I191" s="2533">
        <f t="shared" si="21"/>
        <v>0</v>
      </c>
      <c r="J191" s="2643">
        <f t="shared" si="18"/>
        <v>5237.3222900000001</v>
      </c>
      <c r="K191" s="2643">
        <f t="shared" si="19"/>
        <v>5237.3222900000001</v>
      </c>
      <c r="L191" s="2643">
        <f t="shared" si="20"/>
        <v>0</v>
      </c>
      <c r="M191" s="1759"/>
      <c r="N191" s="2361">
        <v>0</v>
      </c>
      <c r="O191" s="1540">
        <v>0</v>
      </c>
      <c r="P191" s="1541">
        <v>0</v>
      </c>
      <c r="Q191" s="1542">
        <v>0</v>
      </c>
      <c r="R191" s="2338">
        <v>462.67770999999993</v>
      </c>
      <c r="S191" s="1544">
        <v>-462.67770999999993</v>
      </c>
      <c r="T191" s="1545">
        <v>0</v>
      </c>
      <c r="U191" s="3182"/>
      <c r="V191" s="3182"/>
      <c r="W191" s="3182"/>
      <c r="X191" s="3182"/>
      <c r="Y191" s="1540">
        <v>0</v>
      </c>
      <c r="Z191" s="1539">
        <v>0</v>
      </c>
      <c r="AA191" s="1775">
        <v>0</v>
      </c>
      <c r="AB191" s="1542">
        <v>0</v>
      </c>
      <c r="AC191" s="1804" t="s">
        <v>2456</v>
      </c>
      <c r="AD191" s="979" t="s">
        <v>1329</v>
      </c>
      <c r="AE191" s="1638" t="s">
        <v>355</v>
      </c>
      <c r="AF191" s="1589" t="s">
        <v>1283</v>
      </c>
      <c r="AG191" s="1589" t="s">
        <v>1283</v>
      </c>
      <c r="AH191" s="2096">
        <v>2</v>
      </c>
      <c r="AI191" s="2245"/>
      <c r="AJ191" s="2416">
        <v>462.67770999999993</v>
      </c>
      <c r="AK191" s="516">
        <v>0</v>
      </c>
      <c r="AL191" s="1320">
        <v>0</v>
      </c>
      <c r="AM191" s="512">
        <v>0</v>
      </c>
      <c r="AN191" s="1171"/>
      <c r="AO191" s="1171"/>
      <c r="AP191" s="1180"/>
      <c r="AQ191" s="674" t="s">
        <v>458</v>
      </c>
      <c r="AR191" s="367">
        <v>7</v>
      </c>
      <c r="AS191" s="367">
        <v>5</v>
      </c>
      <c r="AT191" s="674">
        <v>6</v>
      </c>
      <c r="AU191" s="1966"/>
      <c r="AV191" s="986"/>
      <c r="AW191" s="1872"/>
      <c r="AX191" s="2054"/>
      <c r="AY191" s="2054"/>
      <c r="AZ191" s="1804" t="s">
        <v>2456</v>
      </c>
      <c r="BA191" s="1804"/>
      <c r="BB191" s="1804" t="s">
        <v>2456</v>
      </c>
      <c r="BC191" s="2246" t="s">
        <v>2243</v>
      </c>
      <c r="BD191" s="2238" t="s">
        <v>2508</v>
      </c>
      <c r="BE191" s="2234"/>
      <c r="BF191" s="2247"/>
      <c r="BG191" s="2248"/>
      <c r="BH191" s="987"/>
      <c r="BI191" s="987"/>
      <c r="BJ191" s="2098"/>
      <c r="BK191" s="454"/>
      <c r="BL191" s="980">
        <v>0</v>
      </c>
      <c r="BM191" s="1759">
        <v>5237.3222900000001</v>
      </c>
      <c r="BN191" s="2112">
        <v>5700</v>
      </c>
      <c r="BO191" s="2112">
        <v>5700</v>
      </c>
      <c r="BP191" s="2315">
        <v>462.67770999999993</v>
      </c>
      <c r="BQ191" s="1538">
        <v>0</v>
      </c>
      <c r="BR191" s="1539">
        <v>5700</v>
      </c>
      <c r="BS191" s="1376">
        <v>5237.3222900000001</v>
      </c>
      <c r="BT191" s="54">
        <v>5237.3222900000001</v>
      </c>
      <c r="BU191" s="1539">
        <v>0</v>
      </c>
      <c r="BV191" s="1538">
        <v>0</v>
      </c>
      <c r="BW191" s="1376">
        <v>0</v>
      </c>
      <c r="BX191" s="2071">
        <v>0</v>
      </c>
      <c r="BY191" s="2171"/>
      <c r="BZ191" s="2101"/>
      <c r="CA191" s="2101"/>
      <c r="CB191" s="2101"/>
      <c r="CC191" s="2101"/>
      <c r="CD191" s="2101"/>
      <c r="CE191" s="2101"/>
      <c r="CG191" s="1253">
        <v>0</v>
      </c>
      <c r="CH191" s="1253">
        <v>0</v>
      </c>
      <c r="CI191" s="1548">
        <v>0</v>
      </c>
      <c r="CJ191" s="1548">
        <v>5700</v>
      </c>
    </row>
    <row r="192" spans="1:93" s="1013" customFormat="1" ht="51.75" hidden="1" thickBot="1" x14ac:dyDescent="0.3">
      <c r="A192" s="173" t="s">
        <v>2185</v>
      </c>
      <c r="B192" s="709" t="s">
        <v>2334</v>
      </c>
      <c r="C192" s="75">
        <v>2019</v>
      </c>
      <c r="D192" s="83" t="s">
        <v>2506</v>
      </c>
      <c r="E192" s="84" t="s">
        <v>468</v>
      </c>
      <c r="F192" s="84" t="s">
        <v>468</v>
      </c>
      <c r="G192" s="228" t="s">
        <v>2101</v>
      </c>
      <c r="H192" s="25">
        <v>5030</v>
      </c>
      <c r="I192" s="2533">
        <f t="shared" si="21"/>
        <v>0</v>
      </c>
      <c r="J192" s="2643">
        <f t="shared" si="18"/>
        <v>5030</v>
      </c>
      <c r="K192" s="2643">
        <f t="shared" si="19"/>
        <v>5030</v>
      </c>
      <c r="L192" s="2643">
        <f t="shared" si="20"/>
        <v>0</v>
      </c>
      <c r="M192" s="1438"/>
      <c r="N192" s="542">
        <v>0</v>
      </c>
      <c r="O192" s="44">
        <v>0</v>
      </c>
      <c r="P192" s="375">
        <v>0</v>
      </c>
      <c r="Q192" s="26">
        <v>0</v>
      </c>
      <c r="R192" s="2335">
        <v>0</v>
      </c>
      <c r="S192" s="1450">
        <v>0</v>
      </c>
      <c r="T192" s="1463">
        <v>0</v>
      </c>
      <c r="U192" s="3181"/>
      <c r="V192" s="3181"/>
      <c r="W192" s="3181"/>
      <c r="X192" s="3181"/>
      <c r="Y192" s="44">
        <v>0</v>
      </c>
      <c r="Z192" s="27">
        <v>0</v>
      </c>
      <c r="AA192" s="181">
        <v>0</v>
      </c>
      <c r="AB192" s="26">
        <v>0</v>
      </c>
      <c r="AC192" s="719" t="s">
        <v>2559</v>
      </c>
      <c r="AD192" s="711" t="s">
        <v>1329</v>
      </c>
      <c r="AE192" s="713" t="s">
        <v>355</v>
      </c>
      <c r="AF192" s="74" t="s">
        <v>1283</v>
      </c>
      <c r="AG192" s="74" t="s">
        <v>1283</v>
      </c>
      <c r="AH192" s="302">
        <v>9</v>
      </c>
      <c r="AI192" s="1987"/>
      <c r="AJ192" s="2416">
        <v>0</v>
      </c>
      <c r="AK192" s="516">
        <v>0</v>
      </c>
      <c r="AL192" s="452">
        <v>0</v>
      </c>
      <c r="AM192" s="513">
        <v>0</v>
      </c>
      <c r="AN192" s="1142"/>
      <c r="AO192" s="1142"/>
      <c r="AP192" s="1179"/>
      <c r="AQ192" s="662" t="s">
        <v>458</v>
      </c>
      <c r="AR192" s="175">
        <v>7</v>
      </c>
      <c r="AS192" s="175">
        <v>5</v>
      </c>
      <c r="AT192" s="662">
        <v>6</v>
      </c>
      <c r="AU192" s="1494"/>
      <c r="AV192" s="759"/>
      <c r="AW192" s="618"/>
      <c r="AX192" s="263"/>
      <c r="AY192" s="263"/>
      <c r="AZ192" s="719" t="s">
        <v>2559</v>
      </c>
      <c r="BA192" s="719"/>
      <c r="BB192" s="719" t="s">
        <v>2457</v>
      </c>
      <c r="BC192" s="714" t="s">
        <v>2242</v>
      </c>
      <c r="BD192" s="1779" t="s">
        <v>2491</v>
      </c>
      <c r="BE192" s="1986"/>
      <c r="BF192" s="1988"/>
      <c r="BG192" s="626"/>
      <c r="BH192" s="1057"/>
      <c r="BI192" s="1057"/>
      <c r="BJ192" s="1989"/>
      <c r="BK192" s="433"/>
      <c r="BL192" s="25">
        <v>0</v>
      </c>
      <c r="BM192" s="1438">
        <v>5030</v>
      </c>
      <c r="BN192" s="2105">
        <v>5030</v>
      </c>
      <c r="BO192" s="2105">
        <v>5030</v>
      </c>
      <c r="BP192" s="2314">
        <v>0</v>
      </c>
      <c r="BQ192" s="1482">
        <v>0</v>
      </c>
      <c r="BR192" s="27">
        <v>5030</v>
      </c>
      <c r="BS192" s="866">
        <v>5030</v>
      </c>
      <c r="BT192" s="54">
        <v>5030</v>
      </c>
      <c r="BU192" s="1799">
        <v>0</v>
      </c>
      <c r="BV192" s="1482">
        <v>0</v>
      </c>
      <c r="BW192" s="866">
        <v>0</v>
      </c>
      <c r="BX192" s="1913">
        <v>0</v>
      </c>
      <c r="BY192" s="1918"/>
      <c r="BZ192" s="1915"/>
      <c r="CA192" s="1915"/>
      <c r="CB192" s="1915"/>
      <c r="CC192" s="1915"/>
      <c r="CD192" s="1915"/>
      <c r="CE192" s="1915"/>
      <c r="CG192" s="374">
        <v>0</v>
      </c>
      <c r="CH192" s="374">
        <v>0</v>
      </c>
      <c r="CI192" s="1037">
        <v>0</v>
      </c>
      <c r="CJ192" s="1037">
        <v>5030</v>
      </c>
    </row>
    <row r="193" spans="1:98" s="985" customFormat="1" ht="30.75" hidden="1" thickBot="1" x14ac:dyDescent="0.3">
      <c r="A193" s="1534" t="s">
        <v>2186</v>
      </c>
      <c r="B193" s="1773" t="s">
        <v>2335</v>
      </c>
      <c r="C193" s="979">
        <v>2019</v>
      </c>
      <c r="D193" s="1523" t="s">
        <v>2506</v>
      </c>
      <c r="E193" s="1591" t="s">
        <v>457</v>
      </c>
      <c r="F193" s="1591" t="s">
        <v>457</v>
      </c>
      <c r="G193" s="1774" t="s">
        <v>2102</v>
      </c>
      <c r="H193" s="980">
        <v>6474.39833</v>
      </c>
      <c r="I193" s="2533">
        <f t="shared" si="21"/>
        <v>0</v>
      </c>
      <c r="J193" s="2643">
        <f t="shared" si="18"/>
        <v>6474.39833</v>
      </c>
      <c r="K193" s="2643">
        <f t="shared" si="19"/>
        <v>6474.39833</v>
      </c>
      <c r="L193" s="2643">
        <f t="shared" si="20"/>
        <v>0</v>
      </c>
      <c r="M193" s="1759"/>
      <c r="N193" s="2361">
        <v>0</v>
      </c>
      <c r="O193" s="1540">
        <v>0</v>
      </c>
      <c r="P193" s="1541">
        <v>0</v>
      </c>
      <c r="Q193" s="1542">
        <v>0</v>
      </c>
      <c r="R193" s="2338">
        <v>7.6016700000000128</v>
      </c>
      <c r="S193" s="1544">
        <v>-7.6016700000000004</v>
      </c>
      <c r="T193" s="1545">
        <v>1.2434497875801753E-14</v>
      </c>
      <c r="U193" s="3182"/>
      <c r="V193" s="3182"/>
      <c r="W193" s="3182"/>
      <c r="X193" s="3182"/>
      <c r="Y193" s="1540">
        <v>0</v>
      </c>
      <c r="Z193" s="1539">
        <v>0</v>
      </c>
      <c r="AA193" s="1775">
        <v>0</v>
      </c>
      <c r="AB193" s="1542">
        <v>0</v>
      </c>
      <c r="AC193" s="1805" t="s">
        <v>2458</v>
      </c>
      <c r="AD193" s="1800" t="s">
        <v>1329</v>
      </c>
      <c r="AE193" s="1638" t="s">
        <v>845</v>
      </c>
      <c r="AF193" s="1589" t="s">
        <v>1283</v>
      </c>
      <c r="AG193" s="1589" t="s">
        <v>1283</v>
      </c>
      <c r="AH193" s="2096">
        <v>4</v>
      </c>
      <c r="AI193" s="2245"/>
      <c r="AJ193" s="2416">
        <v>7.6016700000000128</v>
      </c>
      <c r="AK193" s="516">
        <v>-1.2434497875801753E-14</v>
      </c>
      <c r="AL193" s="1320">
        <v>0</v>
      </c>
      <c r="AM193" s="512">
        <v>1.2434497875801753E-14</v>
      </c>
      <c r="AN193" s="1171"/>
      <c r="AO193" s="1171"/>
      <c r="AP193" s="1180"/>
      <c r="AQ193" s="674" t="s">
        <v>458</v>
      </c>
      <c r="AR193" s="367">
        <v>7</v>
      </c>
      <c r="AS193" s="367">
        <v>5</v>
      </c>
      <c r="AT193" s="674">
        <v>6</v>
      </c>
      <c r="AU193" s="1966"/>
      <c r="AV193" s="986"/>
      <c r="AW193" s="1872"/>
      <c r="AX193" s="2054"/>
      <c r="AY193" s="2054"/>
      <c r="AZ193" s="1805" t="s">
        <v>2458</v>
      </c>
      <c r="BA193" s="1805"/>
      <c r="BB193" s="1805" t="s">
        <v>2458</v>
      </c>
      <c r="BC193" s="2249" t="s">
        <v>1209</v>
      </c>
      <c r="BD193" s="2250" t="s">
        <v>2103</v>
      </c>
      <c r="BE193" s="2234"/>
      <c r="BF193" s="2247"/>
      <c r="BG193" s="2248"/>
      <c r="BH193" s="987"/>
      <c r="BI193" s="987"/>
      <c r="BJ193" s="2098"/>
      <c r="BK193" s="454"/>
      <c r="BL193" s="980">
        <v>0</v>
      </c>
      <c r="BM193" s="1759">
        <v>6474.39833</v>
      </c>
      <c r="BN193" s="2112">
        <v>6482</v>
      </c>
      <c r="BO193" s="2112">
        <v>6482</v>
      </c>
      <c r="BP193" s="2315">
        <v>7.6016700000000128</v>
      </c>
      <c r="BQ193" s="1538">
        <v>0</v>
      </c>
      <c r="BR193" s="1539">
        <v>6482</v>
      </c>
      <c r="BS193" s="1376">
        <v>6474.39833</v>
      </c>
      <c r="BT193" s="54">
        <v>6474.39833</v>
      </c>
      <c r="BU193" s="1539">
        <v>0</v>
      </c>
      <c r="BV193" s="1538">
        <v>0</v>
      </c>
      <c r="BW193" s="1376">
        <v>0</v>
      </c>
      <c r="BX193" s="2071">
        <v>0</v>
      </c>
      <c r="BY193" s="2171"/>
      <c r="BZ193" s="2101"/>
      <c r="CA193" s="2101"/>
      <c r="CB193" s="2101"/>
      <c r="CC193" s="2101"/>
      <c r="CD193" s="2101"/>
      <c r="CE193" s="2101"/>
      <c r="CG193" s="1253">
        <v>0</v>
      </c>
      <c r="CH193" s="1253">
        <v>0</v>
      </c>
      <c r="CI193" s="1548">
        <v>0</v>
      </c>
      <c r="CJ193" s="1548">
        <v>6482</v>
      </c>
    </row>
    <row r="194" spans="1:98" s="1013" customFormat="1" ht="26.25" hidden="1" thickBot="1" x14ac:dyDescent="0.3">
      <c r="A194" s="268" t="s">
        <v>2226</v>
      </c>
      <c r="B194" s="1801" t="s">
        <v>2345</v>
      </c>
      <c r="C194" s="83">
        <v>2019</v>
      </c>
      <c r="D194" s="83" t="s">
        <v>2506</v>
      </c>
      <c r="E194" s="1761" t="s">
        <v>521</v>
      </c>
      <c r="F194" s="1761" t="s">
        <v>521</v>
      </c>
      <c r="G194" s="1271" t="s">
        <v>2221</v>
      </c>
      <c r="H194" s="85">
        <v>2000</v>
      </c>
      <c r="I194" s="2533">
        <f t="shared" si="21"/>
        <v>0</v>
      </c>
      <c r="J194" s="2643">
        <f t="shared" si="18"/>
        <v>2000</v>
      </c>
      <c r="K194" s="2643">
        <f t="shared" si="19"/>
        <v>2000</v>
      </c>
      <c r="L194" s="2643">
        <f t="shared" si="20"/>
        <v>0</v>
      </c>
      <c r="M194" s="1438"/>
      <c r="N194" s="542">
        <v>0</v>
      </c>
      <c r="O194" s="44">
        <v>0</v>
      </c>
      <c r="P194" s="375">
        <v>0</v>
      </c>
      <c r="Q194" s="26">
        <v>0</v>
      </c>
      <c r="R194" s="2335">
        <v>0</v>
      </c>
      <c r="S194" s="1450">
        <v>0</v>
      </c>
      <c r="T194" s="1463">
        <v>0</v>
      </c>
      <c r="U194" s="3181"/>
      <c r="V194" s="3181"/>
      <c r="W194" s="3181"/>
      <c r="X194" s="3181"/>
      <c r="Y194" s="44">
        <v>0</v>
      </c>
      <c r="Z194" s="27">
        <v>0</v>
      </c>
      <c r="AA194" s="1776">
        <v>0</v>
      </c>
      <c r="AB194" s="45">
        <v>0</v>
      </c>
      <c r="AC194" s="1771" t="s">
        <v>2350</v>
      </c>
      <c r="AD194" s="711" t="s">
        <v>1329</v>
      </c>
      <c r="AE194" s="713" t="s">
        <v>355</v>
      </c>
      <c r="AF194" s="1424" t="s">
        <v>1283</v>
      </c>
      <c r="AG194" s="1424" t="s">
        <v>1283</v>
      </c>
      <c r="AH194" s="302">
        <v>11</v>
      </c>
      <c r="AI194" s="1987"/>
      <c r="AJ194" s="2416">
        <v>0</v>
      </c>
      <c r="AK194" s="516">
        <v>0</v>
      </c>
      <c r="AL194" s="452">
        <v>0</v>
      </c>
      <c r="AM194" s="513">
        <v>0</v>
      </c>
      <c r="AN194" s="1142"/>
      <c r="AO194" s="1142"/>
      <c r="AP194" s="1179"/>
      <c r="AQ194" s="662" t="s">
        <v>458</v>
      </c>
      <c r="AR194" s="175">
        <v>7</v>
      </c>
      <c r="AS194" s="175">
        <v>5</v>
      </c>
      <c r="AT194" s="662">
        <v>6</v>
      </c>
      <c r="AU194" s="1494"/>
      <c r="AV194" s="759"/>
      <c r="AW194" s="618"/>
      <c r="AX194" s="263"/>
      <c r="AY194" s="263"/>
      <c r="AZ194" s="1771" t="s">
        <v>2350</v>
      </c>
      <c r="BA194" s="1771"/>
      <c r="BB194" s="1771" t="s">
        <v>2350</v>
      </c>
      <c r="BC194" s="1771" t="s">
        <v>1209</v>
      </c>
      <c r="BD194" s="1991"/>
      <c r="BE194" s="1986"/>
      <c r="BF194" s="1988"/>
      <c r="BG194" s="626"/>
      <c r="BH194" s="1057"/>
      <c r="BI194" s="1057"/>
      <c r="BJ194" s="1989"/>
      <c r="BK194" s="433"/>
      <c r="BL194" s="85">
        <v>0</v>
      </c>
      <c r="BM194" s="1438">
        <v>2000</v>
      </c>
      <c r="BN194" s="2105">
        <v>2000</v>
      </c>
      <c r="BO194" s="2105">
        <v>2000</v>
      </c>
      <c r="BP194" s="2314">
        <v>0</v>
      </c>
      <c r="BQ194" s="1483">
        <v>0</v>
      </c>
      <c r="BR194" s="45">
        <v>2000</v>
      </c>
      <c r="BS194" s="46">
        <v>2000</v>
      </c>
      <c r="BT194" s="54">
        <v>2000</v>
      </c>
      <c r="BU194" s="1802">
        <v>0</v>
      </c>
      <c r="BV194" s="1483">
        <v>0</v>
      </c>
      <c r="BW194" s="1438">
        <v>0</v>
      </c>
      <c r="BX194" s="1992"/>
      <c r="BY194" s="1993"/>
      <c r="BZ194" s="1915"/>
      <c r="CA194" s="1915"/>
      <c r="CB194" s="1915"/>
      <c r="CC194" s="1915"/>
      <c r="CD194" s="1915"/>
      <c r="CE194" s="1915"/>
      <c r="CG194" s="1994">
        <v>0</v>
      </c>
      <c r="CH194" s="1995">
        <v>0</v>
      </c>
      <c r="CI194" s="1483">
        <v>0</v>
      </c>
      <c r="CJ194" s="1018">
        <v>2000</v>
      </c>
    </row>
    <row r="195" spans="1:98" s="1013" customFormat="1" ht="26.25" hidden="1" thickBot="1" x14ac:dyDescent="0.3">
      <c r="A195" s="173" t="s">
        <v>2227</v>
      </c>
      <c r="B195" s="709" t="s">
        <v>2346</v>
      </c>
      <c r="C195" s="75">
        <v>2019</v>
      </c>
      <c r="D195" s="83" t="s">
        <v>2506</v>
      </c>
      <c r="E195" s="84" t="s">
        <v>521</v>
      </c>
      <c r="F195" s="84" t="s">
        <v>521</v>
      </c>
      <c r="G195" s="228" t="s">
        <v>2222</v>
      </c>
      <c r="H195" s="25">
        <v>700</v>
      </c>
      <c r="I195" s="2533">
        <f t="shared" si="21"/>
        <v>0</v>
      </c>
      <c r="J195" s="2643">
        <f t="shared" si="18"/>
        <v>700</v>
      </c>
      <c r="K195" s="2643">
        <f t="shared" si="19"/>
        <v>700</v>
      </c>
      <c r="L195" s="2643">
        <f t="shared" si="20"/>
        <v>0</v>
      </c>
      <c r="M195" s="1438"/>
      <c r="N195" s="542">
        <v>0</v>
      </c>
      <c r="O195" s="44">
        <v>0</v>
      </c>
      <c r="P195" s="375">
        <v>0</v>
      </c>
      <c r="Q195" s="26">
        <v>0</v>
      </c>
      <c r="R195" s="2335">
        <v>0</v>
      </c>
      <c r="S195" s="1450">
        <v>0</v>
      </c>
      <c r="T195" s="1463">
        <v>0</v>
      </c>
      <c r="U195" s="3181"/>
      <c r="V195" s="3181"/>
      <c r="W195" s="3181"/>
      <c r="X195" s="3181"/>
      <c r="Y195" s="44">
        <v>0</v>
      </c>
      <c r="Z195" s="27">
        <v>0</v>
      </c>
      <c r="AA195" s="181">
        <v>0</v>
      </c>
      <c r="AB195" s="27">
        <v>0</v>
      </c>
      <c r="AC195" s="1771" t="s">
        <v>2350</v>
      </c>
      <c r="AD195" s="711" t="s">
        <v>1329</v>
      </c>
      <c r="AE195" s="713" t="s">
        <v>355</v>
      </c>
      <c r="AF195" s="74" t="s">
        <v>1283</v>
      </c>
      <c r="AG195" s="74" t="s">
        <v>1283</v>
      </c>
      <c r="AH195" s="302">
        <v>11</v>
      </c>
      <c r="AI195" s="1987"/>
      <c r="AJ195" s="2416">
        <v>0</v>
      </c>
      <c r="AK195" s="516">
        <v>0</v>
      </c>
      <c r="AL195" s="452">
        <v>0</v>
      </c>
      <c r="AM195" s="513">
        <v>0</v>
      </c>
      <c r="AN195" s="1142"/>
      <c r="AO195" s="1142"/>
      <c r="AP195" s="1179"/>
      <c r="AQ195" s="662" t="s">
        <v>458</v>
      </c>
      <c r="AR195" s="175">
        <v>7</v>
      </c>
      <c r="AS195" s="175">
        <v>5</v>
      </c>
      <c r="AT195" s="662">
        <v>6</v>
      </c>
      <c r="AU195" s="1494"/>
      <c r="AV195" s="759"/>
      <c r="AW195" s="618"/>
      <c r="AX195" s="263"/>
      <c r="AY195" s="263"/>
      <c r="AZ195" s="1771" t="s">
        <v>2350</v>
      </c>
      <c r="BA195" s="1771"/>
      <c r="BB195" s="1771" t="s">
        <v>2350</v>
      </c>
      <c r="BC195" s="1990" t="s">
        <v>1209</v>
      </c>
      <c r="BD195" s="1991"/>
      <c r="BE195" s="1986"/>
      <c r="BF195" s="1988"/>
      <c r="BG195" s="626"/>
      <c r="BH195" s="1057"/>
      <c r="BI195" s="1057"/>
      <c r="BJ195" s="1989"/>
      <c r="BK195" s="433"/>
      <c r="BL195" s="25">
        <v>0</v>
      </c>
      <c r="BM195" s="1438">
        <v>700</v>
      </c>
      <c r="BN195" s="2105">
        <v>700</v>
      </c>
      <c r="BO195" s="2105">
        <v>700</v>
      </c>
      <c r="BP195" s="2314">
        <v>0</v>
      </c>
      <c r="BQ195" s="1482">
        <v>0</v>
      </c>
      <c r="BR195" s="27">
        <v>700</v>
      </c>
      <c r="BS195" s="26">
        <v>700</v>
      </c>
      <c r="BT195" s="54">
        <v>700</v>
      </c>
      <c r="BU195" s="1783">
        <v>0</v>
      </c>
      <c r="BV195" s="1482">
        <v>0</v>
      </c>
      <c r="BW195" s="866">
        <v>0</v>
      </c>
      <c r="BX195" s="1992"/>
      <c r="BY195" s="1993"/>
      <c r="BZ195" s="1915"/>
      <c r="CA195" s="1915"/>
      <c r="CB195" s="1915"/>
      <c r="CC195" s="1915"/>
      <c r="CD195" s="1915"/>
      <c r="CE195" s="1915"/>
      <c r="CG195" s="1996">
        <v>0</v>
      </c>
      <c r="CH195" s="661">
        <v>0</v>
      </c>
      <c r="CI195" s="1482">
        <v>0</v>
      </c>
      <c r="CJ195" s="1037">
        <v>700</v>
      </c>
    </row>
    <row r="196" spans="1:98" s="1013" customFormat="1" ht="26.25" hidden="1" thickBot="1" x14ac:dyDescent="0.3">
      <c r="A196" s="173" t="s">
        <v>2228</v>
      </c>
      <c r="B196" s="709" t="s">
        <v>2347</v>
      </c>
      <c r="C196" s="75">
        <v>2019</v>
      </c>
      <c r="D196" s="83" t="s">
        <v>2506</v>
      </c>
      <c r="E196" s="84" t="s">
        <v>521</v>
      </c>
      <c r="F196" s="84" t="s">
        <v>521</v>
      </c>
      <c r="G196" s="228" t="s">
        <v>1061</v>
      </c>
      <c r="H196" s="25">
        <v>2200</v>
      </c>
      <c r="I196" s="2533">
        <f t="shared" si="21"/>
        <v>112</v>
      </c>
      <c r="J196" s="2643">
        <f t="shared" si="18"/>
        <v>2088</v>
      </c>
      <c r="K196" s="2643">
        <f t="shared" si="19"/>
        <v>2200</v>
      </c>
      <c r="L196" s="2643">
        <f t="shared" si="20"/>
        <v>0</v>
      </c>
      <c r="M196" s="1438"/>
      <c r="N196" s="542">
        <v>0</v>
      </c>
      <c r="O196" s="44">
        <v>0</v>
      </c>
      <c r="P196" s="375">
        <v>0</v>
      </c>
      <c r="Q196" s="26">
        <v>0</v>
      </c>
      <c r="R196" s="2335">
        <v>0</v>
      </c>
      <c r="S196" s="1450">
        <v>0</v>
      </c>
      <c r="T196" s="1463">
        <v>0</v>
      </c>
      <c r="U196" s="3181"/>
      <c r="V196" s="3181"/>
      <c r="W196" s="3181"/>
      <c r="X196" s="3181"/>
      <c r="Y196" s="44">
        <v>0</v>
      </c>
      <c r="Z196" s="27">
        <v>0</v>
      </c>
      <c r="AA196" s="181">
        <v>0</v>
      </c>
      <c r="AB196" s="27">
        <v>112</v>
      </c>
      <c r="AC196" s="1771" t="s">
        <v>2350</v>
      </c>
      <c r="AD196" s="75" t="s">
        <v>1329</v>
      </c>
      <c r="AE196" s="713" t="s">
        <v>355</v>
      </c>
      <c r="AF196" s="74" t="s">
        <v>1283</v>
      </c>
      <c r="AG196" s="74" t="s">
        <v>1283</v>
      </c>
      <c r="AH196" s="302">
        <v>11</v>
      </c>
      <c r="AI196" s="1987"/>
      <c r="AJ196" s="2416">
        <v>0</v>
      </c>
      <c r="AK196" s="516">
        <v>0</v>
      </c>
      <c r="AL196" s="452">
        <v>0</v>
      </c>
      <c r="AM196" s="513">
        <v>0</v>
      </c>
      <c r="AN196" s="1142"/>
      <c r="AO196" s="1142"/>
      <c r="AP196" s="1179"/>
      <c r="AQ196" s="662" t="s">
        <v>458</v>
      </c>
      <c r="AR196" s="175">
        <v>7</v>
      </c>
      <c r="AS196" s="175">
        <v>5</v>
      </c>
      <c r="AT196" s="662">
        <v>6</v>
      </c>
      <c r="AU196" s="1494"/>
      <c r="AV196" s="759"/>
      <c r="AW196" s="618"/>
      <c r="AX196" s="263"/>
      <c r="AY196" s="263"/>
      <c r="AZ196" s="1771" t="s">
        <v>2350</v>
      </c>
      <c r="BA196" s="1771"/>
      <c r="BB196" s="1771" t="s">
        <v>2350</v>
      </c>
      <c r="BC196" s="1990" t="s">
        <v>1209</v>
      </c>
      <c r="BD196" s="1991"/>
      <c r="BE196" s="1986"/>
      <c r="BF196" s="1988"/>
      <c r="BG196" s="626"/>
      <c r="BH196" s="1057"/>
      <c r="BI196" s="1057"/>
      <c r="BJ196" s="1989"/>
      <c r="BK196" s="433"/>
      <c r="BL196" s="25">
        <v>0</v>
      </c>
      <c r="BM196" s="1438">
        <v>2088</v>
      </c>
      <c r="BN196" s="2105">
        <v>2088</v>
      </c>
      <c r="BO196" s="2105">
        <v>2088</v>
      </c>
      <c r="BP196" s="2314">
        <v>0</v>
      </c>
      <c r="BQ196" s="1482">
        <v>0</v>
      </c>
      <c r="BR196" s="27">
        <v>2088</v>
      </c>
      <c r="BS196" s="26">
        <v>2088</v>
      </c>
      <c r="BT196" s="54">
        <v>2088</v>
      </c>
      <c r="BU196" s="1783">
        <v>0</v>
      </c>
      <c r="BV196" s="1482">
        <v>0</v>
      </c>
      <c r="BW196" s="866">
        <v>0</v>
      </c>
      <c r="BX196" s="1992"/>
      <c r="BY196" s="1993"/>
      <c r="BZ196" s="1915"/>
      <c r="CA196" s="1915"/>
      <c r="CB196" s="1915"/>
      <c r="CC196" s="1915"/>
      <c r="CD196" s="1915"/>
      <c r="CE196" s="1915"/>
      <c r="CG196" s="1996">
        <v>0</v>
      </c>
      <c r="CH196" s="661">
        <v>0</v>
      </c>
      <c r="CI196" s="1482">
        <v>0</v>
      </c>
      <c r="CJ196" s="1037">
        <v>2088</v>
      </c>
    </row>
    <row r="197" spans="1:98" s="1013" customFormat="1" ht="26.25" hidden="1" thickBot="1" x14ac:dyDescent="0.3">
      <c r="A197" s="173" t="s">
        <v>2229</v>
      </c>
      <c r="B197" s="709" t="s">
        <v>2348</v>
      </c>
      <c r="C197" s="75">
        <v>2019</v>
      </c>
      <c r="D197" s="83" t="s">
        <v>2506</v>
      </c>
      <c r="E197" s="84" t="s">
        <v>521</v>
      </c>
      <c r="F197" s="84" t="s">
        <v>521</v>
      </c>
      <c r="G197" s="228" t="s">
        <v>2223</v>
      </c>
      <c r="H197" s="25">
        <v>2100</v>
      </c>
      <c r="I197" s="2533">
        <f t="shared" si="21"/>
        <v>100</v>
      </c>
      <c r="J197" s="2643">
        <f t="shared" si="18"/>
        <v>2000</v>
      </c>
      <c r="K197" s="2643">
        <f t="shared" si="19"/>
        <v>2100</v>
      </c>
      <c r="L197" s="2643">
        <f t="shared" si="20"/>
        <v>0</v>
      </c>
      <c r="M197" s="1438"/>
      <c r="N197" s="542">
        <v>0</v>
      </c>
      <c r="O197" s="44">
        <v>0</v>
      </c>
      <c r="P197" s="375">
        <v>0</v>
      </c>
      <c r="Q197" s="26">
        <v>0</v>
      </c>
      <c r="R197" s="2335">
        <v>0</v>
      </c>
      <c r="S197" s="1450">
        <v>0</v>
      </c>
      <c r="T197" s="1463">
        <v>0</v>
      </c>
      <c r="U197" s="3181"/>
      <c r="V197" s="3181"/>
      <c r="W197" s="3181"/>
      <c r="X197" s="3181"/>
      <c r="Y197" s="44">
        <v>0</v>
      </c>
      <c r="Z197" s="27">
        <v>0</v>
      </c>
      <c r="AA197" s="181">
        <v>0</v>
      </c>
      <c r="AB197" s="27">
        <v>100</v>
      </c>
      <c r="AC197" s="1771" t="s">
        <v>2350</v>
      </c>
      <c r="AD197" s="711" t="s">
        <v>1329</v>
      </c>
      <c r="AE197" s="713" t="s">
        <v>355</v>
      </c>
      <c r="AF197" s="74" t="s">
        <v>1283</v>
      </c>
      <c r="AG197" s="74" t="s">
        <v>1283</v>
      </c>
      <c r="AH197" s="302">
        <v>11</v>
      </c>
      <c r="AI197" s="1987"/>
      <c r="AJ197" s="2416">
        <v>0</v>
      </c>
      <c r="AK197" s="516">
        <v>0</v>
      </c>
      <c r="AL197" s="452">
        <v>0</v>
      </c>
      <c r="AM197" s="513">
        <v>0</v>
      </c>
      <c r="AN197" s="1142"/>
      <c r="AO197" s="1142"/>
      <c r="AP197" s="1179"/>
      <c r="AQ197" s="662" t="s">
        <v>458</v>
      </c>
      <c r="AR197" s="175">
        <v>7</v>
      </c>
      <c r="AS197" s="175">
        <v>5</v>
      </c>
      <c r="AT197" s="662">
        <v>6</v>
      </c>
      <c r="AU197" s="1494"/>
      <c r="AV197" s="759"/>
      <c r="AW197" s="618"/>
      <c r="AX197" s="263"/>
      <c r="AY197" s="263"/>
      <c r="AZ197" s="1771" t="s">
        <v>2350</v>
      </c>
      <c r="BA197" s="1771"/>
      <c r="BB197" s="1771" t="s">
        <v>2350</v>
      </c>
      <c r="BC197" s="1990" t="s">
        <v>1209</v>
      </c>
      <c r="BD197" s="1991"/>
      <c r="BE197" s="1986"/>
      <c r="BF197" s="1988"/>
      <c r="BG197" s="626"/>
      <c r="BH197" s="1057"/>
      <c r="BI197" s="1057"/>
      <c r="BJ197" s="1989"/>
      <c r="BK197" s="433"/>
      <c r="BL197" s="25">
        <v>0</v>
      </c>
      <c r="BM197" s="1438">
        <v>2000</v>
      </c>
      <c r="BN197" s="2105">
        <v>2000</v>
      </c>
      <c r="BO197" s="2105">
        <v>2000</v>
      </c>
      <c r="BP197" s="2314">
        <v>0</v>
      </c>
      <c r="BQ197" s="1482">
        <v>0</v>
      </c>
      <c r="BR197" s="27">
        <v>2000</v>
      </c>
      <c r="BS197" s="26">
        <v>2000</v>
      </c>
      <c r="BT197" s="54">
        <v>2000</v>
      </c>
      <c r="BU197" s="1783">
        <v>0</v>
      </c>
      <c r="BV197" s="1482">
        <v>0</v>
      </c>
      <c r="BW197" s="866">
        <v>0</v>
      </c>
      <c r="BX197" s="1992"/>
      <c r="BY197" s="1993"/>
      <c r="BZ197" s="1915"/>
      <c r="CA197" s="1915"/>
      <c r="CB197" s="1915"/>
      <c r="CC197" s="1915"/>
      <c r="CD197" s="1915"/>
      <c r="CE197" s="1915"/>
      <c r="CG197" s="1996">
        <v>0</v>
      </c>
      <c r="CH197" s="661">
        <v>0</v>
      </c>
      <c r="CI197" s="1482">
        <v>0</v>
      </c>
      <c r="CJ197" s="1037">
        <v>2000</v>
      </c>
    </row>
    <row r="198" spans="1:98" s="1013" customFormat="1" ht="26.25" hidden="1" thickBot="1" x14ac:dyDescent="0.3">
      <c r="A198" s="173" t="s">
        <v>2230</v>
      </c>
      <c r="B198" s="709" t="s">
        <v>2336</v>
      </c>
      <c r="C198" s="75">
        <v>2019</v>
      </c>
      <c r="D198" s="83" t="s">
        <v>2506</v>
      </c>
      <c r="E198" s="84" t="s">
        <v>2224</v>
      </c>
      <c r="F198" s="84" t="s">
        <v>2224</v>
      </c>
      <c r="G198" s="228" t="s">
        <v>2225</v>
      </c>
      <c r="H198" s="25">
        <v>3529.0880000000002</v>
      </c>
      <c r="I198" s="2533">
        <f t="shared" si="21"/>
        <v>563.47000000000025</v>
      </c>
      <c r="J198" s="2643">
        <f t="shared" si="18"/>
        <v>2965.6179999999999</v>
      </c>
      <c r="K198" s="2643">
        <f t="shared" si="19"/>
        <v>3529.0880000000002</v>
      </c>
      <c r="L198" s="2643">
        <f t="shared" si="20"/>
        <v>0</v>
      </c>
      <c r="M198" s="1438"/>
      <c r="N198" s="542">
        <v>0</v>
      </c>
      <c r="O198" s="44">
        <v>0</v>
      </c>
      <c r="P198" s="375">
        <v>0</v>
      </c>
      <c r="Q198" s="26">
        <v>0</v>
      </c>
      <c r="R198" s="2335">
        <v>0</v>
      </c>
      <c r="S198" s="1450">
        <v>0</v>
      </c>
      <c r="T198" s="1463">
        <v>0</v>
      </c>
      <c r="U198" s="3181"/>
      <c r="V198" s="3181"/>
      <c r="W198" s="3181"/>
      <c r="X198" s="3181"/>
      <c r="Y198" s="44">
        <v>0</v>
      </c>
      <c r="Z198" s="27">
        <v>0</v>
      </c>
      <c r="AA198" s="181">
        <v>0</v>
      </c>
      <c r="AB198" s="27">
        <v>563.47</v>
      </c>
      <c r="AC198" s="1772" t="s">
        <v>1209</v>
      </c>
      <c r="AD198" s="711" t="s">
        <v>1329</v>
      </c>
      <c r="AE198" s="713" t="s">
        <v>355</v>
      </c>
      <c r="AF198" s="74" t="s">
        <v>1283</v>
      </c>
      <c r="AG198" s="74" t="s">
        <v>1283</v>
      </c>
      <c r="AH198" s="302">
        <v>4</v>
      </c>
      <c r="AI198" s="1987"/>
      <c r="AJ198" s="2416">
        <v>0</v>
      </c>
      <c r="AK198" s="516">
        <v>2.2737367544323206E-13</v>
      </c>
      <c r="AL198" s="452">
        <v>0</v>
      </c>
      <c r="AM198" s="513">
        <v>0</v>
      </c>
      <c r="AN198" s="1142"/>
      <c r="AO198" s="1142"/>
      <c r="AP198" s="1179"/>
      <c r="AQ198" s="662" t="s">
        <v>458</v>
      </c>
      <c r="AR198" s="175">
        <v>7</v>
      </c>
      <c r="AS198" s="175">
        <v>5</v>
      </c>
      <c r="AT198" s="662">
        <v>6</v>
      </c>
      <c r="AU198" s="1494"/>
      <c r="AV198" s="759"/>
      <c r="AW198" s="618"/>
      <c r="AX198" s="263"/>
      <c r="AY198" s="263"/>
      <c r="AZ198" s="1772" t="s">
        <v>1209</v>
      </c>
      <c r="BA198" s="1772"/>
      <c r="BB198" s="1772" t="s">
        <v>1209</v>
      </c>
      <c r="BC198" s="1990" t="s">
        <v>1209</v>
      </c>
      <c r="BD198" s="1991"/>
      <c r="BE198" s="1986"/>
      <c r="BF198" s="1988"/>
      <c r="BG198" s="626"/>
      <c r="BH198" s="1057"/>
      <c r="BI198" s="1057"/>
      <c r="BJ198" s="1989"/>
      <c r="BK198" s="433"/>
      <c r="BL198" s="25">
        <v>0</v>
      </c>
      <c r="BM198" s="1438">
        <v>2965.6179999999999</v>
      </c>
      <c r="BN198" s="2105">
        <v>2965.6179999999999</v>
      </c>
      <c r="BO198" s="2105">
        <v>2965.6179999999999</v>
      </c>
      <c r="BP198" s="2314">
        <v>0</v>
      </c>
      <c r="BQ198" s="1482">
        <v>0</v>
      </c>
      <c r="BR198" s="27">
        <v>2965.6179999999999</v>
      </c>
      <c r="BS198" s="866">
        <v>2965.6179999999999</v>
      </c>
      <c r="BT198" s="54">
        <v>2965.6179999999999</v>
      </c>
      <c r="BU198" s="1783">
        <v>0</v>
      </c>
      <c r="BV198" s="1482">
        <v>0</v>
      </c>
      <c r="BW198" s="866">
        <v>0</v>
      </c>
      <c r="BX198" s="1992"/>
      <c r="BY198" s="1993"/>
      <c r="BZ198" s="1915"/>
      <c r="CA198" s="1915"/>
      <c r="CB198" s="1915"/>
      <c r="CC198" s="1915"/>
      <c r="CD198" s="1915"/>
      <c r="CE198" s="1915"/>
      <c r="CG198" s="1996">
        <v>0</v>
      </c>
      <c r="CH198" s="661">
        <v>0</v>
      </c>
      <c r="CI198" s="1482">
        <v>0</v>
      </c>
      <c r="CJ198" s="1037">
        <v>2965.6179999999999</v>
      </c>
    </row>
    <row r="199" spans="1:98" s="1013" customFormat="1" ht="15.75" hidden="1" thickBot="1" x14ac:dyDescent="0.3">
      <c r="A199" s="89"/>
      <c r="B199" s="2510"/>
      <c r="C199" s="588"/>
      <c r="D199" s="588"/>
      <c r="E199" s="609"/>
      <c r="F199" s="589"/>
      <c r="G199" s="304"/>
      <c r="H199" s="590"/>
      <c r="I199" s="2533">
        <f t="shared" si="21"/>
        <v>0</v>
      </c>
      <c r="J199" s="2643">
        <f t="shared" si="18"/>
        <v>0</v>
      </c>
      <c r="K199" s="2643">
        <f t="shared" si="19"/>
        <v>0</v>
      </c>
      <c r="L199" s="2643">
        <f t="shared" si="20"/>
        <v>0</v>
      </c>
      <c r="M199" s="1915"/>
      <c r="N199" s="592"/>
      <c r="O199" s="593"/>
      <c r="P199" s="593"/>
      <c r="Q199" s="530"/>
      <c r="R199" s="2453"/>
      <c r="S199" s="2314"/>
      <c r="T199" s="2451"/>
      <c r="U199" s="3188"/>
      <c r="V199" s="3188"/>
      <c r="W199" s="3188"/>
      <c r="X199" s="3188"/>
      <c r="Y199" s="593"/>
      <c r="Z199" s="280"/>
      <c r="AA199" s="2512"/>
      <c r="AB199" s="280"/>
      <c r="AC199" s="2513"/>
      <c r="AD199" s="2514"/>
      <c r="AE199" s="584"/>
      <c r="AF199" s="595"/>
      <c r="AG199" s="595"/>
      <c r="AH199" s="302"/>
      <c r="AI199" s="1987"/>
      <c r="AJ199" s="2416"/>
      <c r="AK199" s="516"/>
      <c r="AL199" s="452"/>
      <c r="AM199" s="513"/>
      <c r="AN199" s="1142"/>
      <c r="AO199" s="1142"/>
      <c r="AP199" s="1179"/>
      <c r="AQ199" s="662"/>
      <c r="AR199" s="175"/>
      <c r="AS199" s="175"/>
      <c r="AT199" s="662"/>
      <c r="AU199" s="1494"/>
      <c r="AV199" s="759"/>
      <c r="AW199" s="618"/>
      <c r="AX199" s="263"/>
      <c r="AY199" s="263"/>
      <c r="AZ199" s="2513"/>
      <c r="BA199" s="2513"/>
      <c r="BB199" s="2513"/>
      <c r="BC199" s="2515"/>
      <c r="BD199" s="1991"/>
      <c r="BE199" s="1986"/>
      <c r="BF199" s="1988"/>
      <c r="BG199" s="626"/>
      <c r="BH199" s="1057"/>
      <c r="BI199" s="1057"/>
      <c r="BJ199" s="1989"/>
      <c r="BK199" s="433"/>
      <c r="BL199" s="590"/>
      <c r="BM199" s="1915"/>
      <c r="BN199" s="2511"/>
      <c r="BO199" s="2511"/>
      <c r="BP199" s="2314"/>
      <c r="BQ199" s="1915"/>
      <c r="BR199" s="280"/>
      <c r="BS199" s="1915"/>
      <c r="BT199" s="872"/>
      <c r="BU199" s="2516"/>
      <c r="BV199" s="2517"/>
      <c r="BW199" s="1915"/>
      <c r="BX199" s="1919"/>
      <c r="BY199" s="1993"/>
      <c r="BZ199" s="1915"/>
      <c r="CA199" s="1915"/>
      <c r="CB199" s="1915"/>
      <c r="CC199" s="1915"/>
      <c r="CD199" s="1915"/>
      <c r="CE199" s="1915"/>
      <c r="CG199" s="2518"/>
      <c r="CH199" s="2518"/>
      <c r="CI199" s="2517"/>
      <c r="CJ199" s="2519"/>
    </row>
    <row r="200" spans="1:98" ht="33" hidden="1" customHeight="1" thickBot="1" x14ac:dyDescent="0.3">
      <c r="A200" s="2310" t="s">
        <v>1209</v>
      </c>
      <c r="B200" s="2311" t="s">
        <v>1209</v>
      </c>
      <c r="C200" s="210" t="s">
        <v>1209</v>
      </c>
      <c r="D200" s="140" t="s">
        <v>1209</v>
      </c>
      <c r="E200" s="1188" t="s">
        <v>1209</v>
      </c>
      <c r="F200" s="210" t="s">
        <v>1209</v>
      </c>
      <c r="G200" s="1190" t="s">
        <v>1462</v>
      </c>
      <c r="H200" s="113">
        <f>SUM(H177:H199)</f>
        <v>419352.73465999996</v>
      </c>
      <c r="I200" s="2533">
        <f t="shared" si="21"/>
        <v>63198.357679999899</v>
      </c>
      <c r="J200" s="2643">
        <f t="shared" si="18"/>
        <v>356154.37698000006</v>
      </c>
      <c r="K200" s="2643">
        <f t="shared" si="19"/>
        <v>419352.73465999996</v>
      </c>
      <c r="L200" s="2643">
        <f t="shared" si="20"/>
        <v>0</v>
      </c>
      <c r="M200" s="113"/>
      <c r="N200" s="113">
        <f t="shared" ref="N200:AB200" si="24">SUM(N177:N199)</f>
        <v>0</v>
      </c>
      <c r="O200" s="113">
        <f t="shared" si="24"/>
        <v>0</v>
      </c>
      <c r="P200" s="113">
        <f t="shared" si="24"/>
        <v>0</v>
      </c>
      <c r="Q200" s="113">
        <f t="shared" si="24"/>
        <v>0</v>
      </c>
      <c r="R200" s="113">
        <f t="shared" si="24"/>
        <v>1032.1550199999999</v>
      </c>
      <c r="S200" s="113">
        <f t="shared" si="24"/>
        <v>-1032.1550199999999</v>
      </c>
      <c r="T200" s="113">
        <f t="shared" si="24"/>
        <v>1.2434497875801753E-14</v>
      </c>
      <c r="U200" s="113"/>
      <c r="V200" s="113"/>
      <c r="W200" s="113"/>
      <c r="X200" s="113"/>
      <c r="Y200" s="113">
        <f>SUM(Y177:Y199)</f>
        <v>0</v>
      </c>
      <c r="Z200" s="113">
        <f>SUM(Z177:Z199)</f>
        <v>0</v>
      </c>
      <c r="AA200" s="113">
        <f t="shared" si="24"/>
        <v>0</v>
      </c>
      <c r="AB200" s="113">
        <f t="shared" si="24"/>
        <v>63198.357680000001</v>
      </c>
      <c r="AC200" s="165" t="s">
        <v>2560</v>
      </c>
      <c r="AD200" s="114" t="s">
        <v>1209</v>
      </c>
      <c r="AE200" s="1505" t="s">
        <v>1209</v>
      </c>
      <c r="AF200" s="114" t="s">
        <v>1209</v>
      </c>
      <c r="AG200" s="122" t="s">
        <v>1209</v>
      </c>
      <c r="AH200" s="305" t="s">
        <v>1209</v>
      </c>
      <c r="AI200" s="723" t="s">
        <v>1209</v>
      </c>
      <c r="AJ200" s="2416">
        <v>4647.917220000003</v>
      </c>
      <c r="AK200" s="516">
        <v>1.1641532182693481E-10</v>
      </c>
      <c r="AL200" s="442">
        <v>-6.3892002799548209E-11</v>
      </c>
      <c r="AM200" s="510">
        <v>-2.1373125491663814E-11</v>
      </c>
      <c r="AN200" s="1139"/>
      <c r="AO200" s="1139"/>
      <c r="AP200" s="529">
        <v>1</v>
      </c>
      <c r="AQ200" s="1518" t="s">
        <v>458</v>
      </c>
      <c r="AR200" s="340">
        <v>7</v>
      </c>
      <c r="AS200" s="340"/>
      <c r="AT200" s="340"/>
      <c r="AU200" s="1490"/>
      <c r="AV200" s="521"/>
      <c r="AW200" s="920" t="s">
        <v>1965</v>
      </c>
      <c r="AX200" s="2789"/>
      <c r="AY200" s="2789"/>
      <c r="AZ200" s="165" t="s">
        <v>2560</v>
      </c>
      <c r="BA200" s="165"/>
      <c r="BB200" s="165" t="s">
        <v>2259</v>
      </c>
      <c r="BC200" s="165" t="s">
        <v>2237</v>
      </c>
      <c r="BD200" s="165" t="s">
        <v>2149</v>
      </c>
      <c r="BE200" s="165" t="s">
        <v>1700</v>
      </c>
      <c r="BF200" s="165" t="s">
        <v>2280</v>
      </c>
      <c r="BG200" s="165" t="s">
        <v>1374</v>
      </c>
      <c r="BH200" s="518"/>
      <c r="BI200" s="518"/>
      <c r="BJ200" s="519"/>
      <c r="BK200" s="505"/>
      <c r="BL200" s="113">
        <f>SUM(BL177:BL199)</f>
        <v>135309.29303</v>
      </c>
      <c r="BM200" s="113">
        <f>SUM(BM177:BM199)</f>
        <v>220845.08395000003</v>
      </c>
      <c r="BN200" s="113">
        <f>SUM(BN177:BN199)</f>
        <v>212106.01326000001</v>
      </c>
      <c r="BO200" s="113">
        <f t="shared" ref="BO200:CI200" si="25">SUM(BO177:BO199)</f>
        <v>221877.24004999999</v>
      </c>
      <c r="BP200" s="113">
        <f t="shared" si="25"/>
        <v>1032.1560999999997</v>
      </c>
      <c r="BQ200" s="113">
        <f t="shared" si="25"/>
        <v>77964.922950000007</v>
      </c>
      <c r="BR200" s="113">
        <f t="shared" si="25"/>
        <v>143912.31710000001</v>
      </c>
      <c r="BS200" s="113">
        <f t="shared" si="25"/>
        <v>142880.16099999999</v>
      </c>
      <c r="BT200" s="113">
        <f t="shared" si="25"/>
        <v>220845.08395000003</v>
      </c>
      <c r="BU200" s="113">
        <f t="shared" si="25"/>
        <v>143207.38699999999</v>
      </c>
      <c r="BV200" s="113">
        <f t="shared" si="25"/>
        <v>77964.922950000007</v>
      </c>
      <c r="BW200" s="113">
        <f t="shared" si="25"/>
        <v>10000</v>
      </c>
      <c r="BX200" s="113">
        <f t="shared" si="25"/>
        <v>67964.922950000007</v>
      </c>
      <c r="BY200" s="113">
        <f t="shared" si="25"/>
        <v>39.763770000000001</v>
      </c>
      <c r="BZ200" s="113">
        <f t="shared" si="25"/>
        <v>67925.159180000002</v>
      </c>
      <c r="CA200" s="113">
        <f t="shared" si="25"/>
        <v>26436.163200000003</v>
      </c>
      <c r="CB200" s="113">
        <f t="shared" si="25"/>
        <v>6300</v>
      </c>
      <c r="CC200" s="113">
        <f t="shared" si="25"/>
        <v>0</v>
      </c>
      <c r="CD200" s="113">
        <f t="shared" si="25"/>
        <v>0</v>
      </c>
      <c r="CE200" s="113">
        <f t="shared" si="25"/>
        <v>0</v>
      </c>
      <c r="CF200" s="113">
        <f t="shared" si="25"/>
        <v>16</v>
      </c>
      <c r="CG200" s="113">
        <f t="shared" si="25"/>
        <v>0</v>
      </c>
      <c r="CH200" s="113">
        <f t="shared" si="25"/>
        <v>6300</v>
      </c>
      <c r="CI200" s="113">
        <f t="shared" si="25"/>
        <v>61664.92295</v>
      </c>
      <c r="CJ200" s="1478">
        <v>251155.64275999999</v>
      </c>
    </row>
    <row r="201" spans="1:98" s="1124" customFormat="1" ht="16.5" hidden="1" customHeight="1" thickBot="1" x14ac:dyDescent="0.3">
      <c r="A201" s="2578"/>
      <c r="B201" s="2579"/>
      <c r="C201" s="656"/>
      <c r="D201" s="62"/>
      <c r="E201" s="2580"/>
      <c r="F201" s="656"/>
      <c r="G201" s="2581"/>
      <c r="H201" s="184"/>
      <c r="I201" s="2533">
        <f t="shared" si="21"/>
        <v>0</v>
      </c>
      <c r="J201" s="2643">
        <f t="shared" si="18"/>
        <v>0</v>
      </c>
      <c r="K201" s="2643">
        <f t="shared" si="19"/>
        <v>0</v>
      </c>
      <c r="L201" s="2643">
        <f t="shared" si="20"/>
        <v>0</v>
      </c>
      <c r="M201" s="184"/>
      <c r="N201" s="184"/>
      <c r="O201" s="184"/>
      <c r="P201" s="184"/>
      <c r="Q201" s="184"/>
      <c r="R201" s="829"/>
      <c r="S201" s="1310"/>
      <c r="T201" s="1310"/>
      <c r="U201" s="1310"/>
      <c r="V201" s="1310"/>
      <c r="W201" s="1310"/>
      <c r="X201" s="1310"/>
      <c r="Y201" s="1310"/>
      <c r="Z201" s="184"/>
      <c r="AA201" s="1310"/>
      <c r="AB201" s="1310"/>
      <c r="AC201" s="107"/>
      <c r="AD201" s="2387"/>
      <c r="AE201" s="2444"/>
      <c r="AF201" s="2387"/>
      <c r="AG201" s="2386"/>
      <c r="AH201" s="2388"/>
      <c r="AI201" s="2387"/>
      <c r="AJ201" s="2416"/>
      <c r="AK201" s="516"/>
      <c r="AL201" s="352"/>
      <c r="AM201" s="514"/>
      <c r="AN201" s="1141"/>
      <c r="AO201" s="1141"/>
      <c r="AP201" s="529"/>
      <c r="AQ201" s="340"/>
      <c r="AR201" s="340"/>
      <c r="AS201" s="340"/>
      <c r="AT201" s="340"/>
      <c r="AU201" s="1489"/>
      <c r="AV201" s="2582"/>
      <c r="AW201" s="62"/>
      <c r="AX201" s="658"/>
      <c r="AY201" s="658"/>
      <c r="AZ201" s="107"/>
      <c r="BA201" s="107"/>
      <c r="BB201" s="107"/>
      <c r="BC201" s="107"/>
      <c r="BD201" s="107"/>
      <c r="BE201" s="107"/>
      <c r="BF201" s="107"/>
      <c r="BG201" s="107"/>
      <c r="BH201" s="518"/>
      <c r="BI201" s="518"/>
      <c r="BJ201" s="749"/>
      <c r="BK201" s="107"/>
      <c r="BL201" s="184"/>
      <c r="BM201" s="184"/>
      <c r="BN201" s="184"/>
      <c r="BO201" s="184"/>
      <c r="BP201" s="19"/>
      <c r="BQ201" s="184"/>
      <c r="BR201" s="184"/>
      <c r="BS201" s="657"/>
      <c r="BT201" s="1310"/>
      <c r="BU201" s="184"/>
      <c r="BV201" s="1485"/>
      <c r="BW201" s="259"/>
      <c r="BX201" s="184"/>
      <c r="BY201" s="1310"/>
      <c r="BZ201" s="1310"/>
      <c r="CA201" s="1310"/>
      <c r="CB201" s="1310"/>
      <c r="CC201" s="1310"/>
      <c r="CD201" s="1310"/>
      <c r="CE201" s="1310"/>
      <c r="CG201" s="1409"/>
      <c r="CH201" s="1409"/>
      <c r="CI201" s="1442"/>
      <c r="CJ201" s="2583"/>
    </row>
    <row r="202" spans="1:98" s="1124" customFormat="1" ht="16.5" hidden="1" customHeight="1" thickBot="1" x14ac:dyDescent="0.3">
      <c r="A202" s="2578"/>
      <c r="B202" s="2579"/>
      <c r="C202" s="656"/>
      <c r="D202" s="62"/>
      <c r="E202" s="2580"/>
      <c r="F202" s="656"/>
      <c r="G202" s="2581"/>
      <c r="H202" s="184"/>
      <c r="I202" s="2533">
        <f t="shared" si="21"/>
        <v>0</v>
      </c>
      <c r="J202" s="2643">
        <f t="shared" si="18"/>
        <v>0</v>
      </c>
      <c r="K202" s="2643">
        <f t="shared" si="19"/>
        <v>0</v>
      </c>
      <c r="L202" s="2643">
        <f t="shared" si="20"/>
        <v>0</v>
      </c>
      <c r="M202" s="184"/>
      <c r="N202" s="184"/>
      <c r="O202" s="184"/>
      <c r="P202" s="184"/>
      <c r="Q202" s="184"/>
      <c r="R202" s="829"/>
      <c r="S202" s="1310"/>
      <c r="T202" s="1310"/>
      <c r="U202" s="1310"/>
      <c r="V202" s="1310"/>
      <c r="W202" s="1310"/>
      <c r="X202" s="1310"/>
      <c r="Y202" s="1310"/>
      <c r="Z202" s="184"/>
      <c r="AA202" s="1310"/>
      <c r="AB202" s="1310"/>
      <c r="AC202" s="107"/>
      <c r="AD202" s="2387"/>
      <c r="AE202" s="2444"/>
      <c r="AF202" s="2387"/>
      <c r="AG202" s="2386"/>
      <c r="AH202" s="2388"/>
      <c r="AI202" s="2387"/>
      <c r="AJ202" s="2416"/>
      <c r="AK202" s="516"/>
      <c r="AL202" s="352"/>
      <c r="AM202" s="514"/>
      <c r="AN202" s="1141"/>
      <c r="AO202" s="1141"/>
      <c r="AP202" s="529"/>
      <c r="AQ202" s="340"/>
      <c r="AR202" s="340"/>
      <c r="AS202" s="340"/>
      <c r="AT202" s="340"/>
      <c r="AU202" s="1489"/>
      <c r="AV202" s="2582"/>
      <c r="AW202" s="62"/>
      <c r="AX202" s="658"/>
      <c r="AY202" s="658"/>
      <c r="AZ202" s="107"/>
      <c r="BA202" s="107"/>
      <c r="BB202" s="107"/>
      <c r="BC202" s="107"/>
      <c r="BD202" s="107"/>
      <c r="BE202" s="107"/>
      <c r="BF202" s="107"/>
      <c r="BG202" s="107"/>
      <c r="BH202" s="518"/>
      <c r="BI202" s="518"/>
      <c r="BJ202" s="749"/>
      <c r="BK202" s="107"/>
      <c r="BL202" s="184"/>
      <c r="BM202" s="184"/>
      <c r="BN202" s="184"/>
      <c r="BO202" s="184"/>
      <c r="BP202" s="19"/>
      <c r="BQ202" s="184"/>
      <c r="BR202" s="184"/>
      <c r="BS202" s="657"/>
      <c r="BT202" s="1310"/>
      <c r="BU202" s="184"/>
      <c r="BV202" s="1485"/>
      <c r="BW202" s="259"/>
      <c r="BX202" s="184"/>
      <c r="BY202" s="1310"/>
      <c r="BZ202" s="1310"/>
      <c r="CA202" s="1310"/>
      <c r="CB202" s="1310"/>
      <c r="CC202" s="1310"/>
      <c r="CD202" s="1310"/>
      <c r="CE202" s="1310"/>
      <c r="CG202" s="1409"/>
      <c r="CH202" s="1409"/>
      <c r="CI202" s="1442"/>
      <c r="CJ202" s="2583"/>
    </row>
    <row r="203" spans="1:98" ht="33" hidden="1" customHeight="1" thickBot="1" x14ac:dyDescent="0.3">
      <c r="A203" s="2310" t="s">
        <v>1209</v>
      </c>
      <c r="B203" s="2311" t="s">
        <v>1209</v>
      </c>
      <c r="C203" s="210" t="s">
        <v>1209</v>
      </c>
      <c r="D203" s="140" t="s">
        <v>1209</v>
      </c>
      <c r="E203" s="1188" t="s">
        <v>1209</v>
      </c>
      <c r="F203" s="210" t="s">
        <v>1209</v>
      </c>
      <c r="G203" s="1190" t="s">
        <v>1461</v>
      </c>
      <c r="H203" s="113">
        <f>SUM(H201,H202)</f>
        <v>0</v>
      </c>
      <c r="I203" s="2533">
        <f t="shared" si="21"/>
        <v>0</v>
      </c>
      <c r="J203" s="2643">
        <f t="shared" si="18"/>
        <v>0</v>
      </c>
      <c r="K203" s="2643">
        <f t="shared" si="19"/>
        <v>0</v>
      </c>
      <c r="L203" s="2643">
        <f t="shared" si="20"/>
        <v>0</v>
      </c>
      <c r="M203" s="113"/>
      <c r="N203" s="113">
        <f t="shared" ref="N203:AB203" si="26">SUM(N201,N202)</f>
        <v>0</v>
      </c>
      <c r="O203" s="113">
        <f t="shared" si="26"/>
        <v>0</v>
      </c>
      <c r="P203" s="113">
        <f t="shared" si="26"/>
        <v>0</v>
      </c>
      <c r="Q203" s="113">
        <f t="shared" si="26"/>
        <v>0</v>
      </c>
      <c r="R203" s="113">
        <f t="shared" si="26"/>
        <v>0</v>
      </c>
      <c r="S203" s="113">
        <f t="shared" si="26"/>
        <v>0</v>
      </c>
      <c r="T203" s="113">
        <f t="shared" si="26"/>
        <v>0</v>
      </c>
      <c r="U203" s="113"/>
      <c r="V203" s="113"/>
      <c r="W203" s="113"/>
      <c r="X203" s="113"/>
      <c r="Y203" s="113">
        <f>SUM(Y201,Y202)</f>
        <v>0</v>
      </c>
      <c r="Z203" s="113">
        <f>SUM(Z201,Z202)</f>
        <v>0</v>
      </c>
      <c r="AA203" s="113">
        <f t="shared" si="26"/>
        <v>0</v>
      </c>
      <c r="AB203" s="113">
        <f t="shared" si="26"/>
        <v>0</v>
      </c>
      <c r="AC203" s="165" t="s">
        <v>2561</v>
      </c>
      <c r="AD203" s="114" t="s">
        <v>1209</v>
      </c>
      <c r="AE203" s="1505" t="s">
        <v>1209</v>
      </c>
      <c r="AF203" s="114" t="s">
        <v>1209</v>
      </c>
      <c r="AG203" s="122" t="s">
        <v>1209</v>
      </c>
      <c r="AH203" s="305" t="s">
        <v>1209</v>
      </c>
      <c r="AI203" s="723" t="s">
        <v>1209</v>
      </c>
      <c r="AJ203" s="2416">
        <v>788.90691000000015</v>
      </c>
      <c r="AK203" s="516">
        <v>0</v>
      </c>
      <c r="AL203" s="352">
        <v>0</v>
      </c>
      <c r="AM203" s="514">
        <v>0</v>
      </c>
      <c r="AN203" s="1141"/>
      <c r="AO203" s="1141"/>
      <c r="AP203" s="529">
        <v>1</v>
      </c>
      <c r="AQ203" s="1518" t="s">
        <v>618</v>
      </c>
      <c r="AR203" s="340">
        <v>8</v>
      </c>
      <c r="AS203" s="340"/>
      <c r="AT203" s="340"/>
      <c r="AU203" s="1489"/>
      <c r="AV203" s="451"/>
      <c r="AW203" s="62"/>
      <c r="AX203" s="658"/>
      <c r="AY203" s="658"/>
      <c r="AZ203" s="165" t="s">
        <v>2561</v>
      </c>
      <c r="BA203" s="165"/>
      <c r="BB203" s="165" t="s">
        <v>2283</v>
      </c>
      <c r="BC203" s="165" t="s">
        <v>2238</v>
      </c>
      <c r="BD203" s="165" t="s">
        <v>2278</v>
      </c>
      <c r="BE203" s="165" t="s">
        <v>1692</v>
      </c>
      <c r="BF203" s="165" t="s">
        <v>1692</v>
      </c>
      <c r="BG203" s="165" t="s">
        <v>1375</v>
      </c>
      <c r="BH203" s="518"/>
      <c r="BI203" s="518"/>
      <c r="BJ203" s="519"/>
      <c r="BK203" s="505"/>
      <c r="BL203" s="113">
        <f>SUM(BL201,BL202)</f>
        <v>0</v>
      </c>
      <c r="BM203" s="113">
        <f>SUM(BM201,BM202)</f>
        <v>0</v>
      </c>
      <c r="BN203" s="113">
        <f>SUM(BN201,BN202)</f>
        <v>0</v>
      </c>
      <c r="BO203" s="113">
        <f t="shared" ref="BO203:CI203" si="27">SUM(BO201,BO202)</f>
        <v>0</v>
      </c>
      <c r="BP203" s="113">
        <f t="shared" si="27"/>
        <v>0</v>
      </c>
      <c r="BQ203" s="113">
        <f t="shared" si="27"/>
        <v>0</v>
      </c>
      <c r="BR203" s="113">
        <f t="shared" si="27"/>
        <v>0</v>
      </c>
      <c r="BS203" s="113">
        <f t="shared" si="27"/>
        <v>0</v>
      </c>
      <c r="BT203" s="113">
        <f t="shared" si="27"/>
        <v>0</v>
      </c>
      <c r="BU203" s="113">
        <f t="shared" si="27"/>
        <v>0</v>
      </c>
      <c r="BV203" s="113">
        <f t="shared" si="27"/>
        <v>0</v>
      </c>
      <c r="BW203" s="113">
        <f t="shared" si="27"/>
        <v>0</v>
      </c>
      <c r="BX203" s="113">
        <f t="shared" si="27"/>
        <v>0</v>
      </c>
      <c r="BY203" s="113">
        <f t="shared" si="27"/>
        <v>0</v>
      </c>
      <c r="BZ203" s="113">
        <f t="shared" si="27"/>
        <v>0</v>
      </c>
      <c r="CA203" s="113">
        <f t="shared" si="27"/>
        <v>0</v>
      </c>
      <c r="CB203" s="113">
        <f t="shared" si="27"/>
        <v>0</v>
      </c>
      <c r="CC203" s="113">
        <f t="shared" si="27"/>
        <v>0</v>
      </c>
      <c r="CD203" s="113">
        <f t="shared" si="27"/>
        <v>0</v>
      </c>
      <c r="CE203" s="113">
        <f t="shared" si="27"/>
        <v>0</v>
      </c>
      <c r="CF203" s="113">
        <f t="shared" si="27"/>
        <v>0</v>
      </c>
      <c r="CG203" s="113">
        <f t="shared" si="27"/>
        <v>0</v>
      </c>
      <c r="CH203" s="113">
        <f t="shared" si="27"/>
        <v>0</v>
      </c>
      <c r="CI203" s="113">
        <f t="shared" si="27"/>
        <v>0</v>
      </c>
      <c r="CJ203" s="1488">
        <v>4834</v>
      </c>
    </row>
    <row r="204" spans="1:98" s="1124" customFormat="1" ht="30" hidden="1" customHeight="1" thickBot="1" x14ac:dyDescent="0.3">
      <c r="A204" s="2578"/>
      <c r="B204" s="2579"/>
      <c r="C204" s="656"/>
      <c r="D204" s="62"/>
      <c r="E204" s="2580"/>
      <c r="F204" s="656"/>
      <c r="G204" s="2581"/>
      <c r="H204" s="184"/>
      <c r="I204" s="2533">
        <f t="shared" si="21"/>
        <v>0</v>
      </c>
      <c r="J204" s="2643">
        <f t="shared" si="18"/>
        <v>0</v>
      </c>
      <c r="K204" s="2643">
        <f t="shared" si="19"/>
        <v>0</v>
      </c>
      <c r="L204" s="2643">
        <f t="shared" si="20"/>
        <v>0</v>
      </c>
      <c r="M204" s="1310"/>
      <c r="N204" s="1310"/>
      <c r="O204" s="1310"/>
      <c r="P204" s="1310"/>
      <c r="Q204" s="184"/>
      <c r="R204" s="829"/>
      <c r="S204" s="1310"/>
      <c r="T204" s="1310"/>
      <c r="U204" s="1310"/>
      <c r="V204" s="1310"/>
      <c r="W204" s="1310"/>
      <c r="X204" s="1310"/>
      <c r="Y204" s="1310"/>
      <c r="Z204" s="184"/>
      <c r="AA204" s="1310"/>
      <c r="AB204" s="1310"/>
      <c r="AC204" s="107"/>
      <c r="AD204" s="2387"/>
      <c r="AE204" s="2444"/>
      <c r="AF204" s="2387"/>
      <c r="AG204" s="2386"/>
      <c r="AH204" s="2388"/>
      <c r="AI204" s="2387"/>
      <c r="AJ204" s="2416"/>
      <c r="AK204" s="516"/>
      <c r="AL204" s="352"/>
      <c r="AM204" s="514"/>
      <c r="AN204" s="1141"/>
      <c r="AO204" s="1141"/>
      <c r="AP204" s="529"/>
      <c r="AQ204" s="340"/>
      <c r="AR204" s="340"/>
      <c r="AS204" s="340"/>
      <c r="AT204" s="340"/>
      <c r="AU204" s="1489"/>
      <c r="AV204" s="2582"/>
      <c r="AW204" s="62"/>
      <c r="AX204" s="658"/>
      <c r="AY204" s="658"/>
      <c r="AZ204" s="107"/>
      <c r="BA204" s="107"/>
      <c r="BB204" s="107"/>
      <c r="BC204" s="107"/>
      <c r="BD204" s="107"/>
      <c r="BE204" s="107"/>
      <c r="BF204" s="107"/>
      <c r="BG204" s="107"/>
      <c r="BH204" s="518"/>
      <c r="BI204" s="518"/>
      <c r="BJ204" s="749"/>
      <c r="BK204" s="107"/>
      <c r="BL204" s="184"/>
      <c r="BM204" s="184"/>
      <c r="BN204" s="184"/>
      <c r="BO204" s="184"/>
      <c r="BP204" s="19"/>
      <c r="BQ204" s="184"/>
      <c r="BR204" s="184"/>
      <c r="BS204" s="657"/>
      <c r="BT204" s="1310"/>
      <c r="BU204" s="184"/>
      <c r="BV204" s="1485"/>
      <c r="BW204" s="259"/>
      <c r="BX204" s="184"/>
      <c r="BY204" s="1310"/>
      <c r="BZ204" s="184"/>
      <c r="CA204" s="184"/>
      <c r="CB204" s="184"/>
      <c r="CC204" s="184"/>
      <c r="CD204" s="184"/>
      <c r="CE204" s="184"/>
      <c r="CG204" s="1409"/>
      <c r="CH204" s="1409"/>
      <c r="CI204" s="1442"/>
      <c r="CJ204" s="2583"/>
    </row>
    <row r="205" spans="1:98" s="1124" customFormat="1" ht="12" hidden="1" customHeight="1" thickBot="1" x14ac:dyDescent="0.3">
      <c r="A205" s="2578"/>
      <c r="B205" s="2579"/>
      <c r="C205" s="656"/>
      <c r="D205" s="62"/>
      <c r="E205" s="2580"/>
      <c r="F205" s="656"/>
      <c r="G205" s="2581"/>
      <c r="H205" s="184"/>
      <c r="I205" s="2533">
        <f t="shared" si="21"/>
        <v>0</v>
      </c>
      <c r="J205" s="2643">
        <f t="shared" si="18"/>
        <v>0</v>
      </c>
      <c r="K205" s="2643">
        <f t="shared" si="19"/>
        <v>0</v>
      </c>
      <c r="L205" s="2643">
        <f t="shared" si="20"/>
        <v>0</v>
      </c>
      <c r="M205" s="1310"/>
      <c r="N205" s="1310"/>
      <c r="O205" s="1310"/>
      <c r="P205" s="1310"/>
      <c r="Q205" s="184"/>
      <c r="R205" s="829"/>
      <c r="S205" s="1310"/>
      <c r="T205" s="1310"/>
      <c r="U205" s="1310"/>
      <c r="V205" s="1310"/>
      <c r="W205" s="1310"/>
      <c r="X205" s="1310"/>
      <c r="Y205" s="1310"/>
      <c r="Z205" s="184"/>
      <c r="AA205" s="1310"/>
      <c r="AB205" s="1310"/>
      <c r="AC205" s="107"/>
      <c r="AD205" s="2387"/>
      <c r="AE205" s="2444"/>
      <c r="AF205" s="2387"/>
      <c r="AG205" s="2386"/>
      <c r="AH205" s="2388"/>
      <c r="AI205" s="2387"/>
      <c r="AJ205" s="2416"/>
      <c r="AK205" s="516"/>
      <c r="AL205" s="352"/>
      <c r="AM205" s="514"/>
      <c r="AN205" s="1141"/>
      <c r="AO205" s="1141"/>
      <c r="AP205" s="529"/>
      <c r="AQ205" s="340"/>
      <c r="AR205" s="340"/>
      <c r="AS205" s="340"/>
      <c r="AT205" s="340"/>
      <c r="AU205" s="1489"/>
      <c r="AV205" s="2582"/>
      <c r="AW205" s="62"/>
      <c r="AX205" s="658"/>
      <c r="AY205" s="658"/>
      <c r="AZ205" s="107"/>
      <c r="BA205" s="107"/>
      <c r="BB205" s="107"/>
      <c r="BC205" s="107"/>
      <c r="BD205" s="107"/>
      <c r="BE205" s="107"/>
      <c r="BF205" s="107"/>
      <c r="BG205" s="107"/>
      <c r="BH205" s="518"/>
      <c r="BI205" s="518"/>
      <c r="BJ205" s="749"/>
      <c r="BK205" s="107"/>
      <c r="BL205" s="184"/>
      <c r="BM205" s="184"/>
      <c r="BN205" s="184"/>
      <c r="BO205" s="184"/>
      <c r="BP205" s="19"/>
      <c r="BQ205" s="184"/>
      <c r="BR205" s="184"/>
      <c r="BS205" s="657"/>
      <c r="BT205" s="1310"/>
      <c r="BU205" s="184"/>
      <c r="BV205" s="1485"/>
      <c r="BW205" s="259"/>
      <c r="BX205" s="184"/>
      <c r="BY205" s="1310"/>
      <c r="BZ205" s="184"/>
      <c r="CA205" s="184"/>
      <c r="CB205" s="184"/>
      <c r="CC205" s="184"/>
      <c r="CD205" s="184"/>
      <c r="CE205" s="184"/>
      <c r="CG205" s="1409"/>
      <c r="CH205" s="1409"/>
      <c r="CI205" s="1442"/>
      <c r="CJ205" s="2583"/>
    </row>
    <row r="206" spans="1:98" ht="33" hidden="1" customHeight="1" thickBot="1" x14ac:dyDescent="0.3">
      <c r="A206" s="2310" t="s">
        <v>1209</v>
      </c>
      <c r="B206" s="2311" t="s">
        <v>1209</v>
      </c>
      <c r="C206" s="210" t="s">
        <v>1209</v>
      </c>
      <c r="D206" s="140" t="s">
        <v>1209</v>
      </c>
      <c r="E206" s="1188" t="s">
        <v>1209</v>
      </c>
      <c r="F206" s="210" t="s">
        <v>1209</v>
      </c>
      <c r="G206" s="1190" t="s">
        <v>1460</v>
      </c>
      <c r="H206" s="113">
        <f>SUM(H204:H205)</f>
        <v>0</v>
      </c>
      <c r="I206" s="2533">
        <f t="shared" si="21"/>
        <v>0</v>
      </c>
      <c r="J206" s="2643">
        <f t="shared" si="18"/>
        <v>0</v>
      </c>
      <c r="K206" s="2643">
        <f t="shared" si="19"/>
        <v>0</v>
      </c>
      <c r="L206" s="2643">
        <f t="shared" si="20"/>
        <v>0</v>
      </c>
      <c r="M206" s="113"/>
      <c r="N206" s="113">
        <f t="shared" ref="N206:AB206" si="28">SUM(N204:N205)</f>
        <v>0</v>
      </c>
      <c r="O206" s="113">
        <f t="shared" si="28"/>
        <v>0</v>
      </c>
      <c r="P206" s="113">
        <f t="shared" si="28"/>
        <v>0</v>
      </c>
      <c r="Q206" s="113">
        <f t="shared" si="28"/>
        <v>0</v>
      </c>
      <c r="R206" s="113">
        <f t="shared" si="28"/>
        <v>0</v>
      </c>
      <c r="S206" s="113">
        <f t="shared" si="28"/>
        <v>0</v>
      </c>
      <c r="T206" s="113">
        <f t="shared" si="28"/>
        <v>0</v>
      </c>
      <c r="U206" s="113"/>
      <c r="V206" s="113"/>
      <c r="W206" s="113"/>
      <c r="X206" s="113"/>
      <c r="Y206" s="113">
        <f>SUM(Y204:Y205)</f>
        <v>0</v>
      </c>
      <c r="Z206" s="113">
        <f>SUM(Z204:Z205)</f>
        <v>0</v>
      </c>
      <c r="AA206" s="113">
        <f t="shared" si="28"/>
        <v>0</v>
      </c>
      <c r="AB206" s="113">
        <f t="shared" si="28"/>
        <v>0</v>
      </c>
      <c r="AC206" s="114" t="s">
        <v>2562</v>
      </c>
      <c r="AD206" s="114" t="s">
        <v>1209</v>
      </c>
      <c r="AE206" s="1505" t="s">
        <v>1209</v>
      </c>
      <c r="AF206" s="114" t="s">
        <v>1209</v>
      </c>
      <c r="AG206" s="122" t="s">
        <v>1209</v>
      </c>
      <c r="AH206" s="305" t="s">
        <v>1209</v>
      </c>
      <c r="AI206" s="723" t="s">
        <v>1209</v>
      </c>
      <c r="AJ206" s="2416">
        <v>0</v>
      </c>
      <c r="AK206" s="516">
        <v>2.8421709430404007E-14</v>
      </c>
      <c r="AL206" s="352">
        <v>0</v>
      </c>
      <c r="AM206" s="514">
        <v>0</v>
      </c>
      <c r="AN206" s="1141"/>
      <c r="AO206" s="1141"/>
      <c r="AP206" s="529">
        <v>1</v>
      </c>
      <c r="AQ206" s="1518" t="s">
        <v>624</v>
      </c>
      <c r="AR206" s="340">
        <v>9</v>
      </c>
      <c r="AS206" s="340"/>
      <c r="AT206" s="340"/>
      <c r="AU206" s="1489"/>
      <c r="AV206" s="451"/>
      <c r="AW206" s="62"/>
      <c r="AX206" s="62"/>
      <c r="AY206" s="62"/>
      <c r="AZ206" s="114" t="s">
        <v>2562</v>
      </c>
      <c r="BA206" s="114"/>
      <c r="BB206" s="114" t="s">
        <v>2260</v>
      </c>
      <c r="BC206" s="165" t="s">
        <v>2239</v>
      </c>
      <c r="BD206" s="165" t="s">
        <v>2153</v>
      </c>
      <c r="BE206" s="165" t="s">
        <v>1691</v>
      </c>
      <c r="BF206" s="165" t="s">
        <v>1691</v>
      </c>
      <c r="BG206" s="165" t="s">
        <v>1376</v>
      </c>
      <c r="BH206" s="518"/>
      <c r="BI206" s="518"/>
      <c r="BJ206" s="519"/>
      <c r="BK206" s="505"/>
      <c r="BL206" s="113">
        <f>SUM(BL204:BL205)</f>
        <v>0</v>
      </c>
      <c r="BM206" s="113">
        <f>SUM(BM204:BM205)</f>
        <v>0</v>
      </c>
      <c r="BN206" s="113">
        <f>SUM(BN204:BN205)</f>
        <v>0</v>
      </c>
      <c r="BO206" s="113">
        <f t="shared" ref="BO206:CJ206" si="29">SUM(BO204:BO205)</f>
        <v>0</v>
      </c>
      <c r="BP206" s="113">
        <f t="shared" si="29"/>
        <v>0</v>
      </c>
      <c r="BQ206" s="113">
        <f t="shared" si="29"/>
        <v>0</v>
      </c>
      <c r="BR206" s="113">
        <f t="shared" si="29"/>
        <v>0</v>
      </c>
      <c r="BS206" s="113">
        <f t="shared" si="29"/>
        <v>0</v>
      </c>
      <c r="BT206" s="113">
        <f t="shared" si="29"/>
        <v>0</v>
      </c>
      <c r="BU206" s="113">
        <f t="shared" si="29"/>
        <v>0</v>
      </c>
      <c r="BV206" s="113">
        <f t="shared" si="29"/>
        <v>0</v>
      </c>
      <c r="BW206" s="113">
        <f t="shared" si="29"/>
        <v>0</v>
      </c>
      <c r="BX206" s="113">
        <f t="shared" si="29"/>
        <v>0</v>
      </c>
      <c r="BY206" s="113">
        <f t="shared" si="29"/>
        <v>0</v>
      </c>
      <c r="BZ206" s="113">
        <f t="shared" si="29"/>
        <v>0</v>
      </c>
      <c r="CA206" s="113">
        <f t="shared" si="29"/>
        <v>0</v>
      </c>
      <c r="CB206" s="113">
        <f t="shared" si="29"/>
        <v>0</v>
      </c>
      <c r="CC206" s="113">
        <f t="shared" si="29"/>
        <v>0</v>
      </c>
      <c r="CD206" s="113">
        <f t="shared" si="29"/>
        <v>0</v>
      </c>
      <c r="CE206" s="113">
        <f t="shared" si="29"/>
        <v>0</v>
      </c>
      <c r="CF206" s="113">
        <f t="shared" si="29"/>
        <v>0</v>
      </c>
      <c r="CG206" s="113">
        <f t="shared" si="29"/>
        <v>0</v>
      </c>
      <c r="CH206" s="113">
        <f t="shared" si="29"/>
        <v>0</v>
      </c>
      <c r="CI206" s="113">
        <f t="shared" si="29"/>
        <v>0</v>
      </c>
      <c r="CJ206" s="113">
        <f t="shared" si="29"/>
        <v>0</v>
      </c>
    </row>
    <row r="207" spans="1:98" s="985" customFormat="1" ht="45.75" hidden="1" thickBot="1" x14ac:dyDescent="0.3">
      <c r="A207" s="2839" t="s">
        <v>620</v>
      </c>
      <c r="B207" s="2840" t="s">
        <v>621</v>
      </c>
      <c r="C207" s="1560">
        <v>2017</v>
      </c>
      <c r="D207" s="1560" t="s">
        <v>1703</v>
      </c>
      <c r="E207" s="2841" t="s">
        <v>622</v>
      </c>
      <c r="F207" s="2841" t="s">
        <v>622</v>
      </c>
      <c r="G207" s="2842" t="s">
        <v>623</v>
      </c>
      <c r="H207" s="1998">
        <v>397.09199999999998</v>
      </c>
      <c r="I207" s="1564">
        <v>397.09199999999998</v>
      </c>
      <c r="J207" s="1564">
        <v>0</v>
      </c>
      <c r="K207" s="3102"/>
      <c r="L207" s="3102"/>
      <c r="M207" s="3102"/>
      <c r="N207" s="2216">
        <v>0</v>
      </c>
      <c r="O207" s="2844">
        <v>0</v>
      </c>
      <c r="P207" s="2845">
        <v>0</v>
      </c>
      <c r="Q207" s="2844">
        <v>0</v>
      </c>
      <c r="R207" s="2619">
        <v>152.90799999999999</v>
      </c>
      <c r="S207" s="1795">
        <v>-152.90799999999999</v>
      </c>
      <c r="T207" s="2743">
        <f>R207+S207</f>
        <v>0</v>
      </c>
      <c r="U207" s="2372">
        <v>0</v>
      </c>
      <c r="V207" s="1794">
        <v>0</v>
      </c>
      <c r="W207" s="1794">
        <v>0</v>
      </c>
      <c r="X207" s="1793">
        <v>0</v>
      </c>
      <c r="Y207" s="2846">
        <v>0</v>
      </c>
      <c r="Z207" s="2847">
        <v>0</v>
      </c>
      <c r="AA207" s="2846">
        <v>0</v>
      </c>
      <c r="AB207" s="2847">
        <v>0</v>
      </c>
      <c r="AC207" s="1560" t="s">
        <v>2675</v>
      </c>
      <c r="AD207" s="757" t="s">
        <v>1329</v>
      </c>
      <c r="AE207" s="2848" t="s">
        <v>1309</v>
      </c>
      <c r="AF207" s="2848" t="s">
        <v>1227</v>
      </c>
      <c r="AG207" s="2849" t="s">
        <v>1283</v>
      </c>
      <c r="AH207" s="2841" t="s">
        <v>1230</v>
      </c>
      <c r="AI207" s="2850"/>
      <c r="AJ207" s="2848"/>
      <c r="AK207" s="2856">
        <f>H207-I207-T207-Y207-Z207-AA207-AB207</f>
        <v>0</v>
      </c>
      <c r="AL207" s="2857">
        <f>T207-R207-S207</f>
        <v>0</v>
      </c>
      <c r="AM207" s="3053">
        <f>T207-N207-O207-P207-Q207</f>
        <v>0</v>
      </c>
      <c r="AN207" s="512">
        <f>Y207-U207-V207-W207-X207</f>
        <v>0</v>
      </c>
      <c r="AO207" s="2851"/>
      <c r="AP207" s="1177"/>
      <c r="AQ207" s="674" t="s">
        <v>624</v>
      </c>
      <c r="AR207" s="367">
        <v>9</v>
      </c>
      <c r="AS207" s="367"/>
      <c r="AT207" s="2120">
        <v>8</v>
      </c>
      <c r="AU207" s="1178"/>
      <c r="AV207" s="455"/>
      <c r="AW207" s="1523"/>
      <c r="AX207" s="1560" t="s">
        <v>2675</v>
      </c>
      <c r="AY207" s="1560" t="s">
        <v>1209</v>
      </c>
      <c r="AZ207" s="1560" t="s">
        <v>1209</v>
      </c>
      <c r="BA207" s="1560" t="s">
        <v>1209</v>
      </c>
      <c r="BB207" s="1560" t="s">
        <v>2192</v>
      </c>
      <c r="BC207" s="1560" t="s">
        <v>1281</v>
      </c>
      <c r="BD207" s="1560" t="s">
        <v>1209</v>
      </c>
      <c r="BE207" s="1997"/>
      <c r="BF207" s="570" t="s">
        <v>1209</v>
      </c>
      <c r="BG207" s="1076">
        <v>0</v>
      </c>
      <c r="BH207" s="1076">
        <v>1</v>
      </c>
      <c r="BI207" s="983"/>
      <c r="BJ207" s="454"/>
      <c r="BK207" s="1998">
        <v>397.09199999999998</v>
      </c>
      <c r="BL207" s="1759">
        <v>0</v>
      </c>
      <c r="BM207" s="1759"/>
      <c r="BN207" s="2210">
        <v>0</v>
      </c>
      <c r="BO207" s="2315">
        <v>0</v>
      </c>
      <c r="BP207" s="1564">
        <v>0</v>
      </c>
      <c r="BQ207" s="2847">
        <v>0</v>
      </c>
      <c r="BR207" s="1759">
        <v>0</v>
      </c>
      <c r="BS207" s="1998">
        <f>BP207+BR207</f>
        <v>0</v>
      </c>
      <c r="BT207" s="2847"/>
      <c r="BU207" s="1705">
        <v>0</v>
      </c>
      <c r="BV207" s="1759">
        <v>0</v>
      </c>
      <c r="BW207" s="2852">
        <v>0</v>
      </c>
      <c r="BX207" s="2853"/>
      <c r="BY207" s="2853">
        <v>0</v>
      </c>
      <c r="BZ207" s="2213">
        <v>0</v>
      </c>
      <c r="CA207" s="2215">
        <v>0</v>
      </c>
      <c r="CB207" s="2215"/>
      <c r="CC207" s="2215">
        <v>0</v>
      </c>
      <c r="CD207" s="1998">
        <v>0</v>
      </c>
      <c r="CF207" s="2216">
        <v>0</v>
      </c>
      <c r="CG207" s="2216">
        <v>0</v>
      </c>
      <c r="CH207" s="2217">
        <v>0</v>
      </c>
      <c r="CI207" s="2217">
        <v>0</v>
      </c>
      <c r="CJ207" s="2672">
        <v>0</v>
      </c>
      <c r="CK207" s="2672">
        <v>0</v>
      </c>
      <c r="CL207" s="2854">
        <v>0</v>
      </c>
      <c r="CM207" s="2672">
        <v>0</v>
      </c>
      <c r="CN207" s="2843">
        <v>0</v>
      </c>
      <c r="CO207" s="2843">
        <v>0</v>
      </c>
      <c r="CP207" s="2843">
        <v>0</v>
      </c>
      <c r="CQ207" s="2672">
        <v>0</v>
      </c>
      <c r="CR207" s="3102"/>
      <c r="CS207" s="2854"/>
      <c r="CT207" s="2766"/>
    </row>
    <row r="208" spans="1:98" s="1124" customFormat="1" ht="13.5" hidden="1" customHeight="1" thickBot="1" x14ac:dyDescent="0.3">
      <c r="A208" s="2578"/>
      <c r="B208" s="2579"/>
      <c r="C208" s="656"/>
      <c r="D208" s="62"/>
      <c r="E208" s="2580"/>
      <c r="F208" s="656"/>
      <c r="G208" s="2581"/>
      <c r="H208" s="184"/>
      <c r="I208" s="2533">
        <f t="shared" si="21"/>
        <v>0</v>
      </c>
      <c r="J208" s="2643">
        <f t="shared" si="18"/>
        <v>0</v>
      </c>
      <c r="K208" s="2643">
        <f t="shared" si="19"/>
        <v>0</v>
      </c>
      <c r="L208" s="2643">
        <f t="shared" si="20"/>
        <v>0</v>
      </c>
      <c r="M208" s="1310"/>
      <c r="N208" s="1310"/>
      <c r="O208" s="1310"/>
      <c r="P208" s="1310"/>
      <c r="Q208" s="184"/>
      <c r="R208" s="829"/>
      <c r="S208" s="1310"/>
      <c r="T208" s="1310"/>
      <c r="U208" s="1310"/>
      <c r="V208" s="1310"/>
      <c r="W208" s="1310"/>
      <c r="X208" s="1310"/>
      <c r="Y208" s="1310"/>
      <c r="Z208" s="184"/>
      <c r="AA208" s="1310"/>
      <c r="AB208" s="1310"/>
      <c r="AC208" s="2387"/>
      <c r="AD208" s="2387"/>
      <c r="AE208" s="2444"/>
      <c r="AF208" s="2387"/>
      <c r="AG208" s="2386"/>
      <c r="AH208" s="2388"/>
      <c r="AI208" s="2387"/>
      <c r="AJ208" s="2416"/>
      <c r="AK208" s="516"/>
      <c r="AL208" s="352"/>
      <c r="AM208" s="514"/>
      <c r="AN208" s="1141"/>
      <c r="AO208" s="1141"/>
      <c r="AP208" s="529"/>
      <c r="AQ208" s="340"/>
      <c r="AR208" s="340"/>
      <c r="AS208" s="340"/>
      <c r="AT208" s="340"/>
      <c r="AU208" s="1489"/>
      <c r="AV208" s="2582"/>
      <c r="AW208" s="62"/>
      <c r="AX208" s="62"/>
      <c r="AY208" s="62"/>
      <c r="AZ208" s="2387"/>
      <c r="BA208" s="2387"/>
      <c r="BB208" s="2387"/>
      <c r="BC208" s="107"/>
      <c r="BD208" s="107"/>
      <c r="BE208" s="107"/>
      <c r="BF208" s="107"/>
      <c r="BG208" s="107"/>
      <c r="BH208" s="518"/>
      <c r="BI208" s="518"/>
      <c r="BJ208" s="749"/>
      <c r="BK208" s="1136"/>
      <c r="BL208" s="184"/>
      <c r="BM208" s="184"/>
      <c r="BN208" s="184"/>
      <c r="BO208" s="184"/>
      <c r="BP208" s="19"/>
      <c r="BQ208" s="184"/>
      <c r="BR208" s="184"/>
      <c r="BS208" s="657"/>
      <c r="BT208" s="1310"/>
      <c r="BU208" s="184"/>
      <c r="BV208" s="1485"/>
      <c r="BW208" s="259"/>
      <c r="BX208" s="184"/>
      <c r="BY208" s="1310"/>
      <c r="BZ208" s="184"/>
      <c r="CA208" s="184"/>
      <c r="CB208" s="184"/>
      <c r="CC208" s="184"/>
      <c r="CD208" s="184"/>
      <c r="CE208" s="184"/>
      <c r="CG208" s="1409"/>
      <c r="CH208" s="1409"/>
      <c r="CI208" s="1442"/>
      <c r="CJ208" s="2583"/>
    </row>
    <row r="209" spans="1:98" ht="33" hidden="1" customHeight="1" thickBot="1" x14ac:dyDescent="0.3">
      <c r="A209" s="2310" t="s">
        <v>1209</v>
      </c>
      <c r="B209" s="2311" t="s">
        <v>1209</v>
      </c>
      <c r="C209" s="210" t="s">
        <v>1209</v>
      </c>
      <c r="D209" s="140" t="s">
        <v>1209</v>
      </c>
      <c r="E209" s="1188" t="s">
        <v>1209</v>
      </c>
      <c r="F209" s="210" t="s">
        <v>1209</v>
      </c>
      <c r="G209" s="1190" t="s">
        <v>1459</v>
      </c>
      <c r="H209" s="113">
        <f>SUM(H207:H208)</f>
        <v>397.09199999999998</v>
      </c>
      <c r="I209" s="2533">
        <f t="shared" si="21"/>
        <v>397.09199999999998</v>
      </c>
      <c r="J209" s="2643">
        <f t="shared" si="18"/>
        <v>0</v>
      </c>
      <c r="K209" s="2643">
        <f t="shared" si="19"/>
        <v>397.09199999999998</v>
      </c>
      <c r="L209" s="2643">
        <f t="shared" si="20"/>
        <v>0</v>
      </c>
      <c r="M209" s="113"/>
      <c r="N209" s="113">
        <f t="shared" ref="N209:T209" si="30">SUM(N207:N208)</f>
        <v>0</v>
      </c>
      <c r="O209" s="113">
        <f t="shared" si="30"/>
        <v>0</v>
      </c>
      <c r="P209" s="113">
        <f t="shared" si="30"/>
        <v>0</v>
      </c>
      <c r="Q209" s="113">
        <f t="shared" si="30"/>
        <v>0</v>
      </c>
      <c r="R209" s="113">
        <f t="shared" si="30"/>
        <v>152.90799999999999</v>
      </c>
      <c r="S209" s="113">
        <f t="shared" si="30"/>
        <v>-152.90799999999999</v>
      </c>
      <c r="T209" s="113">
        <f t="shared" si="30"/>
        <v>0</v>
      </c>
      <c r="U209" s="113"/>
      <c r="V209" s="113"/>
      <c r="W209" s="113"/>
      <c r="X209" s="113"/>
      <c r="Y209" s="113">
        <f>SUM(Y207:Y208)</f>
        <v>0</v>
      </c>
      <c r="Z209" s="113">
        <f>SUM(Z207:Z208)</f>
        <v>0</v>
      </c>
      <c r="AA209" s="113">
        <f>SUM(AA207:AA208)</f>
        <v>0</v>
      </c>
      <c r="AB209" s="113">
        <f>SUM(AB207:AB208)</f>
        <v>0</v>
      </c>
      <c r="AC209" s="114" t="s">
        <v>2563</v>
      </c>
      <c r="AD209" s="114" t="s">
        <v>1209</v>
      </c>
      <c r="AE209" s="1505" t="s">
        <v>1209</v>
      </c>
      <c r="AF209" s="114" t="s">
        <v>1209</v>
      </c>
      <c r="AG209" s="122" t="s">
        <v>1209</v>
      </c>
      <c r="AH209" s="305" t="s">
        <v>1209</v>
      </c>
      <c r="AI209" s="723" t="s">
        <v>1209</v>
      </c>
      <c r="AJ209" s="2416">
        <v>3455.4</v>
      </c>
      <c r="AK209" s="516">
        <v>9.0949470177292824E-13</v>
      </c>
      <c r="AL209" s="352">
        <v>0</v>
      </c>
      <c r="AM209" s="514">
        <v>0</v>
      </c>
      <c r="AN209" s="1141"/>
      <c r="AO209" s="1141"/>
      <c r="AP209" s="529">
        <v>1</v>
      </c>
      <c r="AQ209" s="1518" t="s">
        <v>1472</v>
      </c>
      <c r="AR209" s="340">
        <v>10</v>
      </c>
      <c r="AS209" s="340"/>
      <c r="AT209" s="340"/>
      <c r="AU209" s="1489"/>
      <c r="AV209" s="451"/>
      <c r="AW209" s="62"/>
      <c r="AX209" s="62"/>
      <c r="AY209" s="62"/>
      <c r="AZ209" s="114" t="s">
        <v>2563</v>
      </c>
      <c r="BA209" s="114"/>
      <c r="BB209" s="114" t="s">
        <v>2261</v>
      </c>
      <c r="BC209" s="165" t="s">
        <v>2240</v>
      </c>
      <c r="BD209" s="165" t="s">
        <v>2279</v>
      </c>
      <c r="BE209" s="165" t="s">
        <v>1690</v>
      </c>
      <c r="BF209" s="165" t="s">
        <v>1690</v>
      </c>
      <c r="BG209" s="165" t="s">
        <v>1377</v>
      </c>
      <c r="BH209" s="518"/>
      <c r="BI209" s="518"/>
      <c r="BJ209" s="519"/>
      <c r="BK209" s="528"/>
      <c r="BL209" s="113">
        <f t="shared" ref="BL209:CJ209" si="31">SUM(BL207:BL208)</f>
        <v>0</v>
      </c>
      <c r="BM209" s="113">
        <f t="shared" si="31"/>
        <v>0</v>
      </c>
      <c r="BN209" s="113">
        <f t="shared" si="31"/>
        <v>0</v>
      </c>
      <c r="BO209" s="113">
        <f t="shared" si="31"/>
        <v>0</v>
      </c>
      <c r="BP209" s="113">
        <f t="shared" si="31"/>
        <v>0</v>
      </c>
      <c r="BQ209" s="113">
        <f t="shared" si="31"/>
        <v>0</v>
      </c>
      <c r="BR209" s="113">
        <f t="shared" si="31"/>
        <v>0</v>
      </c>
      <c r="BS209" s="113">
        <f t="shared" si="31"/>
        <v>0</v>
      </c>
      <c r="BT209" s="113">
        <f t="shared" si="31"/>
        <v>0</v>
      </c>
      <c r="BU209" s="113">
        <f t="shared" si="31"/>
        <v>0</v>
      </c>
      <c r="BV209" s="113">
        <f t="shared" si="31"/>
        <v>0</v>
      </c>
      <c r="BW209" s="113">
        <f t="shared" si="31"/>
        <v>0</v>
      </c>
      <c r="BX209" s="113">
        <f t="shared" si="31"/>
        <v>0</v>
      </c>
      <c r="BY209" s="113">
        <f t="shared" si="31"/>
        <v>0</v>
      </c>
      <c r="BZ209" s="113">
        <f t="shared" si="31"/>
        <v>0</v>
      </c>
      <c r="CA209" s="113">
        <f t="shared" si="31"/>
        <v>0</v>
      </c>
      <c r="CB209" s="113">
        <f t="shared" si="31"/>
        <v>0</v>
      </c>
      <c r="CC209" s="113">
        <f t="shared" si="31"/>
        <v>0</v>
      </c>
      <c r="CD209" s="113">
        <f t="shared" si="31"/>
        <v>0</v>
      </c>
      <c r="CE209" s="113">
        <f t="shared" si="31"/>
        <v>0</v>
      </c>
      <c r="CF209" s="113">
        <f t="shared" si="31"/>
        <v>0</v>
      </c>
      <c r="CG209" s="113">
        <f t="shared" si="31"/>
        <v>0</v>
      </c>
      <c r="CH209" s="113">
        <f t="shared" si="31"/>
        <v>0</v>
      </c>
      <c r="CI209" s="113">
        <f t="shared" si="31"/>
        <v>0</v>
      </c>
      <c r="CJ209" s="113">
        <f t="shared" si="31"/>
        <v>0</v>
      </c>
    </row>
    <row r="210" spans="1:98" s="985" customFormat="1" ht="30.75" hidden="1" thickBot="1" x14ac:dyDescent="0.3">
      <c r="A210" s="477" t="s">
        <v>633</v>
      </c>
      <c r="B210" s="557" t="s">
        <v>634</v>
      </c>
      <c r="C210" s="558">
        <v>2017</v>
      </c>
      <c r="D210" s="83" t="s">
        <v>1702</v>
      </c>
      <c r="E210" s="559" t="s">
        <v>635</v>
      </c>
      <c r="F210" s="559" t="s">
        <v>635</v>
      </c>
      <c r="G210" s="1646" t="s">
        <v>636</v>
      </c>
      <c r="H210" s="560">
        <v>6898.6797999999999</v>
      </c>
      <c r="I210" s="2533">
        <f t="shared" si="21"/>
        <v>0</v>
      </c>
      <c r="J210" s="2643">
        <f t="shared" si="18"/>
        <v>6898.6797999999999</v>
      </c>
      <c r="K210" s="2643">
        <f t="shared" si="19"/>
        <v>6898.6797999999999</v>
      </c>
      <c r="L210" s="2643">
        <f t="shared" si="20"/>
        <v>0</v>
      </c>
      <c r="M210" s="1065"/>
      <c r="N210" s="549">
        <v>0</v>
      </c>
      <c r="O210" s="550">
        <v>0</v>
      </c>
      <c r="P210" s="1476">
        <v>0</v>
      </c>
      <c r="Q210" s="564">
        <v>0</v>
      </c>
      <c r="R210" s="2354">
        <v>0</v>
      </c>
      <c r="S210" s="1458">
        <v>0</v>
      </c>
      <c r="T210" s="1463">
        <v>0</v>
      </c>
      <c r="U210" s="2337"/>
      <c r="V210" s="2337"/>
      <c r="W210" s="2337"/>
      <c r="X210" s="2337"/>
      <c r="Y210" s="564">
        <v>0</v>
      </c>
      <c r="Z210" s="564">
        <v>0</v>
      </c>
      <c r="AA210" s="564">
        <v>0</v>
      </c>
      <c r="AB210" s="438">
        <v>0</v>
      </c>
      <c r="AC210" s="83" t="s">
        <v>1209</v>
      </c>
      <c r="AD210" s="558" t="s">
        <v>1329</v>
      </c>
      <c r="AE210" s="1649" t="s">
        <v>1352</v>
      </c>
      <c r="AF210" s="1572" t="s">
        <v>1283</v>
      </c>
      <c r="AG210" s="1572" t="s">
        <v>1283</v>
      </c>
      <c r="AH210" s="559">
        <v>8</v>
      </c>
      <c r="AI210" s="731"/>
      <c r="AJ210" s="2416">
        <v>5.5999999995037797E-4</v>
      </c>
      <c r="AK210" s="516">
        <v>0</v>
      </c>
      <c r="AL210" s="1320">
        <v>0</v>
      </c>
      <c r="AM210" s="512">
        <v>0</v>
      </c>
      <c r="AN210" s="1171"/>
      <c r="AO210" s="1171"/>
      <c r="AP210" s="1364"/>
      <c r="AQ210" s="1722" t="s">
        <v>632</v>
      </c>
      <c r="AR210" s="1365">
        <v>17</v>
      </c>
      <c r="AS210" s="1366"/>
      <c r="AT210" s="1367">
        <v>6</v>
      </c>
      <c r="AU210" s="1368"/>
      <c r="AV210" s="455"/>
      <c r="AW210" s="1523" t="s">
        <v>1937</v>
      </c>
      <c r="AX210" s="1523"/>
      <c r="AY210" s="1523"/>
      <c r="AZ210" s="83" t="s">
        <v>1209</v>
      </c>
      <c r="BA210" s="83"/>
      <c r="BB210" s="83" t="s">
        <v>1209</v>
      </c>
      <c r="BC210" s="558" t="s">
        <v>2168</v>
      </c>
      <c r="BD210" s="959" t="s">
        <v>2168</v>
      </c>
      <c r="BE210" s="959" t="s">
        <v>1209</v>
      </c>
      <c r="BF210" s="1997" t="s">
        <v>1209</v>
      </c>
      <c r="BG210" s="962" t="s">
        <v>1209</v>
      </c>
      <c r="BH210" s="1076">
        <v>1</v>
      </c>
      <c r="BI210" s="1076">
        <v>0</v>
      </c>
      <c r="BJ210" s="983"/>
      <c r="BK210" s="1370"/>
      <c r="BL210" s="560">
        <v>3391.8398999999999</v>
      </c>
      <c r="BM210" s="1065">
        <v>3506.8398999999999</v>
      </c>
      <c r="BN210" s="2124">
        <v>3506.8404599999999</v>
      </c>
      <c r="BO210" s="2124">
        <v>3506.8404599999999</v>
      </c>
      <c r="BP210" s="2314">
        <v>5.5999999995037797E-4</v>
      </c>
      <c r="BQ210" s="1647">
        <v>3334.3398999999999</v>
      </c>
      <c r="BR210" s="472">
        <v>0</v>
      </c>
      <c r="BS210" s="1065">
        <v>172.5</v>
      </c>
      <c r="BT210" s="54">
        <v>3506.8398999999999</v>
      </c>
      <c r="BU210" s="1648">
        <v>0</v>
      </c>
      <c r="BV210" s="1647">
        <v>3334.3398999999999</v>
      </c>
      <c r="BW210" s="1065">
        <v>0</v>
      </c>
      <c r="BX210" s="1998">
        <v>3334.3398999999999</v>
      </c>
      <c r="BY210" s="1704"/>
      <c r="BZ210" s="1999">
        <v>3334.3398999999999</v>
      </c>
      <c r="CA210" s="1704">
        <v>0</v>
      </c>
      <c r="CB210" s="1704">
        <v>0</v>
      </c>
      <c r="CC210" s="1704"/>
      <c r="CD210" s="1704">
        <v>0</v>
      </c>
      <c r="CE210" s="1747">
        <v>0</v>
      </c>
      <c r="CF210" s="985">
        <v>11</v>
      </c>
      <c r="CG210" s="800">
        <v>0</v>
      </c>
      <c r="CH210" s="800">
        <v>0</v>
      </c>
      <c r="CI210" s="2000">
        <v>3334.3398999999999</v>
      </c>
      <c r="CJ210" s="2000">
        <v>172.50055999999995</v>
      </c>
    </row>
    <row r="211" spans="1:98" s="985" customFormat="1" ht="26.25" hidden="1" thickBot="1" x14ac:dyDescent="0.3">
      <c r="A211" s="478" t="s">
        <v>682</v>
      </c>
      <c r="B211" s="557" t="s">
        <v>683</v>
      </c>
      <c r="C211" s="558">
        <v>2017</v>
      </c>
      <c r="D211" s="83" t="s">
        <v>1701</v>
      </c>
      <c r="E211" s="559" t="s">
        <v>684</v>
      </c>
      <c r="F211" s="559" t="s">
        <v>684</v>
      </c>
      <c r="G211" s="1271" t="s">
        <v>685</v>
      </c>
      <c r="H211" s="560">
        <v>2723.4592400000001</v>
      </c>
      <c r="I211" s="2533">
        <f t="shared" si="21"/>
        <v>0</v>
      </c>
      <c r="J211" s="2643">
        <f t="shared" si="18"/>
        <v>2723.4592400000001</v>
      </c>
      <c r="K211" s="2643">
        <f t="shared" si="19"/>
        <v>2723.4592400000001</v>
      </c>
      <c r="L211" s="2643">
        <f t="shared" si="20"/>
        <v>0</v>
      </c>
      <c r="M211" s="1438"/>
      <c r="N211" s="2363">
        <v>0</v>
      </c>
      <c r="O211" s="563">
        <v>0</v>
      </c>
      <c r="P211" s="1476">
        <v>0</v>
      </c>
      <c r="Q211" s="564">
        <v>0</v>
      </c>
      <c r="R211" s="2354">
        <v>0</v>
      </c>
      <c r="S211" s="1458">
        <v>0</v>
      </c>
      <c r="T211" s="1463">
        <v>0</v>
      </c>
      <c r="U211" s="2337"/>
      <c r="V211" s="2337"/>
      <c r="W211" s="2337"/>
      <c r="X211" s="2337"/>
      <c r="Y211" s="564">
        <v>0</v>
      </c>
      <c r="Z211" s="564">
        <v>0</v>
      </c>
      <c r="AA211" s="564">
        <v>0</v>
      </c>
      <c r="AB211" s="438">
        <v>0</v>
      </c>
      <c r="AC211" s="565" t="s">
        <v>1209</v>
      </c>
      <c r="AD211" s="479" t="s">
        <v>1329</v>
      </c>
      <c r="AE211" s="504" t="s">
        <v>912</v>
      </c>
      <c r="AF211" s="285" t="s">
        <v>1283</v>
      </c>
      <c r="AG211" s="285" t="s">
        <v>1283</v>
      </c>
      <c r="AH211" s="559">
        <v>2</v>
      </c>
      <c r="AI211" s="730"/>
      <c r="AJ211" s="2416">
        <v>0</v>
      </c>
      <c r="AK211" s="516">
        <v>2.2737367544323206E-13</v>
      </c>
      <c r="AL211" s="1320">
        <v>0</v>
      </c>
      <c r="AM211" s="512">
        <v>0</v>
      </c>
      <c r="AN211" s="1171"/>
      <c r="AO211" s="1171"/>
      <c r="AP211" s="1364"/>
      <c r="AQ211" s="1722" t="s">
        <v>632</v>
      </c>
      <c r="AR211" s="1365">
        <v>17</v>
      </c>
      <c r="AS211" s="1366"/>
      <c r="AT211" s="1367">
        <v>4</v>
      </c>
      <c r="AU211" s="1368"/>
      <c r="AV211" s="455"/>
      <c r="AW211" s="979" t="s">
        <v>1798</v>
      </c>
      <c r="AX211" s="570"/>
      <c r="AY211" s="570"/>
      <c r="AZ211" s="565" t="s">
        <v>1209</v>
      </c>
      <c r="BA211" s="565"/>
      <c r="BB211" s="565" t="s">
        <v>1209</v>
      </c>
      <c r="BC211" s="565" t="s">
        <v>2200</v>
      </c>
      <c r="BD211" s="962" t="s">
        <v>1209</v>
      </c>
      <c r="BE211" s="962" t="s">
        <v>1859</v>
      </c>
      <c r="BF211" s="1080" t="s">
        <v>1209</v>
      </c>
      <c r="BG211" s="962" t="s">
        <v>1209</v>
      </c>
      <c r="BH211" s="1076">
        <v>1</v>
      </c>
      <c r="BI211" s="1076">
        <v>0</v>
      </c>
      <c r="BJ211" s="983"/>
      <c r="BK211" s="1370"/>
      <c r="BL211" s="560">
        <v>678.81</v>
      </c>
      <c r="BM211" s="866">
        <v>2044.64924</v>
      </c>
      <c r="BN211" s="2105">
        <v>2044.6492399999997</v>
      </c>
      <c r="BO211" s="2105">
        <v>2044.6492399999997</v>
      </c>
      <c r="BP211" s="2314">
        <v>0</v>
      </c>
      <c r="BQ211" s="1482">
        <v>2044.64924</v>
      </c>
      <c r="BR211" s="132">
        <v>0</v>
      </c>
      <c r="BS211" s="866">
        <v>0</v>
      </c>
      <c r="BT211" s="54">
        <v>2044.64924</v>
      </c>
      <c r="BU211" s="1648">
        <v>0</v>
      </c>
      <c r="BV211" s="1482">
        <v>2044.64924</v>
      </c>
      <c r="BW211" s="866">
        <v>0</v>
      </c>
      <c r="BX211" s="980">
        <v>2044.64924</v>
      </c>
      <c r="BY211" s="1081"/>
      <c r="BZ211" s="1369">
        <v>2044.64924</v>
      </c>
      <c r="CA211" s="1369">
        <v>1995.0492400000001</v>
      </c>
      <c r="CB211" s="1081">
        <v>1995.0492400000001</v>
      </c>
      <c r="CC211" s="1081"/>
      <c r="CD211" s="1081">
        <v>0</v>
      </c>
      <c r="CE211" s="960">
        <v>0</v>
      </c>
      <c r="CG211" s="799">
        <v>0</v>
      </c>
      <c r="CH211" s="799">
        <v>1995.0492400000001</v>
      </c>
      <c r="CI211" s="1016">
        <v>49.6</v>
      </c>
      <c r="CJ211" s="1016">
        <v>0</v>
      </c>
    </row>
    <row r="212" spans="1:98" s="1013" customFormat="1" ht="26.25" hidden="1" thickBot="1" x14ac:dyDescent="0.3">
      <c r="A212" s="478" t="s">
        <v>686</v>
      </c>
      <c r="B212" s="557" t="s">
        <v>687</v>
      </c>
      <c r="C212" s="558">
        <v>2017</v>
      </c>
      <c r="D212" s="83" t="s">
        <v>1701</v>
      </c>
      <c r="E212" s="559" t="s">
        <v>1532</v>
      </c>
      <c r="F212" s="559" t="s">
        <v>1532</v>
      </c>
      <c r="G212" s="1271" t="s">
        <v>689</v>
      </c>
      <c r="H212" s="560">
        <v>112.7</v>
      </c>
      <c r="I212" s="2533">
        <f t="shared" si="21"/>
        <v>0</v>
      </c>
      <c r="J212" s="2643">
        <f t="shared" si="18"/>
        <v>112.7</v>
      </c>
      <c r="K212" s="2643">
        <f t="shared" si="19"/>
        <v>112.7</v>
      </c>
      <c r="L212" s="2643">
        <f t="shared" si="20"/>
        <v>0</v>
      </c>
      <c r="M212" s="1438"/>
      <c r="N212" s="2363">
        <v>0</v>
      </c>
      <c r="O212" s="563">
        <v>0</v>
      </c>
      <c r="P212" s="1476">
        <v>0</v>
      </c>
      <c r="Q212" s="564">
        <v>0</v>
      </c>
      <c r="R212" s="2354">
        <v>0</v>
      </c>
      <c r="S212" s="1458">
        <v>0</v>
      </c>
      <c r="T212" s="1463">
        <v>0</v>
      </c>
      <c r="U212" s="2337"/>
      <c r="V212" s="2337"/>
      <c r="W212" s="2337"/>
      <c r="X212" s="2337"/>
      <c r="Y212" s="564">
        <v>0</v>
      </c>
      <c r="Z212" s="564">
        <v>0</v>
      </c>
      <c r="AA212" s="564">
        <v>0</v>
      </c>
      <c r="AB212" s="438">
        <v>0</v>
      </c>
      <c r="AC212" s="565" t="s">
        <v>1209</v>
      </c>
      <c r="AD212" s="479" t="s">
        <v>1329</v>
      </c>
      <c r="AE212" s="504" t="s">
        <v>34</v>
      </c>
      <c r="AF212" s="285" t="s">
        <v>1283</v>
      </c>
      <c r="AG212" s="285" t="s">
        <v>1283</v>
      </c>
      <c r="AH212" s="559">
        <v>5</v>
      </c>
      <c r="AI212" s="730"/>
      <c r="AJ212" s="2416">
        <v>0.29999999999999716</v>
      </c>
      <c r="AK212" s="516">
        <v>0</v>
      </c>
      <c r="AL212" s="452">
        <v>0</v>
      </c>
      <c r="AM212" s="513">
        <v>0</v>
      </c>
      <c r="AN212" s="1142"/>
      <c r="AO212" s="1142"/>
      <c r="AP212" s="900"/>
      <c r="AQ212" s="1083" t="s">
        <v>632</v>
      </c>
      <c r="AR212" s="1084">
        <v>17</v>
      </c>
      <c r="AS212" s="1085"/>
      <c r="AT212" s="1086">
        <v>2</v>
      </c>
      <c r="AU212" s="1153"/>
      <c r="AV212" s="435"/>
      <c r="AW212" s="75"/>
      <c r="AX212" s="150"/>
      <c r="AY212" s="150"/>
      <c r="AZ212" s="565" t="s">
        <v>1209</v>
      </c>
      <c r="BA212" s="565"/>
      <c r="BB212" s="565" t="s">
        <v>1209</v>
      </c>
      <c r="BC212" s="565" t="s">
        <v>1209</v>
      </c>
      <c r="BD212" s="565" t="s">
        <v>1209</v>
      </c>
      <c r="BE212" s="565" t="s">
        <v>1490</v>
      </c>
      <c r="BF212" s="915" t="s">
        <v>1490</v>
      </c>
      <c r="BG212" s="576" t="s">
        <v>1328</v>
      </c>
      <c r="BH212" s="436">
        <v>1</v>
      </c>
      <c r="BI212" s="436">
        <v>0</v>
      </c>
      <c r="BJ212" s="497"/>
      <c r="BK212" s="1082"/>
      <c r="BL212" s="560">
        <v>0</v>
      </c>
      <c r="BM212" s="866">
        <v>112.7</v>
      </c>
      <c r="BN212" s="2105">
        <v>113</v>
      </c>
      <c r="BO212" s="2105">
        <v>113</v>
      </c>
      <c r="BP212" s="2314">
        <v>0.29999999999999716</v>
      </c>
      <c r="BQ212" s="1482">
        <v>112.7</v>
      </c>
      <c r="BR212" s="132">
        <v>0</v>
      </c>
      <c r="BS212" s="866">
        <v>0</v>
      </c>
      <c r="BT212" s="54">
        <v>112.7</v>
      </c>
      <c r="BU212" s="1648">
        <v>0</v>
      </c>
      <c r="BV212" s="1482">
        <v>112.7</v>
      </c>
      <c r="BW212" s="866">
        <v>0</v>
      </c>
      <c r="BX212" s="25">
        <v>112.7</v>
      </c>
      <c r="BY212" s="831"/>
      <c r="BZ212" s="1202">
        <v>112.7</v>
      </c>
      <c r="CA212" s="1121">
        <v>112.7</v>
      </c>
      <c r="CB212" s="831">
        <v>112.7</v>
      </c>
      <c r="CC212" s="831"/>
      <c r="CD212" s="831">
        <v>112.7</v>
      </c>
      <c r="CE212" s="471">
        <v>112.7</v>
      </c>
      <c r="CG212" s="799">
        <v>112.7</v>
      </c>
      <c r="CH212" s="799">
        <v>0</v>
      </c>
      <c r="CI212" s="1016">
        <v>0.3</v>
      </c>
      <c r="CJ212" s="1016">
        <v>0</v>
      </c>
    </row>
    <row r="213" spans="1:98" s="1013" customFormat="1" ht="26.25" hidden="1" thickBot="1" x14ac:dyDescent="0.3">
      <c r="A213" s="478" t="s">
        <v>690</v>
      </c>
      <c r="B213" s="557" t="s">
        <v>691</v>
      </c>
      <c r="C213" s="558">
        <v>2017</v>
      </c>
      <c r="D213" s="83" t="s">
        <v>1701</v>
      </c>
      <c r="E213" s="559" t="s">
        <v>1532</v>
      </c>
      <c r="F213" s="559" t="s">
        <v>1532</v>
      </c>
      <c r="G213" s="1271" t="s">
        <v>692</v>
      </c>
      <c r="H213" s="560">
        <v>74.75</v>
      </c>
      <c r="I213" s="2533">
        <f t="shared" si="21"/>
        <v>0</v>
      </c>
      <c r="J213" s="2643">
        <f t="shared" si="18"/>
        <v>74.75</v>
      </c>
      <c r="K213" s="2643">
        <f t="shared" si="19"/>
        <v>74.75</v>
      </c>
      <c r="L213" s="2643">
        <f t="shared" si="20"/>
        <v>0</v>
      </c>
      <c r="M213" s="1438"/>
      <c r="N213" s="2363">
        <v>0</v>
      </c>
      <c r="O213" s="563">
        <v>0</v>
      </c>
      <c r="P213" s="1476">
        <v>0</v>
      </c>
      <c r="Q213" s="564">
        <v>0</v>
      </c>
      <c r="R213" s="2354">
        <v>0</v>
      </c>
      <c r="S213" s="1458">
        <v>0</v>
      </c>
      <c r="T213" s="1463">
        <v>0</v>
      </c>
      <c r="U213" s="2337"/>
      <c r="V213" s="2337"/>
      <c r="W213" s="2337"/>
      <c r="X213" s="2337"/>
      <c r="Y213" s="564">
        <v>0</v>
      </c>
      <c r="Z213" s="564">
        <v>0</v>
      </c>
      <c r="AA213" s="564">
        <v>0</v>
      </c>
      <c r="AB213" s="438">
        <v>0</v>
      </c>
      <c r="AC213" s="565" t="s">
        <v>1209</v>
      </c>
      <c r="AD213" s="479" t="s">
        <v>1329</v>
      </c>
      <c r="AE213" s="504" t="s">
        <v>34</v>
      </c>
      <c r="AF213" s="285" t="s">
        <v>1283</v>
      </c>
      <c r="AG213" s="285" t="s">
        <v>1283</v>
      </c>
      <c r="AH213" s="559">
        <v>5</v>
      </c>
      <c r="AI213" s="730"/>
      <c r="AJ213" s="2416">
        <v>0.25</v>
      </c>
      <c r="AK213" s="516">
        <v>0</v>
      </c>
      <c r="AL213" s="452">
        <v>0</v>
      </c>
      <c r="AM213" s="513">
        <v>0</v>
      </c>
      <c r="AN213" s="1142"/>
      <c r="AO213" s="1142"/>
      <c r="AP213" s="900"/>
      <c r="AQ213" s="1083" t="s">
        <v>632</v>
      </c>
      <c r="AR213" s="1084">
        <v>17</v>
      </c>
      <c r="AS213" s="1085"/>
      <c r="AT213" s="1086">
        <v>2</v>
      </c>
      <c r="AU213" s="1153"/>
      <c r="AV213" s="435"/>
      <c r="AW213" s="75"/>
      <c r="AX213" s="150"/>
      <c r="AY213" s="150"/>
      <c r="AZ213" s="565" t="s">
        <v>1209</v>
      </c>
      <c r="BA213" s="565"/>
      <c r="BB213" s="565" t="s">
        <v>1209</v>
      </c>
      <c r="BC213" s="565" t="s">
        <v>1209</v>
      </c>
      <c r="BD213" s="565" t="s">
        <v>1209</v>
      </c>
      <c r="BE213" s="565" t="s">
        <v>1491</v>
      </c>
      <c r="BF213" s="915" t="s">
        <v>1491</v>
      </c>
      <c r="BG213" s="576" t="s">
        <v>1328</v>
      </c>
      <c r="BH213" s="436">
        <v>1</v>
      </c>
      <c r="BI213" s="436">
        <v>0</v>
      </c>
      <c r="BJ213" s="497"/>
      <c r="BK213" s="1082"/>
      <c r="BL213" s="560">
        <v>0</v>
      </c>
      <c r="BM213" s="866">
        <v>74.75</v>
      </c>
      <c r="BN213" s="2105">
        <v>75</v>
      </c>
      <c r="BO213" s="2105">
        <v>75</v>
      </c>
      <c r="BP213" s="2314">
        <v>0.25</v>
      </c>
      <c r="BQ213" s="1482">
        <v>74.75</v>
      </c>
      <c r="BR213" s="132">
        <v>0</v>
      </c>
      <c r="BS213" s="866">
        <v>0</v>
      </c>
      <c r="BT213" s="54">
        <v>74.75</v>
      </c>
      <c r="BU213" s="1648">
        <v>0</v>
      </c>
      <c r="BV213" s="1482">
        <v>74.75</v>
      </c>
      <c r="BW213" s="866">
        <v>0</v>
      </c>
      <c r="BX213" s="25">
        <v>74.75</v>
      </c>
      <c r="BY213" s="831"/>
      <c r="BZ213" s="1202">
        <v>74.75</v>
      </c>
      <c r="CA213" s="1121">
        <v>74.75</v>
      </c>
      <c r="CB213" s="831">
        <v>74.75</v>
      </c>
      <c r="CC213" s="831"/>
      <c r="CD213" s="831">
        <v>74.75</v>
      </c>
      <c r="CE213" s="471">
        <v>74.75</v>
      </c>
      <c r="CG213" s="799">
        <v>74.75</v>
      </c>
      <c r="CH213" s="799">
        <v>0</v>
      </c>
      <c r="CI213" s="1016">
        <v>0.25</v>
      </c>
      <c r="CJ213" s="1016">
        <v>0</v>
      </c>
    </row>
    <row r="214" spans="1:98" s="1013" customFormat="1" ht="26.25" thickBot="1" x14ac:dyDescent="0.3">
      <c r="A214" s="478" t="s">
        <v>696</v>
      </c>
      <c r="B214" s="557" t="s">
        <v>697</v>
      </c>
      <c r="C214" s="558">
        <v>2017</v>
      </c>
      <c r="D214" s="83" t="s">
        <v>1701</v>
      </c>
      <c r="E214" s="559" t="s">
        <v>698</v>
      </c>
      <c r="F214" s="559" t="s">
        <v>698</v>
      </c>
      <c r="G214" s="1271" t="s">
        <v>699</v>
      </c>
      <c r="H214" s="560">
        <v>344.99299999999999</v>
      </c>
      <c r="I214" s="2533">
        <f t="shared" si="21"/>
        <v>0</v>
      </c>
      <c r="J214" s="2643">
        <f t="shared" si="18"/>
        <v>344.99299999999999</v>
      </c>
      <c r="K214" s="2643">
        <f t="shared" si="19"/>
        <v>344.99299999999999</v>
      </c>
      <c r="L214" s="2643">
        <f t="shared" si="20"/>
        <v>0</v>
      </c>
      <c r="M214" s="1438"/>
      <c r="N214" s="2363">
        <v>0</v>
      </c>
      <c r="O214" s="563">
        <v>0</v>
      </c>
      <c r="P214" s="1476">
        <v>0</v>
      </c>
      <c r="Q214" s="564">
        <v>0</v>
      </c>
      <c r="R214" s="2354">
        <v>0</v>
      </c>
      <c r="S214" s="1458">
        <v>0</v>
      </c>
      <c r="T214" s="1463">
        <v>0</v>
      </c>
      <c r="U214" s="2337"/>
      <c r="V214" s="2337"/>
      <c r="W214" s="2337"/>
      <c r="X214" s="2337"/>
      <c r="Y214" s="564">
        <v>0</v>
      </c>
      <c r="Z214" s="564">
        <v>0</v>
      </c>
      <c r="AA214" s="564">
        <v>0</v>
      </c>
      <c r="AB214" s="438">
        <v>0</v>
      </c>
      <c r="AC214" s="150" t="s">
        <v>1209</v>
      </c>
      <c r="AD214" s="479" t="s">
        <v>1329</v>
      </c>
      <c r="AE214" s="504" t="s">
        <v>34</v>
      </c>
      <c r="AF214" s="285" t="s">
        <v>1283</v>
      </c>
      <c r="AG214" s="285" t="s">
        <v>1283</v>
      </c>
      <c r="AH214" s="559">
        <v>5</v>
      </c>
      <c r="AI214" s="730" t="s">
        <v>2962</v>
      </c>
      <c r="AJ214" s="2416">
        <v>7.0000000000050022E-3</v>
      </c>
      <c r="AK214" s="516">
        <v>0</v>
      </c>
      <c r="AL214" s="452">
        <v>0</v>
      </c>
      <c r="AM214" s="513">
        <v>0</v>
      </c>
      <c r="AN214" s="1142"/>
      <c r="AO214" s="1142"/>
      <c r="AP214" s="900"/>
      <c r="AQ214" s="1083" t="s">
        <v>632</v>
      </c>
      <c r="AR214" s="1084">
        <v>17</v>
      </c>
      <c r="AS214" s="1085"/>
      <c r="AT214" s="1086">
        <v>2</v>
      </c>
      <c r="AU214" s="1153"/>
      <c r="AV214" s="435"/>
      <c r="AW214" s="75"/>
      <c r="AX214" s="150"/>
      <c r="AY214" s="150"/>
      <c r="AZ214" s="150" t="s">
        <v>1209</v>
      </c>
      <c r="BA214" s="150"/>
      <c r="BB214" s="150" t="s">
        <v>1209</v>
      </c>
      <c r="BC214" s="150" t="s">
        <v>1209</v>
      </c>
      <c r="BD214" s="150" t="s">
        <v>1209</v>
      </c>
      <c r="BE214" s="150" t="s">
        <v>1449</v>
      </c>
      <c r="BF214" s="773" t="s">
        <v>1478</v>
      </c>
      <c r="BG214" s="577" t="s">
        <v>1330</v>
      </c>
      <c r="BH214" s="436">
        <v>1</v>
      </c>
      <c r="BI214" s="436">
        <v>0</v>
      </c>
      <c r="BJ214" s="497"/>
      <c r="BK214" s="1082"/>
      <c r="BL214" s="560">
        <v>0</v>
      </c>
      <c r="BM214" s="866">
        <v>344.99299999999999</v>
      </c>
      <c r="BN214" s="2105">
        <v>345</v>
      </c>
      <c r="BO214" s="2105">
        <v>345</v>
      </c>
      <c r="BP214" s="2314">
        <v>7.0000000000050022E-3</v>
      </c>
      <c r="BQ214" s="1482">
        <v>344.99299999999999</v>
      </c>
      <c r="BR214" s="132">
        <v>0</v>
      </c>
      <c r="BS214" s="866">
        <v>0</v>
      </c>
      <c r="BT214" s="54">
        <v>344.99299999999999</v>
      </c>
      <c r="BU214" s="1648">
        <v>0</v>
      </c>
      <c r="BV214" s="1482">
        <v>344.99299999999999</v>
      </c>
      <c r="BW214" s="866">
        <v>0</v>
      </c>
      <c r="BX214" s="25">
        <v>344.99299999999999</v>
      </c>
      <c r="BY214" s="831"/>
      <c r="BZ214" s="1202">
        <v>344.99299999999999</v>
      </c>
      <c r="CA214" s="1121">
        <v>344.99299999999999</v>
      </c>
      <c r="CB214" s="831">
        <v>344.99299999999999</v>
      </c>
      <c r="CC214" s="831"/>
      <c r="CD214" s="831">
        <v>344.99299999999999</v>
      </c>
      <c r="CE214" s="471">
        <v>344.99299999999999</v>
      </c>
      <c r="CG214" s="799">
        <v>344.99299999999999</v>
      </c>
      <c r="CH214" s="799">
        <v>0</v>
      </c>
      <c r="CI214" s="1016">
        <v>7.0000000000000001E-3</v>
      </c>
      <c r="CJ214" s="1016">
        <v>0</v>
      </c>
    </row>
    <row r="215" spans="1:98" s="921" customFormat="1" ht="30.75" hidden="1" thickBot="1" x14ac:dyDescent="0.3">
      <c r="A215" s="1712" t="s">
        <v>709</v>
      </c>
      <c r="B215" s="2419" t="s">
        <v>710</v>
      </c>
      <c r="C215" s="959">
        <v>2017</v>
      </c>
      <c r="D215" s="1523" t="s">
        <v>1701</v>
      </c>
      <c r="E215" s="1744" t="s">
        <v>1526</v>
      </c>
      <c r="F215" s="1744" t="s">
        <v>1526</v>
      </c>
      <c r="G215" s="2420" t="s">
        <v>2104</v>
      </c>
      <c r="H215" s="1747">
        <v>382.15339999999998</v>
      </c>
      <c r="I215" s="1747">
        <v>382.15339999999998</v>
      </c>
      <c r="J215" s="1564">
        <v>0</v>
      </c>
      <c r="K215" s="3102"/>
      <c r="L215" s="3102"/>
      <c r="M215" s="3102"/>
      <c r="N215" s="1867">
        <f>500-382.1534-117.8466</f>
        <v>0</v>
      </c>
      <c r="O215" s="1656">
        <v>0</v>
      </c>
      <c r="P215" s="1706">
        <v>0</v>
      </c>
      <c r="Q215" s="1656">
        <v>0</v>
      </c>
      <c r="R215" s="2619">
        <v>117.84660000000002</v>
      </c>
      <c r="S215" s="1795">
        <v>-117.8466</v>
      </c>
      <c r="T215" s="2743">
        <f>R215+S215</f>
        <v>0</v>
      </c>
      <c r="U215" s="2372">
        <v>0</v>
      </c>
      <c r="V215" s="1794">
        <v>0</v>
      </c>
      <c r="W215" s="1794">
        <v>0</v>
      </c>
      <c r="X215" s="1793">
        <v>0</v>
      </c>
      <c r="Y215" s="1660">
        <v>0</v>
      </c>
      <c r="Z215" s="1660">
        <v>0</v>
      </c>
      <c r="AA215" s="1660">
        <v>0</v>
      </c>
      <c r="AB215" s="1891">
        <v>0</v>
      </c>
      <c r="AC215" s="570" t="s">
        <v>2680</v>
      </c>
      <c r="AD215" s="1662" t="s">
        <v>1329</v>
      </c>
      <c r="AE215" s="1677" t="s">
        <v>1547</v>
      </c>
      <c r="AF215" s="1677" t="s">
        <v>1283</v>
      </c>
      <c r="AG215" s="1571" t="s">
        <v>1283</v>
      </c>
      <c r="AH215" s="1744">
        <v>3</v>
      </c>
      <c r="AI215" s="2324"/>
      <c r="AJ215" s="1437"/>
      <c r="AK215" s="516">
        <f>H215-I215-T215-Y215-Z215-AA215-AB215</f>
        <v>0</v>
      </c>
      <c r="AL215" s="391">
        <f>T215-R215-S215</f>
        <v>0</v>
      </c>
      <c r="AM215" s="2816">
        <f>T215-N215-O215-P215-Q215</f>
        <v>0</v>
      </c>
      <c r="AN215" s="509">
        <f>Y215-U215-V215-W215-X215</f>
        <v>0</v>
      </c>
      <c r="AO215" s="2807"/>
      <c r="AP215" s="449"/>
      <c r="AQ215" s="646" t="s">
        <v>632</v>
      </c>
      <c r="AR215" s="391">
        <v>17</v>
      </c>
      <c r="AS215" s="392"/>
      <c r="AT215" s="816">
        <v>8</v>
      </c>
      <c r="AU215" s="1152"/>
      <c r="AV215" s="148"/>
      <c r="AW215" s="8" t="s">
        <v>2615</v>
      </c>
      <c r="AX215" s="570" t="s">
        <v>2681</v>
      </c>
      <c r="AY215" s="402" t="s">
        <v>1209</v>
      </c>
      <c r="AZ215" s="1274" t="s">
        <v>2564</v>
      </c>
      <c r="BA215" s="1274" t="s">
        <v>2504</v>
      </c>
      <c r="BB215" s="402" t="s">
        <v>2105</v>
      </c>
      <c r="BC215" s="1274" t="s">
        <v>2105</v>
      </c>
      <c r="BD215" s="402" t="s">
        <v>1331</v>
      </c>
      <c r="BE215" s="914" t="s">
        <v>1331</v>
      </c>
      <c r="BF215" s="578" t="s">
        <v>1331</v>
      </c>
      <c r="BG215" s="66">
        <v>1</v>
      </c>
      <c r="BH215" s="66">
        <v>0</v>
      </c>
      <c r="BI215" s="460"/>
      <c r="BJ215" s="388"/>
      <c r="BK215" s="384">
        <v>0</v>
      </c>
      <c r="BL215" s="264">
        <v>382.15339999999998</v>
      </c>
      <c r="BM215" s="264"/>
      <c r="BN215" s="1500">
        <v>500</v>
      </c>
      <c r="BO215" s="2313">
        <v>500</v>
      </c>
      <c r="BP215" s="1579">
        <v>0</v>
      </c>
      <c r="BQ215" s="1650">
        <v>500</v>
      </c>
      <c r="BR215" s="1616">
        <v>0</v>
      </c>
      <c r="BS215" s="54">
        <f>BP215+BR215</f>
        <v>0</v>
      </c>
      <c r="BT215" s="1624">
        <v>0</v>
      </c>
      <c r="BU215" s="1443">
        <v>0</v>
      </c>
      <c r="BV215" s="264">
        <v>0</v>
      </c>
      <c r="BW215" s="20">
        <v>0</v>
      </c>
      <c r="BX215" s="830"/>
      <c r="BY215" s="830">
        <v>0</v>
      </c>
      <c r="BZ215" s="830">
        <v>0</v>
      </c>
      <c r="CA215" s="830">
        <v>0</v>
      </c>
      <c r="CB215" s="830"/>
      <c r="CC215" s="830">
        <v>0</v>
      </c>
      <c r="CD215" s="395">
        <v>0</v>
      </c>
      <c r="CE215" s="2739">
        <v>12</v>
      </c>
      <c r="CF215" s="790">
        <v>0</v>
      </c>
      <c r="CG215" s="790">
        <v>0</v>
      </c>
      <c r="CH215" s="369">
        <v>0</v>
      </c>
      <c r="CI215" s="369">
        <v>500</v>
      </c>
      <c r="CJ215" s="321">
        <v>0</v>
      </c>
      <c r="CK215" s="2740">
        <v>0</v>
      </c>
      <c r="CL215" s="1209">
        <v>0</v>
      </c>
      <c r="CM215" s="2672">
        <v>0</v>
      </c>
      <c r="CN215" s="2872">
        <v>0</v>
      </c>
      <c r="CO215" s="2843">
        <v>0</v>
      </c>
      <c r="CP215" s="2843">
        <v>0</v>
      </c>
      <c r="CQ215" s="2672">
        <v>0</v>
      </c>
      <c r="CR215" s="3102"/>
      <c r="CS215" s="1209"/>
      <c r="CT215" s="2764"/>
    </row>
    <row r="216" spans="1:98" s="1013" customFormat="1" ht="26.25" hidden="1" thickBot="1" x14ac:dyDescent="0.3">
      <c r="A216" s="478" t="s">
        <v>711</v>
      </c>
      <c r="B216" s="557" t="s">
        <v>712</v>
      </c>
      <c r="C216" s="558">
        <v>2017</v>
      </c>
      <c r="D216" s="83" t="s">
        <v>1701</v>
      </c>
      <c r="E216" s="559" t="s">
        <v>713</v>
      </c>
      <c r="F216" s="559" t="s">
        <v>713</v>
      </c>
      <c r="G216" s="1271" t="s">
        <v>714</v>
      </c>
      <c r="H216" s="560">
        <v>987.65</v>
      </c>
      <c r="I216" s="2533">
        <f t="shared" si="21"/>
        <v>0</v>
      </c>
      <c r="J216" s="2643">
        <f t="shared" si="18"/>
        <v>987.65</v>
      </c>
      <c r="K216" s="2643">
        <f t="shared" si="19"/>
        <v>987.65</v>
      </c>
      <c r="L216" s="2643">
        <f t="shared" si="20"/>
        <v>0</v>
      </c>
      <c r="M216" s="1438"/>
      <c r="N216" s="2363">
        <v>0</v>
      </c>
      <c r="O216" s="563">
        <v>0</v>
      </c>
      <c r="P216" s="1476">
        <v>0</v>
      </c>
      <c r="Q216" s="564">
        <v>0</v>
      </c>
      <c r="R216" s="2354">
        <v>0.35000000000000853</v>
      </c>
      <c r="S216" s="1458">
        <v>-0.35</v>
      </c>
      <c r="T216" s="1463">
        <v>8.5487172896137054E-15</v>
      </c>
      <c r="U216" s="2337"/>
      <c r="V216" s="2337"/>
      <c r="W216" s="2337"/>
      <c r="X216" s="2337"/>
      <c r="Y216" s="564">
        <v>0</v>
      </c>
      <c r="Z216" s="564">
        <v>0</v>
      </c>
      <c r="AA216" s="564">
        <v>0</v>
      </c>
      <c r="AB216" s="438">
        <v>0</v>
      </c>
      <c r="AC216" s="565" t="s">
        <v>1209</v>
      </c>
      <c r="AD216" s="479" t="s">
        <v>1329</v>
      </c>
      <c r="AE216" s="504" t="s">
        <v>355</v>
      </c>
      <c r="AF216" s="285" t="s">
        <v>1283</v>
      </c>
      <c r="AG216" s="285" t="s">
        <v>1283</v>
      </c>
      <c r="AH216" s="559">
        <v>7</v>
      </c>
      <c r="AI216" s="730"/>
      <c r="AJ216" s="2416">
        <v>0.35000000000002274</v>
      </c>
      <c r="AK216" s="516">
        <v>-8.5487172896137054E-15</v>
      </c>
      <c r="AL216" s="452">
        <v>0</v>
      </c>
      <c r="AM216" s="513">
        <v>8.5487172896137054E-15</v>
      </c>
      <c r="AN216" s="1142"/>
      <c r="AO216" s="1142"/>
      <c r="AP216" s="900"/>
      <c r="AQ216" s="1083" t="s">
        <v>632</v>
      </c>
      <c r="AR216" s="1084">
        <v>17</v>
      </c>
      <c r="AS216" s="1085"/>
      <c r="AT216" s="1086">
        <v>4</v>
      </c>
      <c r="AU216" s="1153"/>
      <c r="AV216" s="435"/>
      <c r="AW216" s="979"/>
      <c r="AX216" s="570"/>
      <c r="AY216" s="570"/>
      <c r="AZ216" s="565" t="s">
        <v>2415</v>
      </c>
      <c r="BA216" s="565"/>
      <c r="BB216" s="565" t="s">
        <v>2415</v>
      </c>
      <c r="BC216" s="565" t="s">
        <v>1209</v>
      </c>
      <c r="BD216" s="565" t="s">
        <v>1209</v>
      </c>
      <c r="BE216" s="565" t="s">
        <v>1209</v>
      </c>
      <c r="BF216" s="1080" t="s">
        <v>1516</v>
      </c>
      <c r="BG216" s="565" t="s">
        <v>1209</v>
      </c>
      <c r="BH216" s="436">
        <v>1</v>
      </c>
      <c r="BI216" s="436">
        <v>0</v>
      </c>
      <c r="BJ216" s="497"/>
      <c r="BK216" s="1082"/>
      <c r="BL216" s="560">
        <v>0</v>
      </c>
      <c r="BM216" s="866">
        <v>987.65</v>
      </c>
      <c r="BN216" s="2105">
        <v>988</v>
      </c>
      <c r="BO216" s="2105">
        <v>988</v>
      </c>
      <c r="BP216" s="2314">
        <v>0.35000000000002274</v>
      </c>
      <c r="BQ216" s="1482">
        <v>864.35</v>
      </c>
      <c r="BR216" s="132">
        <v>123.3</v>
      </c>
      <c r="BS216" s="866">
        <v>123.3</v>
      </c>
      <c r="BT216" s="54">
        <v>987.65</v>
      </c>
      <c r="BU216" s="1648">
        <v>0</v>
      </c>
      <c r="BV216" s="1482">
        <v>864.35</v>
      </c>
      <c r="BW216" s="866">
        <v>0</v>
      </c>
      <c r="BX216" s="25">
        <v>864.35</v>
      </c>
      <c r="BY216" s="831"/>
      <c r="BZ216" s="1121">
        <v>864.35</v>
      </c>
      <c r="CA216" s="1121">
        <v>0</v>
      </c>
      <c r="CB216" s="831">
        <v>0</v>
      </c>
      <c r="CC216" s="831"/>
      <c r="CD216" s="831">
        <v>0</v>
      </c>
      <c r="CE216" s="960">
        <v>0</v>
      </c>
      <c r="CG216" s="799">
        <v>0</v>
      </c>
      <c r="CH216" s="799">
        <v>0</v>
      </c>
      <c r="CI216" s="483">
        <v>864</v>
      </c>
      <c r="CJ216" s="1016">
        <v>124</v>
      </c>
    </row>
    <row r="217" spans="1:98" ht="32.25" hidden="1" customHeight="1" thickBot="1" x14ac:dyDescent="0.3">
      <c r="A217" s="1712" t="s">
        <v>715</v>
      </c>
      <c r="B217" s="2419" t="s">
        <v>716</v>
      </c>
      <c r="C217" s="959">
        <v>2017</v>
      </c>
      <c r="D217" s="1523" t="s">
        <v>1701</v>
      </c>
      <c r="E217" s="1744" t="s">
        <v>717</v>
      </c>
      <c r="F217" s="1744" t="s">
        <v>717</v>
      </c>
      <c r="G217" s="2420" t="s">
        <v>718</v>
      </c>
      <c r="H217" s="1747">
        <v>2978.3020000000001</v>
      </c>
      <c r="I217" s="1747">
        <v>2978.3020000000001</v>
      </c>
      <c r="J217" s="1704"/>
      <c r="K217" s="2672">
        <v>0</v>
      </c>
      <c r="L217" s="2772">
        <v>0</v>
      </c>
      <c r="M217" s="2783"/>
      <c r="N217" s="1867">
        <v>0</v>
      </c>
      <c r="O217" s="1656">
        <v>0</v>
      </c>
      <c r="P217" s="1706">
        <v>0</v>
      </c>
      <c r="Q217" s="1660">
        <v>0</v>
      </c>
      <c r="R217" s="2623">
        <v>521.69799999999987</v>
      </c>
      <c r="S217" s="2673">
        <v>-521.69799999999998</v>
      </c>
      <c r="T217" s="2619">
        <f>R217+S217</f>
        <v>0</v>
      </c>
      <c r="U217" s="2623"/>
      <c r="V217" s="2623"/>
      <c r="W217" s="2623"/>
      <c r="X217" s="2623"/>
      <c r="Y217" s="1660">
        <v>0</v>
      </c>
      <c r="Z217" s="1660">
        <v>0</v>
      </c>
      <c r="AA217" s="1660">
        <v>0</v>
      </c>
      <c r="AB217" s="1891">
        <v>0</v>
      </c>
      <c r="AC217" s="570" t="s">
        <v>2601</v>
      </c>
      <c r="AD217" s="1662" t="s">
        <v>1329</v>
      </c>
      <c r="AE217" s="1677" t="s">
        <v>1352</v>
      </c>
      <c r="AF217" s="1571" t="s">
        <v>1283</v>
      </c>
      <c r="AG217" s="1571" t="s">
        <v>1283</v>
      </c>
      <c r="AH217" s="1744">
        <v>2</v>
      </c>
      <c r="AI217" s="1437"/>
      <c r="AJ217" s="1437"/>
      <c r="AK217" s="516">
        <f>H217-I217-T217-Y217-Z217-AA217-AB217</f>
        <v>0</v>
      </c>
      <c r="AL217" s="391">
        <f>T217-R217-S217</f>
        <v>0</v>
      </c>
      <c r="AM217" s="509">
        <f>T217-N217-O217-P217-Q217</f>
        <v>0</v>
      </c>
      <c r="AN217" s="1140"/>
      <c r="AO217" s="1140"/>
      <c r="AP217" s="449"/>
      <c r="AQ217" s="646" t="s">
        <v>632</v>
      </c>
      <c r="AR217" s="391">
        <v>17</v>
      </c>
      <c r="AS217" s="392"/>
      <c r="AT217" s="818">
        <v>7</v>
      </c>
      <c r="AU217" s="1152"/>
      <c r="AV217" s="148"/>
      <c r="AW217" s="8" t="s">
        <v>1938</v>
      </c>
      <c r="AX217" s="151"/>
      <c r="AY217" s="570" t="s">
        <v>2601</v>
      </c>
      <c r="AZ217" s="1605" t="s">
        <v>2565</v>
      </c>
      <c r="BA217" s="1605"/>
      <c r="BB217" s="1605" t="s">
        <v>2416</v>
      </c>
      <c r="BC217" s="402" t="s">
        <v>2106</v>
      </c>
      <c r="BD217" s="402" t="s">
        <v>2106</v>
      </c>
      <c r="BE217" s="402" t="s">
        <v>1209</v>
      </c>
      <c r="BF217" s="914" t="s">
        <v>1209</v>
      </c>
      <c r="BG217" s="578" t="s">
        <v>1332</v>
      </c>
      <c r="BH217" s="66">
        <v>1</v>
      </c>
      <c r="BI217" s="66">
        <v>0</v>
      </c>
      <c r="BJ217" s="460"/>
      <c r="BK217" s="388"/>
      <c r="BL217" s="384">
        <v>0</v>
      </c>
      <c r="BM217" s="264">
        <v>2978.3020000000001</v>
      </c>
      <c r="BN217" s="264"/>
      <c r="BO217" s="1500">
        <v>3500</v>
      </c>
      <c r="BP217" s="2313">
        <v>3500</v>
      </c>
      <c r="BQ217" s="1579">
        <v>0</v>
      </c>
      <c r="BR217" s="1666">
        <v>3500</v>
      </c>
      <c r="BS217" s="1612">
        <v>0</v>
      </c>
      <c r="BT217" s="54">
        <f>BQ217+BS217</f>
        <v>0</v>
      </c>
      <c r="BU217" s="1624">
        <v>0</v>
      </c>
      <c r="BV217" s="1443">
        <v>0</v>
      </c>
      <c r="BW217" s="264">
        <v>0</v>
      </c>
      <c r="BX217" s="20">
        <v>0</v>
      </c>
      <c r="BY217" s="830"/>
      <c r="BZ217" s="830">
        <v>0</v>
      </c>
      <c r="CA217" s="830">
        <v>0</v>
      </c>
      <c r="CB217" s="830">
        <v>0</v>
      </c>
      <c r="CC217" s="830"/>
      <c r="CD217" s="830">
        <v>0</v>
      </c>
      <c r="CE217" s="395">
        <v>0</v>
      </c>
      <c r="CF217">
        <v>11</v>
      </c>
      <c r="CG217" s="790">
        <v>0</v>
      </c>
      <c r="CH217" s="790">
        <v>0</v>
      </c>
      <c r="CI217" s="369">
        <v>0</v>
      </c>
      <c r="CJ217" s="369">
        <v>3500</v>
      </c>
      <c r="CK217" s="2672">
        <v>0</v>
      </c>
      <c r="CL217" s="2672">
        <v>0</v>
      </c>
      <c r="CM217" s="1209">
        <v>0</v>
      </c>
      <c r="CN217" s="1209"/>
      <c r="CO217" s="2766"/>
    </row>
    <row r="218" spans="1:98" s="1013" customFormat="1" ht="26.25" hidden="1" thickBot="1" x14ac:dyDescent="0.3">
      <c r="A218" s="478" t="s">
        <v>728</v>
      </c>
      <c r="B218" s="557" t="s">
        <v>922</v>
      </c>
      <c r="C218" s="558">
        <v>2017</v>
      </c>
      <c r="D218" s="83" t="s">
        <v>1701</v>
      </c>
      <c r="E218" s="559" t="s">
        <v>1525</v>
      </c>
      <c r="F218" s="559" t="s">
        <v>1525</v>
      </c>
      <c r="G218" s="1271" t="s">
        <v>729</v>
      </c>
      <c r="H218" s="560">
        <v>6324.6545599999999</v>
      </c>
      <c r="I218" s="2533">
        <f t="shared" si="21"/>
        <v>0</v>
      </c>
      <c r="J218" s="2643">
        <f t="shared" si="18"/>
        <v>6324.654559999999</v>
      </c>
      <c r="K218" s="2643">
        <f t="shared" si="19"/>
        <v>6324.654559999999</v>
      </c>
      <c r="L218" s="2643">
        <f t="shared" si="20"/>
        <v>0</v>
      </c>
      <c r="M218" s="1438"/>
      <c r="N218" s="2363">
        <v>0</v>
      </c>
      <c r="O218" s="563">
        <v>0</v>
      </c>
      <c r="P218" s="1476">
        <v>0</v>
      </c>
      <c r="Q218" s="564">
        <v>0</v>
      </c>
      <c r="R218" s="2354">
        <v>0</v>
      </c>
      <c r="S218" s="1458">
        <v>0</v>
      </c>
      <c r="T218" s="1463">
        <v>0</v>
      </c>
      <c r="U218" s="2337"/>
      <c r="V218" s="2337"/>
      <c r="W218" s="2337"/>
      <c r="X218" s="2337"/>
      <c r="Y218" s="564">
        <v>0</v>
      </c>
      <c r="Z218" s="564">
        <v>0</v>
      </c>
      <c r="AA218" s="564">
        <v>0</v>
      </c>
      <c r="AB218" s="438">
        <v>0</v>
      </c>
      <c r="AC218" s="565" t="s">
        <v>1209</v>
      </c>
      <c r="AD218" s="479" t="s">
        <v>1329</v>
      </c>
      <c r="AE218" s="504" t="s">
        <v>355</v>
      </c>
      <c r="AF218" s="285" t="s">
        <v>1283</v>
      </c>
      <c r="AG218" s="285" t="s">
        <v>1283</v>
      </c>
      <c r="AH218" s="559">
        <v>9</v>
      </c>
      <c r="AI218" s="730"/>
      <c r="AJ218" s="2416">
        <v>0.34544000000096275</v>
      </c>
      <c r="AK218" s="516">
        <v>9.0949470177292824E-13</v>
      </c>
      <c r="AL218" s="452">
        <v>0</v>
      </c>
      <c r="AM218" s="513">
        <v>0</v>
      </c>
      <c r="AN218" s="1142"/>
      <c r="AO218" s="1142"/>
      <c r="AP218" s="900"/>
      <c r="AQ218" s="1083" t="s">
        <v>632</v>
      </c>
      <c r="AR218" s="1084">
        <v>17</v>
      </c>
      <c r="AS218" s="1085"/>
      <c r="AT218" s="1367">
        <v>6</v>
      </c>
      <c r="AU218" s="1153"/>
      <c r="AV218" s="435"/>
      <c r="AW218" s="75" t="s">
        <v>1939</v>
      </c>
      <c r="AX218" s="150"/>
      <c r="AY218" s="150"/>
      <c r="AZ218" s="565" t="s">
        <v>1209</v>
      </c>
      <c r="BA218" s="565"/>
      <c r="BB218" s="565" t="s">
        <v>1209</v>
      </c>
      <c r="BC218" s="565" t="s">
        <v>1209</v>
      </c>
      <c r="BD218" s="565" t="s">
        <v>1209</v>
      </c>
      <c r="BE218" s="565" t="s">
        <v>1209</v>
      </c>
      <c r="BF218" s="915" t="s">
        <v>1209</v>
      </c>
      <c r="BG218" s="2001" t="s">
        <v>1333</v>
      </c>
      <c r="BH218" s="436">
        <v>0</v>
      </c>
      <c r="BI218" s="436">
        <v>1</v>
      </c>
      <c r="BJ218" s="497"/>
      <c r="BK218" s="1082"/>
      <c r="BL218" s="560">
        <v>0</v>
      </c>
      <c r="BM218" s="866">
        <v>6324.654559999999</v>
      </c>
      <c r="BN218" s="2105">
        <v>6325</v>
      </c>
      <c r="BO218" s="2105">
        <v>6325</v>
      </c>
      <c r="BP218" s="2314">
        <v>0.34544000000096275</v>
      </c>
      <c r="BQ218" s="1482">
        <v>0</v>
      </c>
      <c r="BR218" s="438">
        <v>6324.6545400000005</v>
      </c>
      <c r="BS218" s="1438">
        <v>6324.654559999999</v>
      </c>
      <c r="BT218" s="54">
        <v>6324.654559999999</v>
      </c>
      <c r="BU218" s="1648">
        <v>0</v>
      </c>
      <c r="BV218" s="1482">
        <v>0</v>
      </c>
      <c r="BW218" s="866">
        <v>0</v>
      </c>
      <c r="BX218" s="25">
        <v>0</v>
      </c>
      <c r="BY218" s="831"/>
      <c r="BZ218" s="831">
        <v>0</v>
      </c>
      <c r="CA218" s="831">
        <v>0</v>
      </c>
      <c r="CB218" s="831">
        <v>0</v>
      </c>
      <c r="CC218" s="831"/>
      <c r="CD218" s="831">
        <v>0</v>
      </c>
      <c r="CE218" s="471">
        <v>0</v>
      </c>
      <c r="CF218" s="1013">
        <v>10</v>
      </c>
      <c r="CG218" s="799">
        <v>0</v>
      </c>
      <c r="CH218" s="799">
        <v>0</v>
      </c>
      <c r="CI218" s="1016">
        <v>0</v>
      </c>
      <c r="CJ218" s="1016">
        <v>6325</v>
      </c>
    </row>
    <row r="219" spans="1:98" s="985" customFormat="1" ht="26.25" hidden="1" thickBot="1" x14ac:dyDescent="0.3">
      <c r="A219" s="1712" t="s">
        <v>740</v>
      </c>
      <c r="B219" s="2419" t="s">
        <v>923</v>
      </c>
      <c r="C219" s="959">
        <v>2017</v>
      </c>
      <c r="D219" s="1523" t="s">
        <v>1701</v>
      </c>
      <c r="E219" s="1744" t="s">
        <v>653</v>
      </c>
      <c r="F219" s="1744" t="s">
        <v>653</v>
      </c>
      <c r="G219" s="2420" t="s">
        <v>741</v>
      </c>
      <c r="H219" s="1747">
        <v>4193.6450000000004</v>
      </c>
      <c r="I219" s="2533">
        <f t="shared" si="21"/>
        <v>0</v>
      </c>
      <c r="J219" s="2643">
        <f t="shared" si="18"/>
        <v>4193.6450000000004</v>
      </c>
      <c r="K219" s="2643">
        <f t="shared" si="19"/>
        <v>4193.6450000000004</v>
      </c>
      <c r="L219" s="2643">
        <f t="shared" si="20"/>
        <v>0</v>
      </c>
      <c r="M219" s="1759"/>
      <c r="N219" s="2367">
        <v>0</v>
      </c>
      <c r="O219" s="1656">
        <v>0</v>
      </c>
      <c r="P219" s="1706">
        <v>0</v>
      </c>
      <c r="Q219" s="1660">
        <v>0</v>
      </c>
      <c r="R219" s="2359">
        <v>0</v>
      </c>
      <c r="S219" s="2413">
        <v>0</v>
      </c>
      <c r="T219" s="1545">
        <v>0</v>
      </c>
      <c r="U219" s="2341"/>
      <c r="V219" s="2341"/>
      <c r="W219" s="2341"/>
      <c r="X219" s="2341"/>
      <c r="Y219" s="1660">
        <v>0</v>
      </c>
      <c r="Z219" s="1660">
        <v>0</v>
      </c>
      <c r="AA219" s="1660">
        <v>0</v>
      </c>
      <c r="AB219" s="1891">
        <v>0</v>
      </c>
      <c r="AC219" s="570" t="s">
        <v>2417</v>
      </c>
      <c r="AD219" s="1662" t="s">
        <v>1329</v>
      </c>
      <c r="AE219" s="1677" t="s">
        <v>845</v>
      </c>
      <c r="AF219" s="1571" t="s">
        <v>1283</v>
      </c>
      <c r="AG219" s="1571" t="s">
        <v>1283</v>
      </c>
      <c r="AH219" s="1744">
        <v>11</v>
      </c>
      <c r="AI219" s="1546"/>
      <c r="AJ219" s="2421">
        <v>5.1229999999995925</v>
      </c>
      <c r="AK219" s="516">
        <v>0</v>
      </c>
      <c r="AL219" s="1320">
        <v>0</v>
      </c>
      <c r="AM219" s="512">
        <v>0</v>
      </c>
      <c r="AN219" s="1171"/>
      <c r="AO219" s="1171"/>
      <c r="AP219" s="1364"/>
      <c r="AQ219" s="1722" t="s">
        <v>632</v>
      </c>
      <c r="AR219" s="1365">
        <v>17</v>
      </c>
      <c r="AS219" s="1366"/>
      <c r="AT219" s="1367">
        <v>6</v>
      </c>
      <c r="AU219" s="1368"/>
      <c r="AV219" s="455"/>
      <c r="AW219" s="979" t="s">
        <v>1940</v>
      </c>
      <c r="AX219" s="570"/>
      <c r="AY219" s="570"/>
      <c r="AZ219" s="570" t="s">
        <v>2417</v>
      </c>
      <c r="BA219" s="570"/>
      <c r="BB219" s="570" t="s">
        <v>2417</v>
      </c>
      <c r="BC219" s="962" t="s">
        <v>2169</v>
      </c>
      <c r="BD219" s="962" t="s">
        <v>2169</v>
      </c>
      <c r="BE219" s="962" t="s">
        <v>1209</v>
      </c>
      <c r="BF219" s="1080" t="s">
        <v>1209</v>
      </c>
      <c r="BG219" s="576" t="s">
        <v>1334</v>
      </c>
      <c r="BH219" s="1076">
        <v>1</v>
      </c>
      <c r="BI219" s="1076">
        <v>0</v>
      </c>
      <c r="BJ219" s="983"/>
      <c r="BK219" s="1370"/>
      <c r="BL219" s="1747">
        <v>0</v>
      </c>
      <c r="BM219" s="1376">
        <v>4193.6450000000004</v>
      </c>
      <c r="BN219" s="2112">
        <v>4198.768</v>
      </c>
      <c r="BO219" s="2112">
        <v>4198.768</v>
      </c>
      <c r="BP219" s="2315">
        <v>5.1229999999995925</v>
      </c>
      <c r="BQ219" s="1538">
        <v>4749.0240000000003</v>
      </c>
      <c r="BR219" s="1891">
        <v>-550.25599999999986</v>
      </c>
      <c r="BS219" s="1376">
        <v>-555.37899999999968</v>
      </c>
      <c r="BT219" s="2412">
        <v>4193.6450000000004</v>
      </c>
      <c r="BU219" s="1655">
        <v>0</v>
      </c>
      <c r="BV219" s="1538">
        <v>4749.0240000000003</v>
      </c>
      <c r="BW219" s="1377">
        <v>1752.2149999999999</v>
      </c>
      <c r="BX219" s="980">
        <v>2996.8090000000002</v>
      </c>
      <c r="BY219" s="1369">
        <v>2996.8090000000002</v>
      </c>
      <c r="BZ219" s="1081">
        <v>0</v>
      </c>
      <c r="CA219" s="1081">
        <v>0</v>
      </c>
      <c r="CB219" s="1081">
        <v>0</v>
      </c>
      <c r="CC219" s="1081"/>
      <c r="CD219" s="1081">
        <v>0</v>
      </c>
      <c r="CE219" s="960">
        <v>0</v>
      </c>
      <c r="CF219" s="985">
        <v>10</v>
      </c>
      <c r="CG219" s="1825">
        <v>0</v>
      </c>
      <c r="CH219" s="1825">
        <v>0</v>
      </c>
      <c r="CI219" s="2072">
        <v>2996.8090000000002</v>
      </c>
      <c r="CJ219" s="2072">
        <v>1201.9589999999998</v>
      </c>
    </row>
    <row r="220" spans="1:98" s="985" customFormat="1" ht="26.25" hidden="1" thickBot="1" x14ac:dyDescent="0.3">
      <c r="A220" s="478" t="s">
        <v>742</v>
      </c>
      <c r="B220" s="557" t="s">
        <v>743</v>
      </c>
      <c r="C220" s="558">
        <v>2017</v>
      </c>
      <c r="D220" s="83" t="s">
        <v>1701</v>
      </c>
      <c r="E220" s="559" t="s">
        <v>684</v>
      </c>
      <c r="F220" s="559" t="s">
        <v>684</v>
      </c>
      <c r="G220" s="1271" t="s">
        <v>744</v>
      </c>
      <c r="H220" s="560">
        <v>1475.33158</v>
      </c>
      <c r="I220" s="2533">
        <f t="shared" si="21"/>
        <v>0</v>
      </c>
      <c r="J220" s="2643">
        <f t="shared" si="18"/>
        <v>1475.33158</v>
      </c>
      <c r="K220" s="2643">
        <f t="shared" si="19"/>
        <v>1475.33158</v>
      </c>
      <c r="L220" s="2643">
        <f t="shared" si="20"/>
        <v>0</v>
      </c>
      <c r="M220" s="1438"/>
      <c r="N220" s="2363">
        <v>0</v>
      </c>
      <c r="O220" s="563">
        <v>0</v>
      </c>
      <c r="P220" s="1476">
        <v>0</v>
      </c>
      <c r="Q220" s="564">
        <v>0</v>
      </c>
      <c r="R220" s="2354">
        <v>0</v>
      </c>
      <c r="S220" s="1458">
        <v>0</v>
      </c>
      <c r="T220" s="1463">
        <v>0</v>
      </c>
      <c r="U220" s="2337"/>
      <c r="V220" s="2337"/>
      <c r="W220" s="2337"/>
      <c r="X220" s="2337"/>
      <c r="Y220" s="564">
        <v>0</v>
      </c>
      <c r="Z220" s="564">
        <v>0</v>
      </c>
      <c r="AA220" s="564">
        <v>0</v>
      </c>
      <c r="AB220" s="438">
        <v>0</v>
      </c>
      <c r="AC220" s="565" t="s">
        <v>1209</v>
      </c>
      <c r="AD220" s="479" t="s">
        <v>1329</v>
      </c>
      <c r="AE220" s="504" t="s">
        <v>912</v>
      </c>
      <c r="AF220" s="285" t="s">
        <v>1283</v>
      </c>
      <c r="AG220" s="285" t="s">
        <v>1283</v>
      </c>
      <c r="AH220" s="559">
        <v>2</v>
      </c>
      <c r="AI220" s="730"/>
      <c r="AJ220" s="2416">
        <v>-0.33158000000003085</v>
      </c>
      <c r="AK220" s="516">
        <v>0</v>
      </c>
      <c r="AL220" s="1320">
        <v>0</v>
      </c>
      <c r="AM220" s="512">
        <v>0</v>
      </c>
      <c r="AN220" s="1171"/>
      <c r="AO220" s="1171"/>
      <c r="AP220" s="1364"/>
      <c r="AQ220" s="1722" t="s">
        <v>632</v>
      </c>
      <c r="AR220" s="1365">
        <v>17</v>
      </c>
      <c r="AS220" s="1366"/>
      <c r="AT220" s="674">
        <v>5</v>
      </c>
      <c r="AU220" s="1368"/>
      <c r="AV220" s="455"/>
      <c r="AW220" s="979" t="s">
        <v>1941</v>
      </c>
      <c r="AX220" s="570"/>
      <c r="AY220" s="570"/>
      <c r="AZ220" s="565" t="s">
        <v>1209</v>
      </c>
      <c r="BA220" s="565"/>
      <c r="BB220" s="565" t="s">
        <v>1209</v>
      </c>
      <c r="BC220" s="565" t="s">
        <v>2199</v>
      </c>
      <c r="BD220" s="1363" t="s">
        <v>1209</v>
      </c>
      <c r="BE220" s="962" t="s">
        <v>1209</v>
      </c>
      <c r="BF220" s="1080" t="s">
        <v>1209</v>
      </c>
      <c r="BG220" s="962" t="s">
        <v>1209</v>
      </c>
      <c r="BH220" s="1076">
        <v>1</v>
      </c>
      <c r="BI220" s="1076">
        <v>0</v>
      </c>
      <c r="BJ220" s="983"/>
      <c r="BK220" s="1370"/>
      <c r="BL220" s="560">
        <v>85</v>
      </c>
      <c r="BM220" s="866">
        <v>1390.33158</v>
      </c>
      <c r="BN220" s="2105">
        <v>1390</v>
      </c>
      <c r="BO220" s="2105">
        <v>1390</v>
      </c>
      <c r="BP220" s="2314">
        <v>-0.33158000000003085</v>
      </c>
      <c r="BQ220" s="1482">
        <v>1390.33158</v>
      </c>
      <c r="BR220" s="132">
        <v>0</v>
      </c>
      <c r="BS220" s="866">
        <v>0</v>
      </c>
      <c r="BT220" s="54">
        <v>1390.33158</v>
      </c>
      <c r="BU220" s="1648">
        <v>0</v>
      </c>
      <c r="BV220" s="1482">
        <v>1390.33158</v>
      </c>
      <c r="BW220" s="866">
        <v>0</v>
      </c>
      <c r="BX220" s="980">
        <v>1390.33158</v>
      </c>
      <c r="BY220" s="1388"/>
      <c r="BZ220" s="1369">
        <v>1390.33158</v>
      </c>
      <c r="CA220" s="1369">
        <v>866.14700000000005</v>
      </c>
      <c r="CB220" s="1081">
        <v>0</v>
      </c>
      <c r="CC220" s="1081"/>
      <c r="CD220" s="1081">
        <v>0</v>
      </c>
      <c r="CE220" s="960">
        <v>0</v>
      </c>
      <c r="CF220" s="985">
        <v>9</v>
      </c>
      <c r="CG220" s="799">
        <v>0</v>
      </c>
      <c r="CH220" s="799">
        <v>0</v>
      </c>
      <c r="CI220" s="1016">
        <v>1390</v>
      </c>
      <c r="CJ220" s="1016">
        <v>0</v>
      </c>
    </row>
    <row r="221" spans="1:98" s="1013" customFormat="1" ht="26.25" hidden="1" thickBot="1" x14ac:dyDescent="0.3">
      <c r="A221" s="478" t="s">
        <v>760</v>
      </c>
      <c r="B221" s="566" t="s">
        <v>928</v>
      </c>
      <c r="C221" s="479">
        <v>2018</v>
      </c>
      <c r="D221" s="83" t="s">
        <v>1268</v>
      </c>
      <c r="E221" s="479" t="s">
        <v>761</v>
      </c>
      <c r="F221" s="479" t="s">
        <v>761</v>
      </c>
      <c r="G221" s="229" t="s">
        <v>929</v>
      </c>
      <c r="H221" s="471">
        <v>350</v>
      </c>
      <c r="I221" s="2533">
        <f t="shared" si="21"/>
        <v>0</v>
      </c>
      <c r="J221" s="2643">
        <f t="shared" si="18"/>
        <v>350</v>
      </c>
      <c r="K221" s="2643">
        <f t="shared" si="19"/>
        <v>350</v>
      </c>
      <c r="L221" s="2643">
        <f t="shared" si="20"/>
        <v>0</v>
      </c>
      <c r="M221" s="866"/>
      <c r="N221" s="540">
        <v>0</v>
      </c>
      <c r="O221" s="483">
        <v>0</v>
      </c>
      <c r="P221" s="437">
        <v>0</v>
      </c>
      <c r="Q221" s="131">
        <v>0</v>
      </c>
      <c r="R221" s="2345">
        <v>0</v>
      </c>
      <c r="S221" s="1459">
        <v>0</v>
      </c>
      <c r="T221" s="1463">
        <v>0</v>
      </c>
      <c r="U221" s="2337"/>
      <c r="V221" s="2337"/>
      <c r="W221" s="2337"/>
      <c r="X221" s="2337"/>
      <c r="Y221" s="131">
        <v>0</v>
      </c>
      <c r="Z221" s="564">
        <v>0</v>
      </c>
      <c r="AA221" s="564">
        <v>0</v>
      </c>
      <c r="AB221" s="132">
        <v>0</v>
      </c>
      <c r="AC221" s="479" t="s">
        <v>1209</v>
      </c>
      <c r="AD221" s="479" t="s">
        <v>1329</v>
      </c>
      <c r="AE221" s="504" t="s">
        <v>369</v>
      </c>
      <c r="AF221" s="285" t="s">
        <v>1283</v>
      </c>
      <c r="AG221" s="285" t="s">
        <v>1283</v>
      </c>
      <c r="AH221" s="479">
        <v>8</v>
      </c>
      <c r="AI221" s="730"/>
      <c r="AJ221" s="2416">
        <v>0</v>
      </c>
      <c r="AK221" s="516">
        <v>0</v>
      </c>
      <c r="AL221" s="452">
        <v>0</v>
      </c>
      <c r="AM221" s="513">
        <v>0</v>
      </c>
      <c r="AN221" s="1142"/>
      <c r="AO221" s="1142"/>
      <c r="AP221" s="900"/>
      <c r="AQ221" s="1083" t="s">
        <v>632</v>
      </c>
      <c r="AR221" s="1084">
        <v>17</v>
      </c>
      <c r="AS221" s="1085"/>
      <c r="AT221" s="1086">
        <v>4</v>
      </c>
      <c r="AU221" s="1153"/>
      <c r="AV221" s="435"/>
      <c r="AW221" s="75"/>
      <c r="AX221" s="75"/>
      <c r="AY221" s="75"/>
      <c r="AZ221" s="479" t="s">
        <v>1209</v>
      </c>
      <c r="BA221" s="479"/>
      <c r="BB221" s="479" t="s">
        <v>1209</v>
      </c>
      <c r="BC221" s="479" t="s">
        <v>1209</v>
      </c>
      <c r="BD221" s="479" t="s">
        <v>1209</v>
      </c>
      <c r="BE221" s="479" t="s">
        <v>1853</v>
      </c>
      <c r="BF221" s="915" t="s">
        <v>1449</v>
      </c>
      <c r="BG221" s="1087" t="s">
        <v>1335</v>
      </c>
      <c r="BH221" s="436">
        <v>1</v>
      </c>
      <c r="BI221" s="436">
        <v>0</v>
      </c>
      <c r="BJ221" s="1088"/>
      <c r="BK221" s="1082"/>
      <c r="BL221" s="471">
        <v>0</v>
      </c>
      <c r="BM221" s="866">
        <v>350</v>
      </c>
      <c r="BN221" s="2105">
        <v>350</v>
      </c>
      <c r="BO221" s="2105">
        <v>350</v>
      </c>
      <c r="BP221" s="2314">
        <v>0</v>
      </c>
      <c r="BQ221" s="1482">
        <v>350</v>
      </c>
      <c r="BR221" s="132">
        <v>0</v>
      </c>
      <c r="BS221" s="866">
        <v>0</v>
      </c>
      <c r="BT221" s="54">
        <v>350</v>
      </c>
      <c r="BU221" s="1648">
        <v>0</v>
      </c>
      <c r="BV221" s="1482">
        <v>350</v>
      </c>
      <c r="BW221" s="866">
        <v>0</v>
      </c>
      <c r="BX221" s="25">
        <v>350</v>
      </c>
      <c r="BY221" s="1121">
        <v>350</v>
      </c>
      <c r="BZ221" s="831">
        <v>0</v>
      </c>
      <c r="CA221" s="831">
        <v>0</v>
      </c>
      <c r="CB221" s="831">
        <v>0</v>
      </c>
      <c r="CC221" s="831"/>
      <c r="CD221" s="831">
        <v>0</v>
      </c>
      <c r="CE221" s="471">
        <v>0</v>
      </c>
      <c r="CF221" s="1013">
        <v>9</v>
      </c>
      <c r="CG221" s="799">
        <v>0</v>
      </c>
      <c r="CH221" s="799">
        <v>0</v>
      </c>
      <c r="CI221" s="1016">
        <v>350</v>
      </c>
      <c r="CJ221" s="1016">
        <v>0</v>
      </c>
    </row>
    <row r="222" spans="1:98" s="1013" customFormat="1" ht="26.25" hidden="1" thickBot="1" x14ac:dyDescent="0.3">
      <c r="A222" s="478" t="s">
        <v>762</v>
      </c>
      <c r="B222" s="944" t="s">
        <v>930</v>
      </c>
      <c r="C222" s="945">
        <v>2018</v>
      </c>
      <c r="D222" s="83" t="s">
        <v>1268</v>
      </c>
      <c r="E222" s="945" t="s">
        <v>761</v>
      </c>
      <c r="F222" s="479" t="s">
        <v>761</v>
      </c>
      <c r="G222" s="229" t="s">
        <v>763</v>
      </c>
      <c r="H222" s="471">
        <v>449.80500000000001</v>
      </c>
      <c r="I222" s="2533">
        <f t="shared" si="21"/>
        <v>0</v>
      </c>
      <c r="J222" s="2643">
        <f t="shared" si="18"/>
        <v>449.80500000000001</v>
      </c>
      <c r="K222" s="2643">
        <f t="shared" si="19"/>
        <v>449.80500000000001</v>
      </c>
      <c r="L222" s="2643">
        <f t="shared" si="20"/>
        <v>0</v>
      </c>
      <c r="M222" s="866"/>
      <c r="N222" s="540">
        <v>0</v>
      </c>
      <c r="O222" s="483">
        <v>0</v>
      </c>
      <c r="P222" s="437">
        <v>0</v>
      </c>
      <c r="Q222" s="131">
        <v>0</v>
      </c>
      <c r="R222" s="2345">
        <v>0.19500000000000001</v>
      </c>
      <c r="S222" s="1459">
        <v>-0.19500000000000001</v>
      </c>
      <c r="T222" s="1463">
        <v>0</v>
      </c>
      <c r="U222" s="2337"/>
      <c r="V222" s="2337"/>
      <c r="W222" s="2337"/>
      <c r="X222" s="2337"/>
      <c r="Y222" s="131">
        <v>0</v>
      </c>
      <c r="Z222" s="564">
        <v>0</v>
      </c>
      <c r="AA222" s="564">
        <v>0</v>
      </c>
      <c r="AB222" s="132">
        <v>0</v>
      </c>
      <c r="AC222" s="479" t="s">
        <v>1209</v>
      </c>
      <c r="AD222" s="479" t="s">
        <v>1329</v>
      </c>
      <c r="AE222" s="504" t="s">
        <v>369</v>
      </c>
      <c r="AF222" s="285" t="s">
        <v>1283</v>
      </c>
      <c r="AG222" s="285" t="s">
        <v>1283</v>
      </c>
      <c r="AH222" s="479">
        <v>8</v>
      </c>
      <c r="AI222" s="730"/>
      <c r="AJ222" s="2416">
        <v>0.19499999999999318</v>
      </c>
      <c r="AK222" s="516">
        <v>0</v>
      </c>
      <c r="AL222" s="452">
        <v>0</v>
      </c>
      <c r="AM222" s="513">
        <v>0</v>
      </c>
      <c r="AN222" s="1142"/>
      <c r="AO222" s="1142"/>
      <c r="AP222" s="900"/>
      <c r="AQ222" s="1083" t="s">
        <v>632</v>
      </c>
      <c r="AR222" s="1084">
        <v>17</v>
      </c>
      <c r="AS222" s="1085"/>
      <c r="AT222" s="1086">
        <v>4</v>
      </c>
      <c r="AU222" s="1153"/>
      <c r="AV222" s="435"/>
      <c r="AW222" s="75"/>
      <c r="AX222" s="75"/>
      <c r="AY222" s="75"/>
      <c r="AZ222" s="479" t="s">
        <v>1209</v>
      </c>
      <c r="BA222" s="479"/>
      <c r="BB222" s="479" t="s">
        <v>1209</v>
      </c>
      <c r="BC222" s="479" t="s">
        <v>1209</v>
      </c>
      <c r="BD222" s="479" t="s">
        <v>1209</v>
      </c>
      <c r="BE222" s="479" t="s">
        <v>1853</v>
      </c>
      <c r="BF222" s="915" t="s">
        <v>1449</v>
      </c>
      <c r="BG222" s="1087" t="s">
        <v>1335</v>
      </c>
      <c r="BH222" s="436">
        <v>1</v>
      </c>
      <c r="BI222" s="436">
        <v>0</v>
      </c>
      <c r="BJ222" s="1088"/>
      <c r="BK222" s="1082"/>
      <c r="BL222" s="471">
        <v>350</v>
      </c>
      <c r="BM222" s="866">
        <v>99.805000000000007</v>
      </c>
      <c r="BN222" s="2105">
        <v>100</v>
      </c>
      <c r="BO222" s="2105">
        <v>100</v>
      </c>
      <c r="BP222" s="2314">
        <v>0.19499999999999318</v>
      </c>
      <c r="BQ222" s="1482">
        <v>99.805000000000007</v>
      </c>
      <c r="BR222" s="132">
        <v>0.19500000000000001</v>
      </c>
      <c r="BS222" s="866">
        <v>0</v>
      </c>
      <c r="BT222" s="54">
        <v>99.805000000000007</v>
      </c>
      <c r="BU222" s="1648">
        <v>0</v>
      </c>
      <c r="BV222" s="1482">
        <v>99.805000000000007</v>
      </c>
      <c r="BW222" s="866">
        <v>0</v>
      </c>
      <c r="BX222" s="25">
        <v>99.805000000000007</v>
      </c>
      <c r="BY222" s="1121">
        <v>99.805000000000007</v>
      </c>
      <c r="BZ222" s="831">
        <v>0</v>
      </c>
      <c r="CA222" s="831">
        <v>0</v>
      </c>
      <c r="CB222" s="831">
        <v>0</v>
      </c>
      <c r="CC222" s="831"/>
      <c r="CD222" s="831">
        <v>0</v>
      </c>
      <c r="CE222" s="471">
        <v>0</v>
      </c>
      <c r="CF222" s="1013">
        <v>9</v>
      </c>
      <c r="CG222" s="799">
        <v>0</v>
      </c>
      <c r="CH222" s="799">
        <v>0</v>
      </c>
      <c r="CI222" s="1016">
        <v>99.805000000000007</v>
      </c>
      <c r="CJ222" s="1016">
        <v>0.19500000000000001</v>
      </c>
    </row>
    <row r="223" spans="1:98" s="1013" customFormat="1" ht="26.25" hidden="1" thickBot="1" x14ac:dyDescent="0.3">
      <c r="A223" s="478" t="s">
        <v>764</v>
      </c>
      <c r="B223" s="566" t="s">
        <v>932</v>
      </c>
      <c r="C223" s="479">
        <v>2018</v>
      </c>
      <c r="D223" s="83" t="s">
        <v>284</v>
      </c>
      <c r="E223" s="480" t="s">
        <v>1527</v>
      </c>
      <c r="F223" s="479" t="s">
        <v>1527</v>
      </c>
      <c r="G223" s="229" t="s">
        <v>765</v>
      </c>
      <c r="H223" s="471">
        <v>110.1815</v>
      </c>
      <c r="I223" s="2533">
        <f t="shared" si="21"/>
        <v>0</v>
      </c>
      <c r="J223" s="2643">
        <f t="shared" si="18"/>
        <v>110.1815</v>
      </c>
      <c r="K223" s="2643">
        <f t="shared" si="19"/>
        <v>110.1815</v>
      </c>
      <c r="L223" s="2643">
        <f t="shared" si="20"/>
        <v>0</v>
      </c>
      <c r="M223" s="866"/>
      <c r="N223" s="540">
        <v>0</v>
      </c>
      <c r="O223" s="483">
        <v>0</v>
      </c>
      <c r="P223" s="437">
        <v>0</v>
      </c>
      <c r="Q223" s="131">
        <v>0</v>
      </c>
      <c r="R223" s="2345">
        <v>0</v>
      </c>
      <c r="S223" s="1459">
        <v>0</v>
      </c>
      <c r="T223" s="1463">
        <v>0</v>
      </c>
      <c r="U223" s="2337"/>
      <c r="V223" s="2337"/>
      <c r="W223" s="2337"/>
      <c r="X223" s="2337"/>
      <c r="Y223" s="131">
        <v>0</v>
      </c>
      <c r="Z223" s="131">
        <v>0</v>
      </c>
      <c r="AA223" s="564">
        <v>0</v>
      </c>
      <c r="AB223" s="132">
        <v>0</v>
      </c>
      <c r="AC223" s="565" t="s">
        <v>1209</v>
      </c>
      <c r="AD223" s="479" t="s">
        <v>1329</v>
      </c>
      <c r="AE223" s="504" t="s">
        <v>911</v>
      </c>
      <c r="AF223" s="285" t="s">
        <v>1283</v>
      </c>
      <c r="AG223" s="285" t="s">
        <v>1283</v>
      </c>
      <c r="AH223" s="479">
        <v>8</v>
      </c>
      <c r="AI223" s="730"/>
      <c r="AJ223" s="2416">
        <v>-0.18149999999999977</v>
      </c>
      <c r="AK223" s="516">
        <v>0</v>
      </c>
      <c r="AL223" s="452">
        <v>0</v>
      </c>
      <c r="AM223" s="513">
        <v>0</v>
      </c>
      <c r="AN223" s="1142"/>
      <c r="AO223" s="1142"/>
      <c r="AP223" s="900"/>
      <c r="AQ223" s="1083" t="s">
        <v>632</v>
      </c>
      <c r="AR223" s="1084">
        <v>17</v>
      </c>
      <c r="AS223" s="1085"/>
      <c r="AT223" s="1086">
        <v>2</v>
      </c>
      <c r="AU223" s="1153"/>
      <c r="AV223" s="435"/>
      <c r="AW223" s="75"/>
      <c r="AX223" s="150"/>
      <c r="AY223" s="150"/>
      <c r="AZ223" s="565" t="s">
        <v>1209</v>
      </c>
      <c r="BA223" s="565"/>
      <c r="BB223" s="565" t="s">
        <v>1209</v>
      </c>
      <c r="BC223" s="565" t="s">
        <v>1209</v>
      </c>
      <c r="BD223" s="565" t="s">
        <v>1209</v>
      </c>
      <c r="BE223" s="565" t="s">
        <v>1490</v>
      </c>
      <c r="BF223" s="915" t="s">
        <v>1492</v>
      </c>
      <c r="BG223" s="576" t="s">
        <v>1328</v>
      </c>
      <c r="BH223" s="436">
        <v>1</v>
      </c>
      <c r="BI223" s="436">
        <v>0</v>
      </c>
      <c r="BJ223" s="497"/>
      <c r="BK223" s="1082"/>
      <c r="BL223" s="471">
        <v>0</v>
      </c>
      <c r="BM223" s="866">
        <v>110.1815</v>
      </c>
      <c r="BN223" s="2105">
        <v>110</v>
      </c>
      <c r="BO223" s="2105">
        <v>110</v>
      </c>
      <c r="BP223" s="2314">
        <v>-0.18149999999999977</v>
      </c>
      <c r="BQ223" s="1482">
        <v>110.1815</v>
      </c>
      <c r="BR223" s="132">
        <v>0</v>
      </c>
      <c r="BS223" s="866">
        <v>0</v>
      </c>
      <c r="BT223" s="54">
        <v>110.1815</v>
      </c>
      <c r="BU223" s="1648">
        <v>0</v>
      </c>
      <c r="BV223" s="1482">
        <v>110.1815</v>
      </c>
      <c r="BW223" s="866">
        <v>0</v>
      </c>
      <c r="BX223" s="25">
        <v>110.1815</v>
      </c>
      <c r="BY223" s="831"/>
      <c r="BZ223" s="1202">
        <v>110.1815</v>
      </c>
      <c r="CA223" s="1121">
        <v>110.1815</v>
      </c>
      <c r="CB223" s="831">
        <v>110.1815</v>
      </c>
      <c r="CC223" s="831"/>
      <c r="CD223" s="831">
        <v>110.1815</v>
      </c>
      <c r="CE223" s="471">
        <v>110.1815</v>
      </c>
      <c r="CG223" s="799">
        <v>110.1815</v>
      </c>
      <c r="CH223" s="799">
        <v>0</v>
      </c>
      <c r="CI223" s="1016">
        <v>-0.18149999999999999</v>
      </c>
      <c r="CJ223" s="1016">
        <v>0</v>
      </c>
    </row>
    <row r="224" spans="1:98" s="985" customFormat="1" ht="26.25" hidden="1" thickBot="1" x14ac:dyDescent="0.3">
      <c r="A224" s="478" t="s">
        <v>769</v>
      </c>
      <c r="B224" s="557" t="s">
        <v>934</v>
      </c>
      <c r="C224" s="558">
        <v>2018</v>
      </c>
      <c r="D224" s="83" t="s">
        <v>284</v>
      </c>
      <c r="E224" s="480" t="s">
        <v>1528</v>
      </c>
      <c r="F224" s="480" t="s">
        <v>1528</v>
      </c>
      <c r="G224" s="229" t="s">
        <v>770</v>
      </c>
      <c r="H224" s="471">
        <v>1950.335</v>
      </c>
      <c r="I224" s="2533">
        <f t="shared" si="21"/>
        <v>0</v>
      </c>
      <c r="J224" s="2643">
        <f t="shared" si="18"/>
        <v>1950.335</v>
      </c>
      <c r="K224" s="2643">
        <f t="shared" si="19"/>
        <v>1950.335</v>
      </c>
      <c r="L224" s="2643">
        <f t="shared" si="20"/>
        <v>0</v>
      </c>
      <c r="M224" s="866"/>
      <c r="N224" s="540">
        <v>0</v>
      </c>
      <c r="O224" s="437">
        <v>0</v>
      </c>
      <c r="P224" s="437">
        <v>0</v>
      </c>
      <c r="Q224" s="131">
        <v>0</v>
      </c>
      <c r="R224" s="2345">
        <v>0</v>
      </c>
      <c r="S224" s="1459">
        <v>0</v>
      </c>
      <c r="T224" s="1463">
        <v>0</v>
      </c>
      <c r="U224" s="2337"/>
      <c r="V224" s="2337"/>
      <c r="W224" s="2337"/>
      <c r="X224" s="2337"/>
      <c r="Y224" s="131">
        <v>0</v>
      </c>
      <c r="Z224" s="564">
        <v>0</v>
      </c>
      <c r="AA224" s="564">
        <v>0</v>
      </c>
      <c r="AB224" s="132">
        <v>0</v>
      </c>
      <c r="AC224" s="558" t="s">
        <v>1209</v>
      </c>
      <c r="AD224" s="479" t="s">
        <v>1329</v>
      </c>
      <c r="AE224" s="504" t="s">
        <v>1007</v>
      </c>
      <c r="AF224" s="611" t="s">
        <v>1283</v>
      </c>
      <c r="AG224" s="611" t="s">
        <v>1283</v>
      </c>
      <c r="AH224" s="480">
        <v>12</v>
      </c>
      <c r="AI224" s="730"/>
      <c r="AJ224" s="2416">
        <v>0</v>
      </c>
      <c r="AK224" s="516">
        <v>0</v>
      </c>
      <c r="AL224" s="452">
        <v>0</v>
      </c>
      <c r="AM224" s="513">
        <v>0</v>
      </c>
      <c r="AN224" s="1142"/>
      <c r="AO224" s="1142"/>
      <c r="AP224" s="900"/>
      <c r="AQ224" s="1083" t="s">
        <v>632</v>
      </c>
      <c r="AR224" s="1084">
        <v>17</v>
      </c>
      <c r="AS224" s="1085"/>
      <c r="AT224" s="1086">
        <v>4</v>
      </c>
      <c r="AU224" s="1153"/>
      <c r="AV224" s="455"/>
      <c r="AW224" s="979" t="s">
        <v>1816</v>
      </c>
      <c r="AX224" s="1523"/>
      <c r="AY224" s="1523"/>
      <c r="AZ224" s="558" t="s">
        <v>1209</v>
      </c>
      <c r="BA224" s="558"/>
      <c r="BB224" s="558" t="s">
        <v>1209</v>
      </c>
      <c r="BC224" s="558" t="s">
        <v>1209</v>
      </c>
      <c r="BD224" s="558" t="s">
        <v>1209</v>
      </c>
      <c r="BE224" s="959" t="s">
        <v>1858</v>
      </c>
      <c r="BF224" s="1080" t="s">
        <v>1209</v>
      </c>
      <c r="BG224" s="962" t="s">
        <v>1209</v>
      </c>
      <c r="BH224" s="1076">
        <v>1</v>
      </c>
      <c r="BI224" s="1076">
        <v>0</v>
      </c>
      <c r="BJ224" s="983"/>
      <c r="BK224" s="1082"/>
      <c r="BL224" s="471">
        <v>0</v>
      </c>
      <c r="BM224" s="866">
        <v>1950.335</v>
      </c>
      <c r="BN224" s="2105">
        <v>1950.335</v>
      </c>
      <c r="BO224" s="2105">
        <v>1950.335</v>
      </c>
      <c r="BP224" s="2314">
        <v>0</v>
      </c>
      <c r="BQ224" s="1482">
        <v>1950.335</v>
      </c>
      <c r="BR224" s="132">
        <v>0</v>
      </c>
      <c r="BS224" s="866">
        <v>0</v>
      </c>
      <c r="BT224" s="54">
        <v>1950.335</v>
      </c>
      <c r="BU224" s="1648">
        <v>0</v>
      </c>
      <c r="BV224" s="1482">
        <v>1950.335</v>
      </c>
      <c r="BW224" s="866">
        <v>0</v>
      </c>
      <c r="BX224" s="25">
        <v>1950.335</v>
      </c>
      <c r="BY224" s="831"/>
      <c r="BZ224" s="1202">
        <v>1950.335</v>
      </c>
      <c r="CA224" s="1121">
        <v>1950.335</v>
      </c>
      <c r="CB224" s="831">
        <v>1186.5481600000001</v>
      </c>
      <c r="CC224" s="831"/>
      <c r="CD224" s="1081">
        <v>792.55983000000003</v>
      </c>
      <c r="CE224" s="960">
        <v>335.74853999999999</v>
      </c>
      <c r="CG224" s="799">
        <v>335.74799999999999</v>
      </c>
      <c r="CH224" s="799">
        <v>850.80016000000001</v>
      </c>
      <c r="CI224" s="1016">
        <v>763.78683999999998</v>
      </c>
      <c r="CJ224" s="1016">
        <v>0</v>
      </c>
    </row>
    <row r="225" spans="1:98" s="985" customFormat="1" ht="26.25" hidden="1" thickBot="1" x14ac:dyDescent="0.3">
      <c r="A225" s="1712" t="s">
        <v>793</v>
      </c>
      <c r="B225" s="2002" t="s">
        <v>943</v>
      </c>
      <c r="C225" s="959">
        <v>2018</v>
      </c>
      <c r="D225" s="1523" t="s">
        <v>284</v>
      </c>
      <c r="E225" s="1670" t="s">
        <v>794</v>
      </c>
      <c r="F225" s="1670" t="s">
        <v>794</v>
      </c>
      <c r="G225" s="1671" t="s">
        <v>233</v>
      </c>
      <c r="H225" s="960">
        <v>1917.7895699999999</v>
      </c>
      <c r="I225" s="2533">
        <f t="shared" si="21"/>
        <v>0</v>
      </c>
      <c r="J225" s="2643">
        <f t="shared" si="18"/>
        <v>1917.7895699999999</v>
      </c>
      <c r="K225" s="2643">
        <f t="shared" si="19"/>
        <v>1917.7895699999999</v>
      </c>
      <c r="L225" s="2643">
        <f t="shared" si="20"/>
        <v>0</v>
      </c>
      <c r="M225" s="1376"/>
      <c r="N225" s="2364">
        <v>0</v>
      </c>
      <c r="O225" s="1656">
        <v>0</v>
      </c>
      <c r="P225" s="1657">
        <v>0</v>
      </c>
      <c r="Q225" s="1658">
        <v>0</v>
      </c>
      <c r="R225" s="2355">
        <v>82.210430000000002</v>
      </c>
      <c r="S225" s="1659">
        <v>-82.210430000000002</v>
      </c>
      <c r="T225" s="1545">
        <v>0</v>
      </c>
      <c r="U225" s="2341"/>
      <c r="V225" s="2341"/>
      <c r="W225" s="2341"/>
      <c r="X225" s="2341"/>
      <c r="Y225" s="1658">
        <v>0</v>
      </c>
      <c r="Z225" s="1660">
        <v>0</v>
      </c>
      <c r="AA225" s="1660">
        <v>0</v>
      </c>
      <c r="AB225" s="1661">
        <v>0</v>
      </c>
      <c r="AC225" s="1662" t="s">
        <v>2418</v>
      </c>
      <c r="AD225" s="1662" t="s">
        <v>1329</v>
      </c>
      <c r="AE225" s="1677" t="s">
        <v>845</v>
      </c>
      <c r="AF225" s="1664" t="s">
        <v>1283</v>
      </c>
      <c r="AG225" s="1664" t="s">
        <v>1283</v>
      </c>
      <c r="AH225" s="1670">
        <v>1</v>
      </c>
      <c r="AI225" s="1546"/>
      <c r="AJ225" s="2416">
        <v>82.210430000000088</v>
      </c>
      <c r="AK225" s="516">
        <v>0</v>
      </c>
      <c r="AL225" s="1320">
        <v>0</v>
      </c>
      <c r="AM225" s="512">
        <v>0</v>
      </c>
      <c r="AN225" s="1171"/>
      <c r="AO225" s="1171"/>
      <c r="AP225" s="1364"/>
      <c r="AQ225" s="1722" t="s">
        <v>632</v>
      </c>
      <c r="AR225" s="1365">
        <v>17</v>
      </c>
      <c r="AS225" s="1366"/>
      <c r="AT225" s="1367">
        <v>6</v>
      </c>
      <c r="AU225" s="1368"/>
      <c r="AV225" s="455"/>
      <c r="AW225" s="979" t="s">
        <v>1942</v>
      </c>
      <c r="AX225" s="979"/>
      <c r="AY225" s="979"/>
      <c r="AZ225" s="1662" t="s">
        <v>2418</v>
      </c>
      <c r="BA225" s="1662"/>
      <c r="BB225" s="1662" t="s">
        <v>2418</v>
      </c>
      <c r="BC225" s="1662" t="s">
        <v>2198</v>
      </c>
      <c r="BD225" s="1662" t="s">
        <v>1209</v>
      </c>
      <c r="BE225" s="1662" t="s">
        <v>1209</v>
      </c>
      <c r="BF225" s="1080" t="s">
        <v>1209</v>
      </c>
      <c r="BG225" s="2003" t="s">
        <v>1209</v>
      </c>
      <c r="BH225" s="1076">
        <v>1</v>
      </c>
      <c r="BI225" s="1076">
        <v>0</v>
      </c>
      <c r="BJ225" s="983"/>
      <c r="BK225" s="1370"/>
      <c r="BL225" s="960">
        <v>0</v>
      </c>
      <c r="BM225" s="1376">
        <v>1917.7895699999999</v>
      </c>
      <c r="BN225" s="2112">
        <v>2000</v>
      </c>
      <c r="BO225" s="2112">
        <v>2000</v>
      </c>
      <c r="BP225" s="2315">
        <v>82.210430000000088</v>
      </c>
      <c r="BQ225" s="1538">
        <v>1917.7895699999999</v>
      </c>
      <c r="BR225" s="1661">
        <v>0</v>
      </c>
      <c r="BS225" s="1376">
        <v>0</v>
      </c>
      <c r="BT225" s="54">
        <v>1917.7895699999999</v>
      </c>
      <c r="BU225" s="1655">
        <v>0</v>
      </c>
      <c r="BV225" s="1538">
        <v>1917.7895699999999</v>
      </c>
      <c r="BW225" s="1376">
        <v>0</v>
      </c>
      <c r="BX225" s="980">
        <v>1917.7895699999999</v>
      </c>
      <c r="BY225" s="1369">
        <v>906.75346999999999</v>
      </c>
      <c r="BZ225" s="1369">
        <v>1011.0361</v>
      </c>
      <c r="CA225" s="1369">
        <v>0</v>
      </c>
      <c r="CB225" s="1081">
        <v>0</v>
      </c>
      <c r="CC225" s="1081"/>
      <c r="CD225" s="1081">
        <v>0</v>
      </c>
      <c r="CE225" s="960">
        <v>0</v>
      </c>
      <c r="CF225" s="985">
        <v>11</v>
      </c>
      <c r="CG225" s="1825">
        <v>0</v>
      </c>
      <c r="CH225" s="1825">
        <v>0</v>
      </c>
      <c r="CI225" s="2072">
        <v>1917.7895699999999</v>
      </c>
      <c r="CJ225" s="2072">
        <v>82.210430000000002</v>
      </c>
    </row>
    <row r="226" spans="1:98" s="1013" customFormat="1" ht="26.25" hidden="1" thickBot="1" x14ac:dyDescent="0.3">
      <c r="A226" s="946" t="s">
        <v>809</v>
      </c>
      <c r="B226" s="947" t="s">
        <v>950</v>
      </c>
      <c r="C226" s="948">
        <v>2018</v>
      </c>
      <c r="D226" s="275" t="s">
        <v>284</v>
      </c>
      <c r="E226" s="949" t="s">
        <v>810</v>
      </c>
      <c r="F226" s="949" t="s">
        <v>810</v>
      </c>
      <c r="G226" s="292" t="s">
        <v>811</v>
      </c>
      <c r="H226" s="950">
        <v>7757.60239</v>
      </c>
      <c r="I226" s="2533">
        <f t="shared" si="21"/>
        <v>0</v>
      </c>
      <c r="J226" s="2643">
        <f t="shared" si="18"/>
        <v>7757.60239</v>
      </c>
      <c r="K226" s="2643">
        <f t="shared" si="19"/>
        <v>7757.60239</v>
      </c>
      <c r="L226" s="2643">
        <f t="shared" si="20"/>
        <v>0</v>
      </c>
      <c r="M226" s="1439"/>
      <c r="N226" s="2375">
        <v>0</v>
      </c>
      <c r="O226" s="1469">
        <v>0</v>
      </c>
      <c r="P226" s="1477">
        <v>0</v>
      </c>
      <c r="Q226" s="953">
        <v>0</v>
      </c>
      <c r="R226" s="2356">
        <v>0</v>
      </c>
      <c r="S226" s="1460">
        <v>0</v>
      </c>
      <c r="T226" s="1464">
        <v>0</v>
      </c>
      <c r="U226" s="2336"/>
      <c r="V226" s="2336"/>
      <c r="W226" s="2336"/>
      <c r="X226" s="2336"/>
      <c r="Y226" s="953">
        <v>0</v>
      </c>
      <c r="Z226" s="953">
        <v>0</v>
      </c>
      <c r="AA226" s="953">
        <v>0</v>
      </c>
      <c r="AB226" s="952">
        <v>0</v>
      </c>
      <c r="AC226" s="948" t="s">
        <v>1209</v>
      </c>
      <c r="AD226" s="948" t="s">
        <v>1329</v>
      </c>
      <c r="AE226" s="955" t="s">
        <v>912</v>
      </c>
      <c r="AF226" s="954" t="s">
        <v>1283</v>
      </c>
      <c r="AG226" s="954" t="s">
        <v>1283</v>
      </c>
      <c r="AH226" s="949">
        <v>2</v>
      </c>
      <c r="AI226" s="1089"/>
      <c r="AJ226" s="2416">
        <v>0.24761000000034983</v>
      </c>
      <c r="AK226" s="516">
        <v>0</v>
      </c>
      <c r="AL226" s="1054">
        <v>0</v>
      </c>
      <c r="AM226" s="1056">
        <v>0</v>
      </c>
      <c r="AN226" s="1143"/>
      <c r="AO226" s="1143"/>
      <c r="AP226" s="1182"/>
      <c r="AQ226" s="1723" t="s">
        <v>632</v>
      </c>
      <c r="AR226" s="1183">
        <v>17</v>
      </c>
      <c r="AS226" s="1184"/>
      <c r="AT226" s="1185">
        <v>4</v>
      </c>
      <c r="AU226" s="1154"/>
      <c r="AV226" s="759"/>
      <c r="AW226" s="275" t="s">
        <v>1819</v>
      </c>
      <c r="AX226" s="275"/>
      <c r="AY226" s="275"/>
      <c r="AZ226" s="948" t="s">
        <v>1209</v>
      </c>
      <c r="BA226" s="948"/>
      <c r="BB226" s="948" t="s">
        <v>1209</v>
      </c>
      <c r="BC226" s="948" t="s">
        <v>1209</v>
      </c>
      <c r="BD226" s="948" t="s">
        <v>1209</v>
      </c>
      <c r="BE226" s="948" t="s">
        <v>1209</v>
      </c>
      <c r="BF226" s="1186" t="s">
        <v>1209</v>
      </c>
      <c r="BG226" s="1091" t="s">
        <v>1209</v>
      </c>
      <c r="BH226" s="755">
        <v>1</v>
      </c>
      <c r="BI226" s="755">
        <v>0</v>
      </c>
      <c r="BJ226" s="497"/>
      <c r="BK226" s="1090"/>
      <c r="BL226" s="950">
        <v>0</v>
      </c>
      <c r="BM226" s="1439">
        <v>7757.60239</v>
      </c>
      <c r="BN226" s="2122">
        <v>7757.85</v>
      </c>
      <c r="BO226" s="2122">
        <v>7757.85</v>
      </c>
      <c r="BP226" s="2314">
        <v>0.24761000000034983</v>
      </c>
      <c r="BQ226" s="1484">
        <v>7757.60239</v>
      </c>
      <c r="BR226" s="952">
        <v>0</v>
      </c>
      <c r="BS226" s="1439">
        <v>0</v>
      </c>
      <c r="BT226" s="54">
        <v>7757.60239</v>
      </c>
      <c r="BU226" s="952">
        <v>0</v>
      </c>
      <c r="BV226" s="1484">
        <v>7757.60239</v>
      </c>
      <c r="BW226" s="1439">
        <v>0</v>
      </c>
      <c r="BX226" s="293">
        <v>7757.60239</v>
      </c>
      <c r="BY226" s="1046"/>
      <c r="BZ226" s="1203">
        <v>7757.60239</v>
      </c>
      <c r="CA226" s="1122">
        <v>7757.60239</v>
      </c>
      <c r="CB226" s="1046">
        <v>4681.0839500000002</v>
      </c>
      <c r="CC226" s="1046"/>
      <c r="CD226" s="1046">
        <v>2978.1734299999998</v>
      </c>
      <c r="CE226" s="950">
        <v>2105.0734299999999</v>
      </c>
      <c r="CF226" s="1187"/>
      <c r="CG226" s="951">
        <v>2105.0734299999999</v>
      </c>
      <c r="CH226" s="951">
        <v>2576.0105200000003</v>
      </c>
      <c r="CI226" s="1362">
        <v>3076.7660499999997</v>
      </c>
      <c r="CJ226" s="1362">
        <v>0</v>
      </c>
    </row>
    <row r="227" spans="1:98" s="1934" customFormat="1" ht="27.75" hidden="1" customHeight="1" thickBot="1" x14ac:dyDescent="0.3">
      <c r="A227" s="1724" t="s">
        <v>992</v>
      </c>
      <c r="B227" s="1724" t="s">
        <v>2341</v>
      </c>
      <c r="C227" s="1725">
        <v>2019</v>
      </c>
      <c r="D227" s="1726" t="s">
        <v>1265</v>
      </c>
      <c r="E227" s="1727" t="s">
        <v>1535</v>
      </c>
      <c r="F227" s="1728" t="s">
        <v>1535</v>
      </c>
      <c r="G227" s="1729" t="s">
        <v>956</v>
      </c>
      <c r="H227" s="1730">
        <v>1174.7065500000001</v>
      </c>
      <c r="I227" s="2533">
        <f t="shared" si="21"/>
        <v>174.70655000000011</v>
      </c>
      <c r="J227" s="2643">
        <f t="shared" si="18"/>
        <v>1000</v>
      </c>
      <c r="K227" s="2643">
        <f t="shared" si="19"/>
        <v>1174.7065500000001</v>
      </c>
      <c r="L227" s="2643">
        <f t="shared" si="20"/>
        <v>0</v>
      </c>
      <c r="M227" s="2004"/>
      <c r="N227" s="2376">
        <v>0</v>
      </c>
      <c r="O227" s="1735">
        <v>0</v>
      </c>
      <c r="P227" s="1736">
        <v>0</v>
      </c>
      <c r="Q227" s="1739">
        <v>0</v>
      </c>
      <c r="R227" s="1739">
        <v>0</v>
      </c>
      <c r="S227" s="1732">
        <v>0</v>
      </c>
      <c r="T227" s="1738">
        <v>0</v>
      </c>
      <c r="U227" s="1738"/>
      <c r="V227" s="1738"/>
      <c r="W227" s="1738"/>
      <c r="X227" s="1738"/>
      <c r="Y227" s="1740">
        <v>0</v>
      </c>
      <c r="Z227" s="1741">
        <v>0</v>
      </c>
      <c r="AA227" s="1739">
        <v>0</v>
      </c>
      <c r="AB227" s="1737">
        <v>174.70654999999999</v>
      </c>
      <c r="AC227" s="1726" t="s">
        <v>2576</v>
      </c>
      <c r="AD227" s="1725" t="s">
        <v>1329</v>
      </c>
      <c r="AE227" s="1742" t="s">
        <v>355</v>
      </c>
      <c r="AF227" s="1743" t="s">
        <v>1283</v>
      </c>
      <c r="AG227" s="1743" t="s">
        <v>1283</v>
      </c>
      <c r="AH227" s="2140">
        <v>4</v>
      </c>
      <c r="AI227" s="2139"/>
      <c r="AJ227" s="2416">
        <v>0</v>
      </c>
      <c r="AK227" s="516">
        <v>1.1368683772161603E-13</v>
      </c>
      <c r="AL227" s="1937">
        <v>0</v>
      </c>
      <c r="AM227" s="1938">
        <v>0</v>
      </c>
      <c r="AN227" s="1939"/>
      <c r="AO227" s="1939"/>
      <c r="AP227" s="2035"/>
      <c r="AQ227" s="2036" t="s">
        <v>632</v>
      </c>
      <c r="AR227" s="2037">
        <v>17</v>
      </c>
      <c r="AS227" s="2037">
        <v>1</v>
      </c>
      <c r="AT227" s="2141">
        <v>6</v>
      </c>
      <c r="AU227" s="2038">
        <v>2</v>
      </c>
      <c r="AV227" s="783"/>
      <c r="AW227" s="958" t="s">
        <v>1943</v>
      </c>
      <c r="AX227" s="958"/>
      <c r="AY227" s="958"/>
      <c r="AZ227" s="1726" t="s">
        <v>2576</v>
      </c>
      <c r="BA227" s="1726"/>
      <c r="BB227" s="1726" t="s">
        <v>2433</v>
      </c>
      <c r="BC227" s="2142" t="s">
        <v>1209</v>
      </c>
      <c r="BD227" s="2142" t="s">
        <v>1209</v>
      </c>
      <c r="BE227" s="2142"/>
      <c r="BF227" s="2143" t="s">
        <v>1209</v>
      </c>
      <c r="BG227" s="2144" t="s">
        <v>1281</v>
      </c>
      <c r="BH227" s="1928">
        <v>0</v>
      </c>
      <c r="BI227" s="1928">
        <v>1</v>
      </c>
      <c r="BJ227" s="2046"/>
      <c r="BK227" s="2145"/>
      <c r="BL227" s="1730">
        <v>0</v>
      </c>
      <c r="BM227" s="2004">
        <v>1000</v>
      </c>
      <c r="BN227" s="2411">
        <v>1000</v>
      </c>
      <c r="BO227" s="2138">
        <v>1000</v>
      </c>
      <c r="BP227" s="2319">
        <v>0</v>
      </c>
      <c r="BQ227" s="1731">
        <v>0</v>
      </c>
      <c r="BR227" s="1737">
        <v>1000</v>
      </c>
      <c r="BS227" s="2004">
        <v>1000</v>
      </c>
      <c r="BT227" s="54">
        <v>1000</v>
      </c>
      <c r="BU227" s="1733">
        <v>1000</v>
      </c>
      <c r="BV227" s="2146">
        <v>0</v>
      </c>
      <c r="BW227" s="2147">
        <v>0</v>
      </c>
      <c r="BX227" s="1927">
        <v>0</v>
      </c>
      <c r="BY227" s="1092"/>
      <c r="BZ227" s="2148">
        <v>0</v>
      </c>
      <c r="CA227" s="2148">
        <v>0</v>
      </c>
      <c r="CB227" s="1092">
        <v>0</v>
      </c>
      <c r="CC227" s="1092"/>
      <c r="CD227" s="1092">
        <v>0</v>
      </c>
      <c r="CE227" s="2148">
        <v>0</v>
      </c>
      <c r="CF227" s="1934">
        <v>11</v>
      </c>
      <c r="CG227" s="2149">
        <v>0</v>
      </c>
      <c r="CH227" s="2149">
        <v>0</v>
      </c>
      <c r="CI227" s="2150">
        <v>0</v>
      </c>
      <c r="CJ227" s="2150">
        <v>1000</v>
      </c>
    </row>
    <row r="228" spans="1:98" s="985" customFormat="1" ht="39" hidden="1" customHeight="1" thickBot="1" x14ac:dyDescent="0.3">
      <c r="A228" s="477" t="s">
        <v>996</v>
      </c>
      <c r="B228" s="478" t="s">
        <v>2209</v>
      </c>
      <c r="C228" s="479">
        <v>2019</v>
      </c>
      <c r="D228" s="75" t="s">
        <v>1265</v>
      </c>
      <c r="E228" s="956" t="s">
        <v>794</v>
      </c>
      <c r="F228" s="480" t="s">
        <v>794</v>
      </c>
      <c r="G228" s="229" t="s">
        <v>960</v>
      </c>
      <c r="H228" s="471">
        <v>1157.74872</v>
      </c>
      <c r="I228" s="2533">
        <f t="shared" si="21"/>
        <v>0</v>
      </c>
      <c r="J228" s="2643">
        <f t="shared" si="18"/>
        <v>1157.74872</v>
      </c>
      <c r="K228" s="2643">
        <f t="shared" si="19"/>
        <v>1157.74872</v>
      </c>
      <c r="L228" s="2643">
        <f t="shared" si="20"/>
        <v>0</v>
      </c>
      <c r="M228" s="866"/>
      <c r="N228" s="540">
        <v>0</v>
      </c>
      <c r="O228" s="483">
        <v>0</v>
      </c>
      <c r="P228" s="437">
        <v>0</v>
      </c>
      <c r="Q228" s="131">
        <v>0</v>
      </c>
      <c r="R228" s="2345">
        <v>0</v>
      </c>
      <c r="S228" s="1455">
        <v>0</v>
      </c>
      <c r="T228" s="1463">
        <v>0</v>
      </c>
      <c r="U228" s="1463"/>
      <c r="V228" s="1463"/>
      <c r="W228" s="1463"/>
      <c r="X228" s="1463"/>
      <c r="Y228" s="533">
        <v>0</v>
      </c>
      <c r="Z228" s="536">
        <v>0</v>
      </c>
      <c r="AA228" s="131">
        <v>0</v>
      </c>
      <c r="AB228" s="132">
        <v>0</v>
      </c>
      <c r="AC228" s="479" t="s">
        <v>1209</v>
      </c>
      <c r="AD228" s="479" t="s">
        <v>1329</v>
      </c>
      <c r="AE228" s="489" t="s">
        <v>355</v>
      </c>
      <c r="AF228" s="285" t="s">
        <v>1283</v>
      </c>
      <c r="AG228" s="285" t="s">
        <v>1283</v>
      </c>
      <c r="AH228" s="480">
        <v>1</v>
      </c>
      <c r="AI228" s="730"/>
      <c r="AJ228" s="2416">
        <v>-7.2000000000116415E-4</v>
      </c>
      <c r="AK228" s="516">
        <v>0</v>
      </c>
      <c r="AL228" s="1320">
        <v>0</v>
      </c>
      <c r="AM228" s="512">
        <v>0</v>
      </c>
      <c r="AN228" s="1171"/>
      <c r="AO228" s="1171"/>
      <c r="AP228" s="1364"/>
      <c r="AQ228" s="1722" t="s">
        <v>632</v>
      </c>
      <c r="AR228" s="1365">
        <v>17</v>
      </c>
      <c r="AS228" s="1365">
        <v>1</v>
      </c>
      <c r="AT228" s="1367">
        <v>6</v>
      </c>
      <c r="AU228" s="1368"/>
      <c r="AV228" s="455"/>
      <c r="AW228" s="979" t="s">
        <v>1944</v>
      </c>
      <c r="AX228" s="979"/>
      <c r="AY228" s="979"/>
      <c r="AZ228" s="479" t="s">
        <v>1209</v>
      </c>
      <c r="BA228" s="479"/>
      <c r="BB228" s="479" t="s">
        <v>1209</v>
      </c>
      <c r="BC228" s="479" t="s">
        <v>2170</v>
      </c>
      <c r="BD228" s="1662" t="s">
        <v>2170</v>
      </c>
      <c r="BE228" s="1662" t="s">
        <v>1209</v>
      </c>
      <c r="BF228" s="1080" t="s">
        <v>1209</v>
      </c>
      <c r="BG228" s="2003" t="s">
        <v>1209</v>
      </c>
      <c r="BH228" s="403">
        <v>0</v>
      </c>
      <c r="BI228" s="403">
        <v>1</v>
      </c>
      <c r="BJ228" s="1078"/>
      <c r="BK228" s="1370"/>
      <c r="BL228" s="471">
        <v>0</v>
      </c>
      <c r="BM228" s="866">
        <v>1157.74872</v>
      </c>
      <c r="BN228" s="2105">
        <v>1157.748</v>
      </c>
      <c r="BO228" s="2105">
        <v>1157.748</v>
      </c>
      <c r="BP228" s="2314">
        <v>-7.2000000000116415E-4</v>
      </c>
      <c r="BQ228" s="1482">
        <v>130.68</v>
      </c>
      <c r="BR228" s="132">
        <v>1027.068</v>
      </c>
      <c r="BS228" s="866">
        <v>1027.06872</v>
      </c>
      <c r="BT228" s="54">
        <v>1157.74872</v>
      </c>
      <c r="BU228" s="1648">
        <v>0</v>
      </c>
      <c r="BV228" s="1482">
        <v>130.68</v>
      </c>
      <c r="BW228" s="866">
        <v>0</v>
      </c>
      <c r="BX228" s="980">
        <v>130.68</v>
      </c>
      <c r="BY228" s="1081"/>
      <c r="BZ228" s="2005">
        <v>130.68</v>
      </c>
      <c r="CA228" s="960">
        <v>0</v>
      </c>
      <c r="CB228" s="1081">
        <v>0</v>
      </c>
      <c r="CC228" s="1081"/>
      <c r="CD228" s="1081">
        <v>0</v>
      </c>
      <c r="CE228" s="960">
        <v>0</v>
      </c>
      <c r="CF228" s="985">
        <v>11</v>
      </c>
      <c r="CG228" s="799">
        <v>0</v>
      </c>
      <c r="CH228" s="799">
        <v>0</v>
      </c>
      <c r="CI228" s="1016">
        <v>130.68</v>
      </c>
      <c r="CJ228" s="1016">
        <v>1027.068</v>
      </c>
    </row>
    <row r="229" spans="1:98" s="985" customFormat="1" ht="26.25" hidden="1" thickBot="1" x14ac:dyDescent="0.3">
      <c r="A229" s="477" t="s">
        <v>997</v>
      </c>
      <c r="B229" s="478" t="s">
        <v>2327</v>
      </c>
      <c r="C229" s="479">
        <v>2019</v>
      </c>
      <c r="D229" s="75" t="s">
        <v>1265</v>
      </c>
      <c r="E229" s="956" t="s">
        <v>794</v>
      </c>
      <c r="F229" s="480" t="s">
        <v>794</v>
      </c>
      <c r="G229" s="229" t="s">
        <v>961</v>
      </c>
      <c r="H229" s="471">
        <v>399.72228999999999</v>
      </c>
      <c r="I229" s="2533">
        <f t="shared" si="21"/>
        <v>0</v>
      </c>
      <c r="J229" s="2643">
        <f t="shared" si="18"/>
        <v>399.72228999999999</v>
      </c>
      <c r="K229" s="2643">
        <f t="shared" si="19"/>
        <v>399.72228999999999</v>
      </c>
      <c r="L229" s="2643">
        <f t="shared" si="20"/>
        <v>0</v>
      </c>
      <c r="M229" s="866"/>
      <c r="N229" s="540">
        <v>0</v>
      </c>
      <c r="O229" s="483">
        <v>0</v>
      </c>
      <c r="P229" s="437">
        <v>0</v>
      </c>
      <c r="Q229" s="131">
        <v>0</v>
      </c>
      <c r="R229" s="2345">
        <v>0</v>
      </c>
      <c r="S229" s="1455">
        <v>0</v>
      </c>
      <c r="T229" s="1463">
        <v>0</v>
      </c>
      <c r="U229" s="1463"/>
      <c r="V229" s="1463"/>
      <c r="W229" s="1463"/>
      <c r="X229" s="1463"/>
      <c r="Y229" s="533">
        <v>0</v>
      </c>
      <c r="Z229" s="536">
        <v>0</v>
      </c>
      <c r="AA229" s="131">
        <v>0</v>
      </c>
      <c r="AB229" s="132">
        <v>0</v>
      </c>
      <c r="AC229" s="479" t="s">
        <v>1209</v>
      </c>
      <c r="AD229" s="479" t="s">
        <v>1329</v>
      </c>
      <c r="AE229" s="489" t="s">
        <v>355</v>
      </c>
      <c r="AF229" s="285" t="s">
        <v>1283</v>
      </c>
      <c r="AG229" s="285" t="s">
        <v>1283</v>
      </c>
      <c r="AH229" s="480">
        <v>1</v>
      </c>
      <c r="AI229" s="730"/>
      <c r="AJ229" s="2416">
        <v>0</v>
      </c>
      <c r="AK229" s="516">
        <v>0</v>
      </c>
      <c r="AL229" s="1320">
        <v>0</v>
      </c>
      <c r="AM229" s="512">
        <v>0</v>
      </c>
      <c r="AN229" s="1171"/>
      <c r="AO229" s="1171"/>
      <c r="AP229" s="1364"/>
      <c r="AQ229" s="1722" t="s">
        <v>632</v>
      </c>
      <c r="AR229" s="1365">
        <v>17</v>
      </c>
      <c r="AS229" s="1365">
        <v>1</v>
      </c>
      <c r="AT229" s="1367">
        <v>6</v>
      </c>
      <c r="AU229" s="1368"/>
      <c r="AV229" s="455"/>
      <c r="AW229" s="979" t="s">
        <v>1945</v>
      </c>
      <c r="AX229" s="979"/>
      <c r="AY229" s="979"/>
      <c r="AZ229" s="479" t="s">
        <v>1209</v>
      </c>
      <c r="BA229" s="479"/>
      <c r="BB229" s="479" t="s">
        <v>1209</v>
      </c>
      <c r="BC229" s="479" t="s">
        <v>2171</v>
      </c>
      <c r="BD229" s="1662" t="s">
        <v>2171</v>
      </c>
      <c r="BE229" s="1662" t="s">
        <v>1209</v>
      </c>
      <c r="BF229" s="1080" t="s">
        <v>1209</v>
      </c>
      <c r="BG229" s="2006" t="s">
        <v>1281</v>
      </c>
      <c r="BH229" s="403">
        <v>1</v>
      </c>
      <c r="BI229" s="403">
        <v>0</v>
      </c>
      <c r="BJ229" s="1078"/>
      <c r="BK229" s="1370"/>
      <c r="BL229" s="471">
        <v>0</v>
      </c>
      <c r="BM229" s="866">
        <v>399.72228999999999</v>
      </c>
      <c r="BN229" s="2105">
        <v>399.72229000000004</v>
      </c>
      <c r="BO229" s="2105">
        <v>399.72229000000004</v>
      </c>
      <c r="BP229" s="2314">
        <v>0</v>
      </c>
      <c r="BQ229" s="1482">
        <v>0</v>
      </c>
      <c r="BR229" s="438">
        <v>399.72228999999999</v>
      </c>
      <c r="BS229" s="866">
        <v>399.72228999999999</v>
      </c>
      <c r="BT229" s="54">
        <v>399.72228999999999</v>
      </c>
      <c r="BU229" s="1648">
        <v>0</v>
      </c>
      <c r="BV229" s="1482">
        <v>0</v>
      </c>
      <c r="BW229" s="866">
        <v>0</v>
      </c>
      <c r="BX229" s="980">
        <v>0</v>
      </c>
      <c r="BY229" s="1081"/>
      <c r="BZ229" s="960">
        <v>0</v>
      </c>
      <c r="CA229" s="960">
        <v>0</v>
      </c>
      <c r="CB229" s="1081">
        <v>0</v>
      </c>
      <c r="CC229" s="1081"/>
      <c r="CD229" s="1081">
        <v>0</v>
      </c>
      <c r="CE229" s="960">
        <v>0</v>
      </c>
      <c r="CF229" s="985">
        <v>12</v>
      </c>
      <c r="CG229" s="799">
        <v>0</v>
      </c>
      <c r="CH229" s="799">
        <v>0</v>
      </c>
      <c r="CI229" s="1016">
        <v>0</v>
      </c>
      <c r="CJ229" s="1016">
        <v>399.72228999999999</v>
      </c>
    </row>
    <row r="230" spans="1:98" s="985" customFormat="1" ht="26.25" hidden="1" thickBot="1" x14ac:dyDescent="0.3">
      <c r="A230" s="1668" t="s">
        <v>999</v>
      </c>
      <c r="B230" s="1712" t="s">
        <v>2344</v>
      </c>
      <c r="C230" s="1662">
        <v>2019</v>
      </c>
      <c r="D230" s="979" t="s">
        <v>1265</v>
      </c>
      <c r="E230" s="1669" t="s">
        <v>653</v>
      </c>
      <c r="F230" s="1670" t="s">
        <v>653</v>
      </c>
      <c r="G230" s="1671" t="s">
        <v>962</v>
      </c>
      <c r="H230" s="960">
        <v>780.74159999999995</v>
      </c>
      <c r="I230" s="2533">
        <f t="shared" si="21"/>
        <v>0</v>
      </c>
      <c r="J230" s="2643">
        <f t="shared" si="18"/>
        <v>780.74159999999995</v>
      </c>
      <c r="K230" s="2643">
        <f t="shared" si="19"/>
        <v>780.74159999999995</v>
      </c>
      <c r="L230" s="2643">
        <f t="shared" si="20"/>
        <v>0</v>
      </c>
      <c r="M230" s="1376"/>
      <c r="N230" s="2364">
        <v>0</v>
      </c>
      <c r="O230" s="1672">
        <v>0</v>
      </c>
      <c r="P230" s="1657">
        <v>0</v>
      </c>
      <c r="Q230" s="1658">
        <v>0</v>
      </c>
      <c r="R230" s="2355">
        <v>59.133400000000002</v>
      </c>
      <c r="S230" s="1673">
        <v>-59.133400000000002</v>
      </c>
      <c r="T230" s="1545">
        <v>0</v>
      </c>
      <c r="U230" s="1545"/>
      <c r="V230" s="1545"/>
      <c r="W230" s="1545"/>
      <c r="X230" s="1545"/>
      <c r="Y230" s="1674">
        <v>0</v>
      </c>
      <c r="Z230" s="1675">
        <v>0</v>
      </c>
      <c r="AA230" s="1658">
        <v>0</v>
      </c>
      <c r="AB230" s="1661">
        <v>0</v>
      </c>
      <c r="AC230" s="1662" t="s">
        <v>2419</v>
      </c>
      <c r="AD230" s="1662" t="s">
        <v>1329</v>
      </c>
      <c r="AE230" s="1676" t="s">
        <v>845</v>
      </c>
      <c r="AF230" s="1571" t="s">
        <v>1283</v>
      </c>
      <c r="AG230" s="1571" t="s">
        <v>1283</v>
      </c>
      <c r="AH230" s="1670">
        <v>11</v>
      </c>
      <c r="AI230" s="1546"/>
      <c r="AJ230" s="2416">
        <v>59.133400000000051</v>
      </c>
      <c r="AK230" s="516">
        <v>0</v>
      </c>
      <c r="AL230" s="1320">
        <v>0</v>
      </c>
      <c r="AM230" s="512">
        <v>0</v>
      </c>
      <c r="AN230" s="1171"/>
      <c r="AO230" s="1171"/>
      <c r="AP230" s="1364"/>
      <c r="AQ230" s="1722" t="s">
        <v>632</v>
      </c>
      <c r="AR230" s="1365">
        <v>17</v>
      </c>
      <c r="AS230" s="1365">
        <v>1</v>
      </c>
      <c r="AT230" s="1367">
        <v>6</v>
      </c>
      <c r="AU230" s="1368"/>
      <c r="AV230" s="455"/>
      <c r="AW230" s="979" t="s">
        <v>1946</v>
      </c>
      <c r="AX230" s="979"/>
      <c r="AY230" s="979"/>
      <c r="AZ230" s="1662" t="s">
        <v>2419</v>
      </c>
      <c r="BA230" s="1662"/>
      <c r="BB230" s="1662" t="s">
        <v>2419</v>
      </c>
      <c r="BC230" s="1662" t="s">
        <v>2172</v>
      </c>
      <c r="BD230" s="1662" t="s">
        <v>2172</v>
      </c>
      <c r="BE230" s="1662" t="s">
        <v>1209</v>
      </c>
      <c r="BF230" s="1080" t="s">
        <v>1209</v>
      </c>
      <c r="BG230" s="2003" t="s">
        <v>1209</v>
      </c>
      <c r="BH230" s="403">
        <v>1</v>
      </c>
      <c r="BI230" s="403">
        <v>0</v>
      </c>
      <c r="BJ230" s="1078"/>
      <c r="BK230" s="1370"/>
      <c r="BL230" s="960">
        <v>0</v>
      </c>
      <c r="BM230" s="1376">
        <v>780.74159999999995</v>
      </c>
      <c r="BN230" s="2112">
        <v>839.875</v>
      </c>
      <c r="BO230" s="2112">
        <v>839.875</v>
      </c>
      <c r="BP230" s="2315">
        <v>59.133400000000051</v>
      </c>
      <c r="BQ230" s="1538">
        <v>0</v>
      </c>
      <c r="BR230" s="1891">
        <v>780.74159999999995</v>
      </c>
      <c r="BS230" s="1376">
        <v>780.74159999999995</v>
      </c>
      <c r="BT230" s="54">
        <v>780.74159999999995</v>
      </c>
      <c r="BU230" s="1655">
        <v>0</v>
      </c>
      <c r="BV230" s="1538">
        <v>0</v>
      </c>
      <c r="BW230" s="1376">
        <v>0</v>
      </c>
      <c r="BX230" s="980">
        <v>0</v>
      </c>
      <c r="BY230" s="1081"/>
      <c r="BZ230" s="960">
        <v>0</v>
      </c>
      <c r="CA230" s="960">
        <v>0</v>
      </c>
      <c r="CB230" s="1081">
        <v>0</v>
      </c>
      <c r="CC230" s="1081"/>
      <c r="CD230" s="1081">
        <v>0</v>
      </c>
      <c r="CE230" s="960">
        <v>0</v>
      </c>
      <c r="CF230" s="985">
        <v>1</v>
      </c>
      <c r="CG230" s="1825">
        <v>0</v>
      </c>
      <c r="CH230" s="1825">
        <v>0</v>
      </c>
      <c r="CI230" s="2072">
        <v>0</v>
      </c>
      <c r="CJ230" s="2072">
        <v>839.875</v>
      </c>
    </row>
    <row r="231" spans="1:98" s="1013" customFormat="1" ht="26.25" hidden="1" thickBot="1" x14ac:dyDescent="0.3">
      <c r="A231" s="477" t="s">
        <v>1002</v>
      </c>
      <c r="B231" s="478" t="s">
        <v>1931</v>
      </c>
      <c r="C231" s="479">
        <v>2019</v>
      </c>
      <c r="D231" s="75" t="s">
        <v>1265</v>
      </c>
      <c r="E231" s="956" t="s">
        <v>810</v>
      </c>
      <c r="F231" s="480" t="s">
        <v>810</v>
      </c>
      <c r="G231" s="229" t="s">
        <v>965</v>
      </c>
      <c r="H231" s="471">
        <v>1410.4970000000001</v>
      </c>
      <c r="I231" s="2533">
        <f t="shared" si="21"/>
        <v>0</v>
      </c>
      <c r="J231" s="2643">
        <f t="shared" si="18"/>
        <v>1410.4970000000001</v>
      </c>
      <c r="K231" s="2643">
        <f t="shared" si="19"/>
        <v>1410.4970000000001</v>
      </c>
      <c r="L231" s="2643">
        <f t="shared" si="20"/>
        <v>0</v>
      </c>
      <c r="M231" s="866"/>
      <c r="N231" s="540">
        <v>0</v>
      </c>
      <c r="O231" s="483">
        <v>0</v>
      </c>
      <c r="P231" s="437">
        <v>0</v>
      </c>
      <c r="Q231" s="131">
        <v>0</v>
      </c>
      <c r="R231" s="2345">
        <v>0</v>
      </c>
      <c r="S231" s="1455">
        <v>0</v>
      </c>
      <c r="T231" s="1463">
        <v>0</v>
      </c>
      <c r="U231" s="1463"/>
      <c r="V231" s="1463"/>
      <c r="W231" s="1463"/>
      <c r="X231" s="1463"/>
      <c r="Y231" s="533">
        <v>0</v>
      </c>
      <c r="Z231" s="957">
        <v>0</v>
      </c>
      <c r="AA231" s="131">
        <v>0</v>
      </c>
      <c r="AB231" s="132">
        <v>0</v>
      </c>
      <c r="AC231" s="75" t="s">
        <v>1209</v>
      </c>
      <c r="AD231" s="479" t="s">
        <v>1329</v>
      </c>
      <c r="AE231" s="489" t="s">
        <v>1178</v>
      </c>
      <c r="AF231" s="285" t="s">
        <v>1283</v>
      </c>
      <c r="AG231" s="285" t="s">
        <v>1283</v>
      </c>
      <c r="AH231" s="480">
        <v>2</v>
      </c>
      <c r="AI231" s="730"/>
      <c r="AJ231" s="2416">
        <v>0</v>
      </c>
      <c r="AK231" s="516">
        <v>0</v>
      </c>
      <c r="AL231" s="452">
        <v>0</v>
      </c>
      <c r="AM231" s="513">
        <v>0</v>
      </c>
      <c r="AN231" s="1142"/>
      <c r="AO231" s="1142"/>
      <c r="AP231" s="900"/>
      <c r="AQ231" s="1083" t="s">
        <v>632</v>
      </c>
      <c r="AR231" s="1084">
        <v>17</v>
      </c>
      <c r="AS231" s="1084">
        <v>1</v>
      </c>
      <c r="AT231" s="1083">
        <v>4</v>
      </c>
      <c r="AU231" s="1153"/>
      <c r="AV231" s="435"/>
      <c r="AW231" s="75" t="s">
        <v>1817</v>
      </c>
      <c r="AX231" s="75"/>
      <c r="AY231" s="75"/>
      <c r="AZ231" s="75" t="s">
        <v>1209</v>
      </c>
      <c r="BA231" s="75"/>
      <c r="BB231" s="75" t="s">
        <v>1209</v>
      </c>
      <c r="BC231" s="75" t="s">
        <v>1855</v>
      </c>
      <c r="BD231" s="75" t="s">
        <v>1855</v>
      </c>
      <c r="BE231" s="75" t="s">
        <v>1855</v>
      </c>
      <c r="BF231" s="773" t="s">
        <v>1479</v>
      </c>
      <c r="BG231" s="982" t="s">
        <v>1337</v>
      </c>
      <c r="BH231" s="755">
        <v>1</v>
      </c>
      <c r="BI231" s="755">
        <v>0</v>
      </c>
      <c r="BJ231" s="653"/>
      <c r="BK231" s="1082"/>
      <c r="BL231" s="471">
        <v>0</v>
      </c>
      <c r="BM231" s="866">
        <v>1410.4970000000001</v>
      </c>
      <c r="BN231" s="2105">
        <v>1410.4970000000001</v>
      </c>
      <c r="BO231" s="2105">
        <v>1410.4970000000001</v>
      </c>
      <c r="BP231" s="2314">
        <v>0</v>
      </c>
      <c r="BQ231" s="1482">
        <v>1410.4970000000001</v>
      </c>
      <c r="BR231" s="132">
        <v>0</v>
      </c>
      <c r="BS231" s="866">
        <v>0</v>
      </c>
      <c r="BT231" s="54">
        <v>1410.4970000000001</v>
      </c>
      <c r="BU231" s="1648">
        <v>0</v>
      </c>
      <c r="BV231" s="1482">
        <v>1410.4970000000001</v>
      </c>
      <c r="BW231" s="866">
        <v>0</v>
      </c>
      <c r="BX231" s="25">
        <v>1410.4970000000001</v>
      </c>
      <c r="BY231" s="2007"/>
      <c r="BZ231" s="2008">
        <v>1410.4970000000001</v>
      </c>
      <c r="CA231" s="2009">
        <v>1410.4970000000001</v>
      </c>
      <c r="CB231" s="831">
        <v>0</v>
      </c>
      <c r="CC231" s="831"/>
      <c r="CD231" s="831">
        <v>0</v>
      </c>
      <c r="CE231" s="471">
        <v>0</v>
      </c>
      <c r="CG231" s="799">
        <v>0</v>
      </c>
      <c r="CH231" s="799">
        <v>0</v>
      </c>
      <c r="CI231" s="1016">
        <v>1410.4970000000001</v>
      </c>
      <c r="CJ231" s="1016">
        <v>0</v>
      </c>
    </row>
    <row r="232" spans="1:98" s="1013" customFormat="1" ht="26.25" hidden="1" thickBot="1" x14ac:dyDescent="0.3">
      <c r="A232" s="477" t="s">
        <v>1003</v>
      </c>
      <c r="B232" s="478" t="s">
        <v>1825</v>
      </c>
      <c r="C232" s="479">
        <v>2019</v>
      </c>
      <c r="D232" s="75" t="s">
        <v>1265</v>
      </c>
      <c r="E232" s="956" t="s">
        <v>810</v>
      </c>
      <c r="F232" s="480" t="s">
        <v>810</v>
      </c>
      <c r="G232" s="229" t="s">
        <v>966</v>
      </c>
      <c r="H232" s="471">
        <v>4826.652</v>
      </c>
      <c r="I232" s="2533">
        <f t="shared" si="21"/>
        <v>3326.652</v>
      </c>
      <c r="J232" s="2643">
        <f t="shared" ref="J232:J253" si="32">BL232+BM232</f>
        <v>1500</v>
      </c>
      <c r="K232" s="2643">
        <f t="shared" si="19"/>
        <v>4826.652</v>
      </c>
      <c r="L232" s="2643">
        <f t="shared" si="20"/>
        <v>0</v>
      </c>
      <c r="M232" s="866"/>
      <c r="N232" s="540">
        <v>0</v>
      </c>
      <c r="O232" s="483">
        <v>0</v>
      </c>
      <c r="P232" s="437">
        <v>0</v>
      </c>
      <c r="Q232" s="131">
        <v>0</v>
      </c>
      <c r="R232" s="2345">
        <v>0</v>
      </c>
      <c r="S232" s="1455">
        <v>0</v>
      </c>
      <c r="T232" s="1463">
        <v>0</v>
      </c>
      <c r="U232" s="1463"/>
      <c r="V232" s="1463"/>
      <c r="W232" s="1463"/>
      <c r="X232" s="1463"/>
      <c r="Y232" s="533">
        <v>0</v>
      </c>
      <c r="Z232" s="533">
        <v>0</v>
      </c>
      <c r="AA232" s="131">
        <v>3326.652</v>
      </c>
      <c r="AB232" s="132">
        <v>0</v>
      </c>
      <c r="AC232" s="75" t="s">
        <v>1209</v>
      </c>
      <c r="AD232" s="479" t="s">
        <v>1329</v>
      </c>
      <c r="AE232" s="489" t="s">
        <v>912</v>
      </c>
      <c r="AF232" s="285" t="s">
        <v>1283</v>
      </c>
      <c r="AG232" s="285" t="s">
        <v>1283</v>
      </c>
      <c r="AH232" s="480">
        <v>2</v>
      </c>
      <c r="AI232" s="730"/>
      <c r="AJ232" s="2416">
        <v>0</v>
      </c>
      <c r="AK232" s="516">
        <v>0</v>
      </c>
      <c r="AL232" s="452">
        <v>0</v>
      </c>
      <c r="AM232" s="513">
        <v>0</v>
      </c>
      <c r="AN232" s="1142"/>
      <c r="AO232" s="1142"/>
      <c r="AP232" s="900"/>
      <c r="AQ232" s="1083" t="s">
        <v>632</v>
      </c>
      <c r="AR232" s="1084">
        <v>17</v>
      </c>
      <c r="AS232" s="1084">
        <v>1</v>
      </c>
      <c r="AT232" s="1083">
        <v>4</v>
      </c>
      <c r="AU232" s="1153"/>
      <c r="AV232" s="435"/>
      <c r="AW232" s="75" t="s">
        <v>1818</v>
      </c>
      <c r="AX232" s="75"/>
      <c r="AY232" s="75"/>
      <c r="AZ232" s="75" t="s">
        <v>1209</v>
      </c>
      <c r="BA232" s="75"/>
      <c r="BB232" s="75" t="s">
        <v>1209</v>
      </c>
      <c r="BC232" s="75" t="s">
        <v>1209</v>
      </c>
      <c r="BD232" s="75" t="s">
        <v>1209</v>
      </c>
      <c r="BE232" s="958" t="s">
        <v>1856</v>
      </c>
      <c r="BF232" s="773" t="s">
        <v>1480</v>
      </c>
      <c r="BG232" s="1087" t="s">
        <v>1281</v>
      </c>
      <c r="BH232" s="755">
        <v>0</v>
      </c>
      <c r="BI232" s="755">
        <v>1</v>
      </c>
      <c r="BJ232" s="653"/>
      <c r="BK232" s="1082"/>
      <c r="BL232" s="471">
        <v>0</v>
      </c>
      <c r="BM232" s="866">
        <v>1500</v>
      </c>
      <c r="BN232" s="2105">
        <v>1500</v>
      </c>
      <c r="BO232" s="2105">
        <v>1500</v>
      </c>
      <c r="BP232" s="2314">
        <v>0</v>
      </c>
      <c r="BQ232" s="1482">
        <v>1500</v>
      </c>
      <c r="BR232" s="132">
        <v>0</v>
      </c>
      <c r="BS232" s="866">
        <v>0</v>
      </c>
      <c r="BT232" s="54">
        <v>1500</v>
      </c>
      <c r="BU232" s="1648">
        <v>0</v>
      </c>
      <c r="BV232" s="1482">
        <v>1500</v>
      </c>
      <c r="BW232" s="866">
        <v>0</v>
      </c>
      <c r="BX232" s="25">
        <v>1500</v>
      </c>
      <c r="BY232" s="831"/>
      <c r="BZ232" s="1204">
        <v>1500</v>
      </c>
      <c r="CA232" s="1123">
        <v>1500</v>
      </c>
      <c r="CB232" s="1092">
        <v>1500</v>
      </c>
      <c r="CC232" s="1092"/>
      <c r="CD232" s="831">
        <v>0</v>
      </c>
      <c r="CE232" s="471">
        <v>0</v>
      </c>
      <c r="CG232" s="799">
        <v>0</v>
      </c>
      <c r="CH232" s="799">
        <v>1500</v>
      </c>
      <c r="CI232" s="1016">
        <v>0</v>
      </c>
      <c r="CJ232" s="1016">
        <v>0</v>
      </c>
    </row>
    <row r="233" spans="1:98" s="985" customFormat="1" ht="30.75" hidden="1" thickBot="1" x14ac:dyDescent="0.3">
      <c r="A233" s="477" t="s">
        <v>1004</v>
      </c>
      <c r="B233" s="478" t="s">
        <v>2266</v>
      </c>
      <c r="C233" s="479">
        <v>2019</v>
      </c>
      <c r="D233" s="75" t="s">
        <v>1265</v>
      </c>
      <c r="E233" s="956" t="s">
        <v>967</v>
      </c>
      <c r="F233" s="480" t="s">
        <v>967</v>
      </c>
      <c r="G233" s="229" t="s">
        <v>968</v>
      </c>
      <c r="H233" s="471">
        <v>1913.8389999999999</v>
      </c>
      <c r="I233" s="2533">
        <f t="shared" si="21"/>
        <v>0</v>
      </c>
      <c r="J233" s="2643">
        <f t="shared" si="32"/>
        <v>1913.8389999999999</v>
      </c>
      <c r="K233" s="2643">
        <f t="shared" ref="K233:K253" si="33">J233+I233</f>
        <v>1913.8389999999999</v>
      </c>
      <c r="L233" s="2643">
        <f t="shared" ref="L233:L253" si="34">K233-H233</f>
        <v>0</v>
      </c>
      <c r="M233" s="866"/>
      <c r="N233" s="540">
        <v>0</v>
      </c>
      <c r="O233" s="483">
        <v>0</v>
      </c>
      <c r="P233" s="437">
        <v>0</v>
      </c>
      <c r="Q233" s="131">
        <v>0</v>
      </c>
      <c r="R233" s="2345">
        <v>0</v>
      </c>
      <c r="S233" s="1455">
        <v>0</v>
      </c>
      <c r="T233" s="1463">
        <v>0</v>
      </c>
      <c r="U233" s="1463"/>
      <c r="V233" s="1463"/>
      <c r="W233" s="1463"/>
      <c r="X233" s="1463"/>
      <c r="Y233" s="533">
        <v>0</v>
      </c>
      <c r="Z233" s="536">
        <v>0</v>
      </c>
      <c r="AA233" s="131">
        <v>0</v>
      </c>
      <c r="AB233" s="132">
        <v>0</v>
      </c>
      <c r="AC233" s="479" t="s">
        <v>1209</v>
      </c>
      <c r="AD233" s="479" t="s">
        <v>1329</v>
      </c>
      <c r="AE233" s="489" t="s">
        <v>37</v>
      </c>
      <c r="AF233" s="285" t="s">
        <v>1283</v>
      </c>
      <c r="AG233" s="285" t="s">
        <v>1283</v>
      </c>
      <c r="AH233" s="480">
        <v>2</v>
      </c>
      <c r="AI233" s="730"/>
      <c r="AJ233" s="2416">
        <v>0</v>
      </c>
      <c r="AK233" s="516">
        <v>0</v>
      </c>
      <c r="AL233" s="1320">
        <v>0</v>
      </c>
      <c r="AM233" s="512">
        <v>0</v>
      </c>
      <c r="AN233" s="1171"/>
      <c r="AO233" s="1171"/>
      <c r="AP233" s="1364"/>
      <c r="AQ233" s="1722" t="s">
        <v>632</v>
      </c>
      <c r="AR233" s="1365">
        <v>17</v>
      </c>
      <c r="AS233" s="1365">
        <v>1</v>
      </c>
      <c r="AT233" s="1367">
        <v>6</v>
      </c>
      <c r="AU233" s="1368"/>
      <c r="AV233" s="455"/>
      <c r="AW233" s="979" t="s">
        <v>1947</v>
      </c>
      <c r="AX233" s="979"/>
      <c r="AY233" s="979"/>
      <c r="AZ233" s="479" t="s">
        <v>1209</v>
      </c>
      <c r="BA233" s="479"/>
      <c r="BB233" s="479" t="s">
        <v>1209</v>
      </c>
      <c r="BC233" s="479" t="s">
        <v>2173</v>
      </c>
      <c r="BD233" s="1662" t="s">
        <v>2173</v>
      </c>
      <c r="BE233" s="1662" t="s">
        <v>1451</v>
      </c>
      <c r="BF233" s="1080" t="s">
        <v>1451</v>
      </c>
      <c r="BG233" s="2003" t="s">
        <v>1209</v>
      </c>
      <c r="BH233" s="403">
        <v>0</v>
      </c>
      <c r="BI233" s="403">
        <v>1</v>
      </c>
      <c r="BJ233" s="1078"/>
      <c r="BK233" s="1370"/>
      <c r="BL233" s="471">
        <v>0</v>
      </c>
      <c r="BM233" s="866">
        <v>1913.8389999999999</v>
      </c>
      <c r="BN233" s="2105">
        <v>1913.8389999999999</v>
      </c>
      <c r="BO233" s="2105">
        <v>1913.8389999999999</v>
      </c>
      <c r="BP233" s="2314">
        <v>0</v>
      </c>
      <c r="BQ233" s="1482">
        <v>0</v>
      </c>
      <c r="BR233" s="438">
        <v>1913.8389999999999</v>
      </c>
      <c r="BS233" s="866">
        <v>1913.8389999999999</v>
      </c>
      <c r="BT233" s="54">
        <v>1913.8389999999999</v>
      </c>
      <c r="BU233" s="1648">
        <v>0</v>
      </c>
      <c r="BV233" s="1482">
        <v>0</v>
      </c>
      <c r="BW233" s="1498">
        <v>0</v>
      </c>
      <c r="BX233" s="980">
        <v>0</v>
      </c>
      <c r="BY233" s="1081"/>
      <c r="BZ233" s="960">
        <v>0</v>
      </c>
      <c r="CA233" s="960">
        <v>0</v>
      </c>
      <c r="CB233" s="1081">
        <v>0</v>
      </c>
      <c r="CC233" s="1081"/>
      <c r="CD233" s="1081">
        <v>0</v>
      </c>
      <c r="CE233" s="960">
        <v>0</v>
      </c>
      <c r="CF233" s="985">
        <v>9</v>
      </c>
      <c r="CG233" s="799">
        <v>0</v>
      </c>
      <c r="CH233" s="799">
        <v>0</v>
      </c>
      <c r="CI233" s="1016"/>
      <c r="CJ233" s="1016">
        <v>1913.8389999999999</v>
      </c>
    </row>
    <row r="234" spans="1:98" s="1036" customFormat="1" ht="28.5" hidden="1" customHeight="1" thickBot="1" x14ac:dyDescent="0.3">
      <c r="A234" s="466" t="s">
        <v>1338</v>
      </c>
      <c r="B234" s="466" t="s">
        <v>2342</v>
      </c>
      <c r="C234" s="467">
        <v>2019</v>
      </c>
      <c r="D234" s="301" t="s">
        <v>1485</v>
      </c>
      <c r="E234" s="1550" t="s">
        <v>1537</v>
      </c>
      <c r="F234" s="1550" t="s">
        <v>1537</v>
      </c>
      <c r="G234" s="2675" t="s">
        <v>1339</v>
      </c>
      <c r="H234" s="1714">
        <v>5648.8720000000003</v>
      </c>
      <c r="I234" s="85">
        <v>5648.8720000000003</v>
      </c>
      <c r="J234" s="1552"/>
      <c r="K234" s="1552">
        <v>0</v>
      </c>
      <c r="L234" s="2775">
        <v>0</v>
      </c>
      <c r="M234" s="2783"/>
      <c r="N234" s="2777">
        <v>0</v>
      </c>
      <c r="O234" s="2676">
        <v>0</v>
      </c>
      <c r="P234" s="2677">
        <v>0</v>
      </c>
      <c r="Q234" s="2678">
        <v>0</v>
      </c>
      <c r="R234" s="2671">
        <v>0</v>
      </c>
      <c r="S234" s="1168">
        <v>0</v>
      </c>
      <c r="T234" s="2618">
        <f>R234+S234</f>
        <v>0</v>
      </c>
      <c r="U234" s="2618"/>
      <c r="V234" s="2618"/>
      <c r="W234" s="2618"/>
      <c r="X234" s="2618"/>
      <c r="Y234" s="2679">
        <v>0</v>
      </c>
      <c r="Z234" s="2679">
        <v>0</v>
      </c>
      <c r="AA234" s="2678">
        <v>0</v>
      </c>
      <c r="AB234" s="849">
        <v>0</v>
      </c>
      <c r="AC234" s="301" t="s">
        <v>1209</v>
      </c>
      <c r="AD234" s="301" t="s">
        <v>1329</v>
      </c>
      <c r="AE234" s="2680" t="s">
        <v>1352</v>
      </c>
      <c r="AF234" s="1572" t="s">
        <v>1283</v>
      </c>
      <c r="AG234" s="1572" t="s">
        <v>1283</v>
      </c>
      <c r="AH234" s="1550">
        <v>5</v>
      </c>
      <c r="AJ234" s="991"/>
      <c r="AK234" s="516">
        <f>H234-I234-T234-Y234-Z234-AA234-AB234</f>
        <v>0</v>
      </c>
      <c r="AL234" s="1350">
        <f>T234-R234-S234</f>
        <v>0</v>
      </c>
      <c r="AM234" s="1126">
        <f>T234-N234-O234-P234-Q234</f>
        <v>0</v>
      </c>
      <c r="AN234" s="1144"/>
      <c r="AO234" s="1144"/>
      <c r="AP234" s="1349"/>
      <c r="AQ234" s="2692" t="s">
        <v>632</v>
      </c>
      <c r="AR234" s="1350">
        <v>17</v>
      </c>
      <c r="AS234" s="1350">
        <v>2</v>
      </c>
      <c r="AT234" s="818">
        <v>7</v>
      </c>
      <c r="AU234" s="1150"/>
      <c r="AV234" s="1355"/>
      <c r="AW234" s="650" t="s">
        <v>2505</v>
      </c>
      <c r="AX234" s="1211"/>
      <c r="AY234" s="301" t="s">
        <v>1209</v>
      </c>
      <c r="AZ234" s="2123" t="s">
        <v>1209</v>
      </c>
      <c r="BA234" s="2123"/>
      <c r="BB234" s="2123" t="s">
        <v>1209</v>
      </c>
      <c r="BC234" s="59" t="s">
        <v>2201</v>
      </c>
      <c r="BD234" s="1277" t="s">
        <v>2174</v>
      </c>
      <c r="BE234" s="607" t="s">
        <v>1854</v>
      </c>
      <c r="BF234" s="1357" t="s">
        <v>1209</v>
      </c>
      <c r="BG234" s="1358" t="s">
        <v>1340</v>
      </c>
      <c r="BH234" s="453"/>
      <c r="BI234" s="453"/>
      <c r="BJ234" s="465"/>
      <c r="BK234" s="1351"/>
      <c r="BL234" s="54">
        <v>0</v>
      </c>
      <c r="BM234" s="364">
        <v>5648.8720000000003</v>
      </c>
      <c r="BN234" s="364"/>
      <c r="BO234" s="2073">
        <v>5648.8719999999994</v>
      </c>
      <c r="BP234" s="2313">
        <v>0</v>
      </c>
      <c r="BQ234" s="1480">
        <v>0</v>
      </c>
      <c r="BR234" s="38">
        <v>5648.8720000000003</v>
      </c>
      <c r="BS234" s="320">
        <v>5648.8720000000003</v>
      </c>
      <c r="BT234" s="54">
        <f>BQ234+BS234</f>
        <v>5648.8720000000003</v>
      </c>
      <c r="BU234" s="1499">
        <v>5648.8720000000003</v>
      </c>
      <c r="BV234" s="1480">
        <v>0</v>
      </c>
      <c r="BW234" s="320">
        <v>0</v>
      </c>
      <c r="BX234" s="1220">
        <v>0</v>
      </c>
      <c r="BY234" s="1356"/>
      <c r="BZ234" s="1356">
        <v>0</v>
      </c>
      <c r="CA234" s="1356">
        <v>0</v>
      </c>
      <c r="CB234" s="1356">
        <v>0</v>
      </c>
      <c r="CC234" s="1356"/>
      <c r="CD234" s="1356">
        <v>0</v>
      </c>
      <c r="CE234" s="1309">
        <v>0</v>
      </c>
      <c r="CF234" s="1036">
        <v>12</v>
      </c>
      <c r="CG234" s="250">
        <v>0</v>
      </c>
      <c r="CH234" s="250">
        <v>0</v>
      </c>
      <c r="CI234" s="1043">
        <v>0</v>
      </c>
      <c r="CJ234" s="1043">
        <v>5648.8720000000003</v>
      </c>
      <c r="CK234" s="1552">
        <v>0</v>
      </c>
      <c r="CL234" s="1552">
        <v>0</v>
      </c>
      <c r="CM234" s="1209">
        <v>0</v>
      </c>
      <c r="CN234" s="1209"/>
      <c r="CO234" s="2765"/>
    </row>
    <row r="235" spans="1:98" s="1013" customFormat="1" ht="26.25" hidden="1" thickBot="1" x14ac:dyDescent="0.3">
      <c r="A235" s="478" t="s">
        <v>1341</v>
      </c>
      <c r="B235" s="478" t="s">
        <v>2210</v>
      </c>
      <c r="C235" s="479">
        <v>2019</v>
      </c>
      <c r="D235" s="83" t="s">
        <v>1485</v>
      </c>
      <c r="E235" s="956" t="s">
        <v>752</v>
      </c>
      <c r="F235" s="480" t="s">
        <v>752</v>
      </c>
      <c r="G235" s="243" t="s">
        <v>1342</v>
      </c>
      <c r="H235" s="471">
        <v>664.89499999999998</v>
      </c>
      <c r="I235" s="2533">
        <f t="shared" si="21"/>
        <v>0</v>
      </c>
      <c r="J235" s="2643">
        <f t="shared" si="32"/>
        <v>664.89499999999998</v>
      </c>
      <c r="K235" s="2643">
        <f t="shared" si="33"/>
        <v>664.89499999999998</v>
      </c>
      <c r="L235" s="2643">
        <f t="shared" si="34"/>
        <v>0</v>
      </c>
      <c r="M235" s="866"/>
      <c r="N235" s="540">
        <v>0</v>
      </c>
      <c r="O235" s="483">
        <v>0</v>
      </c>
      <c r="P235" s="437">
        <v>0</v>
      </c>
      <c r="Q235" s="131">
        <v>0</v>
      </c>
      <c r="R235" s="2345">
        <v>0</v>
      </c>
      <c r="S235" s="1455">
        <v>0</v>
      </c>
      <c r="T235" s="1463">
        <v>0</v>
      </c>
      <c r="U235" s="1463"/>
      <c r="V235" s="1463"/>
      <c r="W235" s="1463"/>
      <c r="X235" s="1463"/>
      <c r="Y235" s="533">
        <v>0</v>
      </c>
      <c r="Z235" s="533">
        <v>0</v>
      </c>
      <c r="AA235" s="131">
        <v>0</v>
      </c>
      <c r="AB235" s="132">
        <v>0</v>
      </c>
      <c r="AC235" s="75" t="s">
        <v>1209</v>
      </c>
      <c r="AD235" s="75" t="s">
        <v>1329</v>
      </c>
      <c r="AE235" s="379" t="s">
        <v>846</v>
      </c>
      <c r="AF235" s="285" t="s">
        <v>1283</v>
      </c>
      <c r="AG235" s="285" t="s">
        <v>1283</v>
      </c>
      <c r="AH235" s="480">
        <v>10</v>
      </c>
      <c r="AI235" s="730" t="s">
        <v>2943</v>
      </c>
      <c r="AJ235" s="2416">
        <v>0</v>
      </c>
      <c r="AK235" s="516">
        <v>0</v>
      </c>
      <c r="AL235" s="452">
        <v>0</v>
      </c>
      <c r="AM235" s="513">
        <v>0</v>
      </c>
      <c r="AN235" s="1142"/>
      <c r="AO235" s="1142"/>
      <c r="AP235" s="900"/>
      <c r="AQ235" s="1083" t="s">
        <v>632</v>
      </c>
      <c r="AR235" s="1084">
        <v>17</v>
      </c>
      <c r="AS235" s="1084">
        <v>2</v>
      </c>
      <c r="AT235" s="662">
        <v>5</v>
      </c>
      <c r="AU235" s="1153"/>
      <c r="AV235" s="2010"/>
      <c r="AW235" s="75" t="s">
        <v>1936</v>
      </c>
      <c r="AX235" s="75"/>
      <c r="AY235" s="75"/>
      <c r="AZ235" s="75" t="s">
        <v>1209</v>
      </c>
      <c r="BA235" s="75"/>
      <c r="BB235" s="75" t="s">
        <v>1209</v>
      </c>
      <c r="BC235" s="75" t="s">
        <v>1209</v>
      </c>
      <c r="BD235" s="75" t="s">
        <v>1209</v>
      </c>
      <c r="BE235" s="979" t="s">
        <v>1860</v>
      </c>
      <c r="BF235" s="773" t="s">
        <v>1209</v>
      </c>
      <c r="BG235" s="1962" t="s">
        <v>1340</v>
      </c>
      <c r="BH235" s="436"/>
      <c r="BI235" s="436"/>
      <c r="BJ235" s="653"/>
      <c r="BK235" s="1082"/>
      <c r="BL235" s="471">
        <v>0</v>
      </c>
      <c r="BM235" s="866">
        <v>664.89499999999998</v>
      </c>
      <c r="BN235" s="2105">
        <v>664.89499999999998</v>
      </c>
      <c r="BO235" s="2105">
        <v>664.89499999999998</v>
      </c>
      <c r="BP235" s="2314">
        <v>0</v>
      </c>
      <c r="BQ235" s="1482">
        <v>664.89499999999998</v>
      </c>
      <c r="BR235" s="132">
        <v>0</v>
      </c>
      <c r="BS235" s="866">
        <v>0</v>
      </c>
      <c r="BT235" s="54">
        <v>664.89499999999998</v>
      </c>
      <c r="BU235" s="1648">
        <v>0</v>
      </c>
      <c r="BV235" s="1482">
        <v>664.89499999999998</v>
      </c>
      <c r="BW235" s="866">
        <v>0</v>
      </c>
      <c r="BX235" s="25">
        <v>664.89499999999998</v>
      </c>
      <c r="BY235" s="1389">
        <v>664.89499999999998</v>
      </c>
      <c r="BZ235" s="2011">
        <v>0</v>
      </c>
      <c r="CA235" s="2011">
        <v>0</v>
      </c>
      <c r="CB235" s="1682">
        <v>0</v>
      </c>
      <c r="CC235" s="1682"/>
      <c r="CD235" s="2011">
        <v>0</v>
      </c>
      <c r="CE235" s="1693">
        <v>0</v>
      </c>
      <c r="CF235" s="1013">
        <v>8</v>
      </c>
      <c r="CG235" s="799">
        <v>0</v>
      </c>
      <c r="CH235" s="799">
        <v>0</v>
      </c>
      <c r="CI235" s="1016">
        <v>664.89499999999998</v>
      </c>
      <c r="CJ235" s="1016">
        <v>0</v>
      </c>
    </row>
    <row r="236" spans="1:98" s="985" customFormat="1" ht="30.75" hidden="1" thickBot="1" x14ac:dyDescent="0.3">
      <c r="A236" s="1712" t="s">
        <v>1343</v>
      </c>
      <c r="B236" s="1678" t="s">
        <v>2293</v>
      </c>
      <c r="C236" s="1679">
        <v>2019</v>
      </c>
      <c r="D236" s="1523" t="s">
        <v>1485</v>
      </c>
      <c r="E236" s="1669" t="s">
        <v>810</v>
      </c>
      <c r="F236" s="1670" t="s">
        <v>810</v>
      </c>
      <c r="G236" s="1680" t="s">
        <v>1344</v>
      </c>
      <c r="H236" s="1681">
        <v>238.59100000000001</v>
      </c>
      <c r="I236" s="2533">
        <f t="shared" ref="I236:I244" si="35">H236-J236</f>
        <v>0</v>
      </c>
      <c r="J236" s="2643">
        <f t="shared" si="32"/>
        <v>238.59100000000001</v>
      </c>
      <c r="K236" s="2643">
        <f t="shared" si="33"/>
        <v>238.59100000000001</v>
      </c>
      <c r="L236" s="2643">
        <f t="shared" si="34"/>
        <v>0</v>
      </c>
      <c r="M236" s="1376"/>
      <c r="N236" s="2364">
        <v>0</v>
      </c>
      <c r="O236" s="1683">
        <v>0</v>
      </c>
      <c r="P236" s="1684">
        <v>0</v>
      </c>
      <c r="Q236" s="1685">
        <v>0</v>
      </c>
      <c r="R236" s="2355">
        <v>174.40656999999999</v>
      </c>
      <c r="S236" s="1686">
        <v>-174.40656999999999</v>
      </c>
      <c r="T236" s="1545">
        <v>0</v>
      </c>
      <c r="U236" s="2452"/>
      <c r="V236" s="2452"/>
      <c r="W236" s="2452"/>
      <c r="X236" s="2452"/>
      <c r="Y236" s="1688">
        <v>0</v>
      </c>
      <c r="Z236" s="1674">
        <v>0</v>
      </c>
      <c r="AA236" s="1658">
        <v>0</v>
      </c>
      <c r="AB236" s="1687">
        <v>0</v>
      </c>
      <c r="AC236" s="1662" t="s">
        <v>2420</v>
      </c>
      <c r="AD236" s="979" t="s">
        <v>1329</v>
      </c>
      <c r="AE236" s="1676" t="s">
        <v>845</v>
      </c>
      <c r="AF236" s="1571" t="s">
        <v>1282</v>
      </c>
      <c r="AG236" s="1571" t="s">
        <v>1282</v>
      </c>
      <c r="AH236" s="1670">
        <v>2</v>
      </c>
      <c r="AI236" s="1546"/>
      <c r="AJ236" s="2416">
        <v>174.40700000000004</v>
      </c>
      <c r="AK236" s="516">
        <v>0</v>
      </c>
      <c r="AL236" s="1320">
        <v>0</v>
      </c>
      <c r="AM236" s="512">
        <v>0</v>
      </c>
      <c r="AN236" s="1171"/>
      <c r="AO236" s="1171"/>
      <c r="AP236" s="1364"/>
      <c r="AQ236" s="1722" t="s">
        <v>632</v>
      </c>
      <c r="AR236" s="1365">
        <v>17</v>
      </c>
      <c r="AS236" s="1365">
        <v>2</v>
      </c>
      <c r="AT236" s="1367">
        <v>6</v>
      </c>
      <c r="AU236" s="1368"/>
      <c r="AV236" s="2012"/>
      <c r="AW236" s="979" t="s">
        <v>1948</v>
      </c>
      <c r="AX236" s="979"/>
      <c r="AY236" s="979"/>
      <c r="AZ236" s="1662" t="s">
        <v>2420</v>
      </c>
      <c r="BA236" s="1662"/>
      <c r="BB236" s="1662" t="s">
        <v>2420</v>
      </c>
      <c r="BC236" s="1662" t="s">
        <v>2175</v>
      </c>
      <c r="BD236" s="1662" t="s">
        <v>2175</v>
      </c>
      <c r="BE236" s="2013" t="s">
        <v>1857</v>
      </c>
      <c r="BF236" s="1080" t="s">
        <v>1494</v>
      </c>
      <c r="BG236" s="2014" t="s">
        <v>1340</v>
      </c>
      <c r="BH236" s="1076"/>
      <c r="BI236" s="1076"/>
      <c r="BJ236" s="1078"/>
      <c r="BK236" s="1370"/>
      <c r="BL236" s="1681">
        <v>0</v>
      </c>
      <c r="BM236" s="1376">
        <v>238.59100000000001</v>
      </c>
      <c r="BN236" s="2112">
        <v>412.99800000000005</v>
      </c>
      <c r="BO236" s="2112">
        <v>412.99800000000005</v>
      </c>
      <c r="BP236" s="2315">
        <v>174.40700000000004</v>
      </c>
      <c r="BQ236" s="1538">
        <v>0</v>
      </c>
      <c r="BR236" s="1891">
        <v>238.59100000000001</v>
      </c>
      <c r="BS236" s="1376">
        <v>238.59100000000001</v>
      </c>
      <c r="BT236" s="54">
        <v>238.59100000000001</v>
      </c>
      <c r="BU236" s="1655">
        <v>238.59100000000001</v>
      </c>
      <c r="BV236" s="1538">
        <v>0</v>
      </c>
      <c r="BW236" s="1376">
        <v>0</v>
      </c>
      <c r="BX236" s="980">
        <v>0</v>
      </c>
      <c r="BY236" s="1682"/>
      <c r="BZ236" s="1682">
        <v>0</v>
      </c>
      <c r="CA236" s="1682">
        <v>0</v>
      </c>
      <c r="CB236" s="2015">
        <v>0</v>
      </c>
      <c r="CC236" s="2015"/>
      <c r="CD236" s="1682">
        <v>0</v>
      </c>
      <c r="CE236" s="1681">
        <v>0</v>
      </c>
      <c r="CF236" s="985">
        <v>12</v>
      </c>
      <c r="CG236" s="1825">
        <v>0</v>
      </c>
      <c r="CH236" s="1825">
        <v>0</v>
      </c>
      <c r="CI236" s="2072">
        <v>0</v>
      </c>
      <c r="CJ236" s="2072">
        <v>412.99799999999999</v>
      </c>
    </row>
    <row r="237" spans="1:98" s="1950" customFormat="1" ht="50.25" hidden="1" customHeight="1" thickBot="1" x14ac:dyDescent="0.3">
      <c r="A237" s="1689" t="s">
        <v>1346</v>
      </c>
      <c r="B237" s="946" t="s">
        <v>2343</v>
      </c>
      <c r="C237" s="945">
        <v>2019</v>
      </c>
      <c r="D237" s="588" t="s">
        <v>1485</v>
      </c>
      <c r="E237" s="1690" t="s">
        <v>720</v>
      </c>
      <c r="F237" s="1691" t="s">
        <v>720</v>
      </c>
      <c r="G237" s="1692" t="s">
        <v>2421</v>
      </c>
      <c r="H237" s="1693">
        <v>1200</v>
      </c>
      <c r="I237" s="2533">
        <f t="shared" si="35"/>
        <v>0</v>
      </c>
      <c r="J237" s="2643">
        <f t="shared" si="32"/>
        <v>1200</v>
      </c>
      <c r="K237" s="2643">
        <f t="shared" si="33"/>
        <v>1200</v>
      </c>
      <c r="L237" s="2643">
        <f t="shared" si="34"/>
        <v>0</v>
      </c>
      <c r="M237" s="1439"/>
      <c r="N237" s="2375">
        <v>0</v>
      </c>
      <c r="O237" s="1469">
        <v>0</v>
      </c>
      <c r="P237" s="1477">
        <v>0</v>
      </c>
      <c r="Q237" s="953">
        <v>0</v>
      </c>
      <c r="R237" s="2357">
        <v>0</v>
      </c>
      <c r="S237" s="1694">
        <v>0</v>
      </c>
      <c r="T237" s="1464">
        <v>0</v>
      </c>
      <c r="U237" s="1464"/>
      <c r="V237" s="1464"/>
      <c r="W237" s="1464"/>
      <c r="X237" s="1464"/>
      <c r="Y237" s="1695">
        <v>0</v>
      </c>
      <c r="Z237" s="1695">
        <v>0</v>
      </c>
      <c r="AA237" s="953">
        <v>0</v>
      </c>
      <c r="AB237" s="952">
        <v>0</v>
      </c>
      <c r="AC237" s="1696" t="s">
        <v>1209</v>
      </c>
      <c r="AD237" s="275" t="s">
        <v>1329</v>
      </c>
      <c r="AE237" s="1697" t="s">
        <v>355</v>
      </c>
      <c r="AF237" s="954" t="s">
        <v>1283</v>
      </c>
      <c r="AG237" s="954" t="s">
        <v>1283</v>
      </c>
      <c r="AH237" s="949">
        <v>2</v>
      </c>
      <c r="AI237" s="1089"/>
      <c r="AJ237" s="2416">
        <v>0</v>
      </c>
      <c r="AK237" s="516">
        <v>0</v>
      </c>
      <c r="AL237" s="2016">
        <v>0</v>
      </c>
      <c r="AM237" s="2017">
        <v>0</v>
      </c>
      <c r="AN237" s="2018"/>
      <c r="AO237" s="2018"/>
      <c r="AP237" s="2019"/>
      <c r="AQ237" s="2020" t="s">
        <v>632</v>
      </c>
      <c r="AR237" s="2021">
        <v>17</v>
      </c>
      <c r="AS237" s="2021">
        <v>2</v>
      </c>
      <c r="AT237" s="1367">
        <v>6</v>
      </c>
      <c r="AU237" s="2022"/>
      <c r="AV237" s="2023"/>
      <c r="AW237" s="2024" t="s">
        <v>1935</v>
      </c>
      <c r="AX237" s="2024"/>
      <c r="AY237" s="2024"/>
      <c r="AZ237" s="1696" t="s">
        <v>1209</v>
      </c>
      <c r="BA237" s="1696"/>
      <c r="BB237" s="1696" t="s">
        <v>1209</v>
      </c>
      <c r="BC237" s="1696" t="s">
        <v>2202</v>
      </c>
      <c r="BD237" s="2025" t="s">
        <v>2176</v>
      </c>
      <c r="BE237" s="2026" t="s">
        <v>1738</v>
      </c>
      <c r="BF237" s="2027" t="s">
        <v>1493</v>
      </c>
      <c r="BG237" s="2028" t="s">
        <v>1340</v>
      </c>
      <c r="BH237" s="2029"/>
      <c r="BI237" s="2029"/>
      <c r="BJ237" s="2030"/>
      <c r="BK237" s="2031"/>
      <c r="BL237" s="950">
        <v>0</v>
      </c>
      <c r="BM237" s="1439">
        <v>1200</v>
      </c>
      <c r="BN237" s="2122">
        <v>1200</v>
      </c>
      <c r="BO237" s="2122">
        <v>1200</v>
      </c>
      <c r="BP237" s="2314">
        <v>0</v>
      </c>
      <c r="BQ237" s="1484">
        <v>0</v>
      </c>
      <c r="BR237" s="952">
        <v>1200</v>
      </c>
      <c r="BS237" s="1439">
        <v>1200</v>
      </c>
      <c r="BT237" s="54">
        <v>1200</v>
      </c>
      <c r="BU237" s="1502">
        <v>0</v>
      </c>
      <c r="BV237" s="1484">
        <v>0</v>
      </c>
      <c r="BW237" s="1439">
        <v>0</v>
      </c>
      <c r="BX237" s="1946">
        <v>0</v>
      </c>
      <c r="BY237" s="2032"/>
      <c r="BZ237" s="2033">
        <v>0</v>
      </c>
      <c r="CA237" s="2033">
        <v>0</v>
      </c>
      <c r="CB237" s="2033">
        <v>0</v>
      </c>
      <c r="CC237" s="2033"/>
      <c r="CD237" s="2033">
        <v>0</v>
      </c>
      <c r="CE237" s="2034">
        <v>0</v>
      </c>
      <c r="CF237" s="1950">
        <v>1</v>
      </c>
      <c r="CG237" s="951">
        <v>0</v>
      </c>
      <c r="CH237" s="951">
        <v>0</v>
      </c>
      <c r="CI237" s="1362">
        <v>0</v>
      </c>
      <c r="CJ237" s="1362">
        <v>1200</v>
      </c>
    </row>
    <row r="238" spans="1:98" s="985" customFormat="1" ht="26.25" hidden="1" thickBot="1" x14ac:dyDescent="0.3">
      <c r="A238" s="1698" t="s">
        <v>1495</v>
      </c>
      <c r="B238" s="1698" t="s">
        <v>2338</v>
      </c>
      <c r="C238" s="1699">
        <v>2019</v>
      </c>
      <c r="D238" s="1560" t="s">
        <v>1842</v>
      </c>
      <c r="E238" s="1700" t="s">
        <v>639</v>
      </c>
      <c r="F238" s="1701" t="s">
        <v>639</v>
      </c>
      <c r="G238" s="1702" t="s">
        <v>1496</v>
      </c>
      <c r="H238" s="1703">
        <v>254.82599999999999</v>
      </c>
      <c r="I238" s="2533">
        <f t="shared" si="35"/>
        <v>0</v>
      </c>
      <c r="J238" s="2643">
        <f t="shared" si="32"/>
        <v>254.82599999999999</v>
      </c>
      <c r="K238" s="2643">
        <f t="shared" si="33"/>
        <v>254.82599999999999</v>
      </c>
      <c r="L238" s="2643">
        <f t="shared" si="34"/>
        <v>0</v>
      </c>
      <c r="M238" s="1759"/>
      <c r="N238" s="2364">
        <v>0</v>
      </c>
      <c r="O238" s="1672">
        <v>0</v>
      </c>
      <c r="P238" s="1706">
        <v>0</v>
      </c>
      <c r="Q238" s="1660">
        <v>0</v>
      </c>
      <c r="R238" s="2358">
        <v>0</v>
      </c>
      <c r="S238" s="1707">
        <v>0</v>
      </c>
      <c r="T238" s="1545">
        <v>0</v>
      </c>
      <c r="U238" s="1545"/>
      <c r="V238" s="1545"/>
      <c r="W238" s="1545"/>
      <c r="X238" s="1545"/>
      <c r="Y238" s="1709">
        <v>0</v>
      </c>
      <c r="Z238" s="1709">
        <v>0</v>
      </c>
      <c r="AA238" s="1708">
        <v>0</v>
      </c>
      <c r="AB238" s="1708">
        <v>0</v>
      </c>
      <c r="AC238" s="1560" t="s">
        <v>2417</v>
      </c>
      <c r="AD238" s="1560" t="s">
        <v>1329</v>
      </c>
      <c r="AE238" s="1711" t="s">
        <v>845</v>
      </c>
      <c r="AF238" s="1710" t="s">
        <v>1282</v>
      </c>
      <c r="AG238" s="1710" t="s">
        <v>1282</v>
      </c>
      <c r="AH238" s="1701">
        <v>10</v>
      </c>
      <c r="AI238" s="2251"/>
      <c r="AJ238" s="2416">
        <v>5.1740000000000066</v>
      </c>
      <c r="AK238" s="516">
        <v>0</v>
      </c>
      <c r="AL238" s="1320">
        <v>0</v>
      </c>
      <c r="AM238" s="512">
        <v>0</v>
      </c>
      <c r="AN238" s="1171"/>
      <c r="AO238" s="1171"/>
      <c r="AP238" s="1364"/>
      <c r="AQ238" s="1722" t="s">
        <v>632</v>
      </c>
      <c r="AR238" s="1365">
        <v>17</v>
      </c>
      <c r="AS238" s="1365">
        <v>3</v>
      </c>
      <c r="AT238" s="1367">
        <v>6</v>
      </c>
      <c r="AU238" s="1368"/>
      <c r="AV238" s="2012"/>
      <c r="AW238" s="1523"/>
      <c r="AX238" s="1523"/>
      <c r="AY238" s="1523"/>
      <c r="AZ238" s="1560" t="s">
        <v>2417</v>
      </c>
      <c r="BA238" s="1560"/>
      <c r="BB238" s="1560" t="s">
        <v>2417</v>
      </c>
      <c r="BC238" s="1560" t="s">
        <v>2193</v>
      </c>
      <c r="BD238" s="1560" t="s">
        <v>1209</v>
      </c>
      <c r="BE238" s="1560" t="s">
        <v>1209</v>
      </c>
      <c r="BF238" s="2252" t="s">
        <v>1209</v>
      </c>
      <c r="BG238" s="2061"/>
      <c r="BH238" s="1076"/>
      <c r="BI238" s="1076"/>
      <c r="BJ238" s="1078"/>
      <c r="BK238" s="1370"/>
      <c r="BL238" s="1747">
        <v>0</v>
      </c>
      <c r="BM238" s="1759">
        <v>254.82599999999999</v>
      </c>
      <c r="BN238" s="2210">
        <v>260</v>
      </c>
      <c r="BO238" s="2210">
        <v>260</v>
      </c>
      <c r="BP238" s="2315">
        <v>5.1740000000000066</v>
      </c>
      <c r="BQ238" s="1705">
        <v>0</v>
      </c>
      <c r="BR238" s="1891">
        <v>254.82599999999999</v>
      </c>
      <c r="BS238" s="1759">
        <v>254.82599999999999</v>
      </c>
      <c r="BT238" s="54">
        <v>254.82599999999999</v>
      </c>
      <c r="BU238" s="1655">
        <v>254.82599999999999</v>
      </c>
      <c r="BV238" s="1705">
        <v>0</v>
      </c>
      <c r="BW238" s="1759">
        <v>0</v>
      </c>
      <c r="BX238" s="1952">
        <v>0</v>
      </c>
      <c r="BY238" s="2253"/>
      <c r="BZ238" s="2254">
        <v>0</v>
      </c>
      <c r="CA238" s="2254">
        <v>0</v>
      </c>
      <c r="CB238" s="2254">
        <v>0</v>
      </c>
      <c r="CC238" s="2254"/>
      <c r="CD238" s="2254">
        <v>0</v>
      </c>
      <c r="CE238" s="1703">
        <v>0</v>
      </c>
      <c r="CG238" s="1867">
        <v>0</v>
      </c>
      <c r="CH238" s="1867">
        <v>0</v>
      </c>
      <c r="CI238" s="2070">
        <v>0</v>
      </c>
      <c r="CJ238" s="2070">
        <v>260</v>
      </c>
    </row>
    <row r="239" spans="1:98" s="2262" customFormat="1" ht="39" hidden="1" thickBot="1" x14ac:dyDescent="0.3">
      <c r="A239" s="1712" t="s">
        <v>1497</v>
      </c>
      <c r="B239" s="1698" t="s">
        <v>2339</v>
      </c>
      <c r="C239" s="1662">
        <v>2019</v>
      </c>
      <c r="D239" s="979" t="s">
        <v>1842</v>
      </c>
      <c r="E239" s="1669" t="s">
        <v>639</v>
      </c>
      <c r="F239" s="1670" t="s">
        <v>639</v>
      </c>
      <c r="G239" s="1713" t="s">
        <v>1498</v>
      </c>
      <c r="H239" s="960">
        <v>780.23800000000006</v>
      </c>
      <c r="I239" s="2533">
        <f t="shared" si="35"/>
        <v>0</v>
      </c>
      <c r="J239" s="2643">
        <f t="shared" si="32"/>
        <v>780.23800000000006</v>
      </c>
      <c r="K239" s="2643">
        <f t="shared" si="33"/>
        <v>780.23800000000006</v>
      </c>
      <c r="L239" s="2643">
        <f t="shared" si="34"/>
        <v>0</v>
      </c>
      <c r="M239" s="1376"/>
      <c r="N239" s="2364">
        <v>0</v>
      </c>
      <c r="O239" s="1672">
        <v>0</v>
      </c>
      <c r="P239" s="1657">
        <v>0</v>
      </c>
      <c r="Q239" s="1658">
        <v>0</v>
      </c>
      <c r="R239" s="2355">
        <v>0</v>
      </c>
      <c r="S239" s="1673">
        <v>0</v>
      </c>
      <c r="T239" s="1545">
        <v>0</v>
      </c>
      <c r="U239" s="1545"/>
      <c r="V239" s="1545"/>
      <c r="W239" s="1545"/>
      <c r="X239" s="1545"/>
      <c r="Y239" s="1674">
        <v>0</v>
      </c>
      <c r="Z239" s="1674">
        <v>0</v>
      </c>
      <c r="AA239" s="1658">
        <v>0</v>
      </c>
      <c r="AB239" s="1658">
        <v>0</v>
      </c>
      <c r="AC239" s="1523" t="s">
        <v>2422</v>
      </c>
      <c r="AD239" s="979" t="s">
        <v>1329</v>
      </c>
      <c r="AE239" s="1677" t="s">
        <v>845</v>
      </c>
      <c r="AF239" s="1571" t="s">
        <v>1282</v>
      </c>
      <c r="AG239" s="1571" t="s">
        <v>1282</v>
      </c>
      <c r="AH239" s="1670">
        <v>10</v>
      </c>
      <c r="AI239" s="1546"/>
      <c r="AJ239" s="2416">
        <v>9.7619999999999436</v>
      </c>
      <c r="AK239" s="516">
        <v>0</v>
      </c>
      <c r="AL239" s="1320">
        <v>0</v>
      </c>
      <c r="AM239" s="512">
        <v>0</v>
      </c>
      <c r="AN239" s="1171"/>
      <c r="AO239" s="1171"/>
      <c r="AP239" s="1364"/>
      <c r="AQ239" s="1722" t="s">
        <v>632</v>
      </c>
      <c r="AR239" s="1365">
        <v>17</v>
      </c>
      <c r="AS239" s="1365">
        <v>3</v>
      </c>
      <c r="AT239" s="1367">
        <v>6</v>
      </c>
      <c r="AU239" s="1368"/>
      <c r="AV239" s="2255"/>
      <c r="AW239" s="2153"/>
      <c r="AX239" s="2164"/>
      <c r="AY239" s="2164"/>
      <c r="AZ239" s="1523" t="s">
        <v>2422</v>
      </c>
      <c r="BA239" s="1523"/>
      <c r="BB239" s="1560" t="s">
        <v>2422</v>
      </c>
      <c r="BC239" s="979" t="s">
        <v>2194</v>
      </c>
      <c r="BD239" s="2153" t="s">
        <v>2177</v>
      </c>
      <c r="BE239" s="2153" t="s">
        <v>1209</v>
      </c>
      <c r="BF239" s="1400" t="s">
        <v>1209</v>
      </c>
      <c r="BG239" s="2256"/>
      <c r="BH239" s="2257"/>
      <c r="BI239" s="2257"/>
      <c r="BJ239" s="2258"/>
      <c r="BK239" s="2259"/>
      <c r="BL239" s="960">
        <v>0</v>
      </c>
      <c r="BM239" s="1376">
        <v>780.23800000000006</v>
      </c>
      <c r="BN239" s="2112">
        <v>790</v>
      </c>
      <c r="BO239" s="2112">
        <v>790</v>
      </c>
      <c r="BP239" s="2315">
        <v>9.7619999999999436</v>
      </c>
      <c r="BQ239" s="1538">
        <v>0</v>
      </c>
      <c r="BR239" s="1891">
        <v>780.23800000000006</v>
      </c>
      <c r="BS239" s="1376">
        <v>780.23800000000006</v>
      </c>
      <c r="BT239" s="54">
        <v>780.23800000000006</v>
      </c>
      <c r="BU239" s="1655">
        <v>780.23800000000006</v>
      </c>
      <c r="BV239" s="1538">
        <v>0</v>
      </c>
      <c r="BW239" s="1376">
        <v>0</v>
      </c>
      <c r="BX239" s="1952">
        <v>0</v>
      </c>
      <c r="BY239" s="2260"/>
      <c r="BZ239" s="2260">
        <v>0</v>
      </c>
      <c r="CA239" s="2260">
        <v>0</v>
      </c>
      <c r="CB239" s="2260">
        <v>0</v>
      </c>
      <c r="CC239" s="2260"/>
      <c r="CD239" s="2260">
        <v>0</v>
      </c>
      <c r="CE239" s="2261">
        <v>0</v>
      </c>
      <c r="CG239" s="1825">
        <v>0</v>
      </c>
      <c r="CH239" s="1825">
        <v>0</v>
      </c>
      <c r="CI239" s="2072">
        <v>0</v>
      </c>
      <c r="CJ239" s="2072">
        <v>790</v>
      </c>
    </row>
    <row r="240" spans="1:98" ht="38.25" x14ac:dyDescent="0.25">
      <c r="A240" s="478" t="s">
        <v>1499</v>
      </c>
      <c r="B240" s="477" t="s">
        <v>1230</v>
      </c>
      <c r="C240" s="479">
        <v>2019</v>
      </c>
      <c r="D240" s="75" t="s">
        <v>1842</v>
      </c>
      <c r="E240" s="480" t="s">
        <v>698</v>
      </c>
      <c r="F240" s="480" t="s">
        <v>698</v>
      </c>
      <c r="G240" s="2886" t="s">
        <v>1500</v>
      </c>
      <c r="H240" s="471">
        <v>0</v>
      </c>
      <c r="I240" s="471">
        <v>0</v>
      </c>
      <c r="J240" s="85">
        <v>0</v>
      </c>
      <c r="K240" s="3101"/>
      <c r="L240" s="3101"/>
      <c r="M240" s="3101"/>
      <c r="N240" s="799">
        <v>0</v>
      </c>
      <c r="O240" s="483">
        <v>0</v>
      </c>
      <c r="P240" s="437">
        <v>0</v>
      </c>
      <c r="Q240" s="483">
        <v>0</v>
      </c>
      <c r="R240" s="2618">
        <v>0</v>
      </c>
      <c r="S240" s="1452">
        <v>0</v>
      </c>
      <c r="T240" s="2732">
        <f>R240+S240</f>
        <v>0</v>
      </c>
      <c r="U240" s="542">
        <v>0</v>
      </c>
      <c r="V240" s="375">
        <v>0</v>
      </c>
      <c r="W240" s="375">
        <v>0</v>
      </c>
      <c r="X240" s="26">
        <v>0</v>
      </c>
      <c r="Y240" s="536">
        <v>0</v>
      </c>
      <c r="Z240" s="533">
        <v>0</v>
      </c>
      <c r="AA240" s="131">
        <v>0</v>
      </c>
      <c r="AB240" s="131">
        <v>0</v>
      </c>
      <c r="AC240" s="41" t="s">
        <v>2683</v>
      </c>
      <c r="AD240" s="75" t="s">
        <v>1300</v>
      </c>
      <c r="AE240" s="504" t="s">
        <v>357</v>
      </c>
      <c r="AF240" s="504" t="s">
        <v>1282</v>
      </c>
      <c r="AG240" s="285" t="s">
        <v>1282</v>
      </c>
      <c r="AH240" s="480">
        <v>5</v>
      </c>
      <c r="AI240" s="2324" t="s">
        <v>2962</v>
      </c>
      <c r="AJ240" s="1437"/>
      <c r="AK240" s="516">
        <f>H240-I240-T240-Y240-Z240-AA240-AB240</f>
        <v>0</v>
      </c>
      <c r="AL240" s="391">
        <f>T240-R240-S240</f>
        <v>0</v>
      </c>
      <c r="AM240" s="2816">
        <f>T240-N240-O240-P240-Q240</f>
        <v>0</v>
      </c>
      <c r="AN240" s="509">
        <f>Y240-U240-V240-W240-X240</f>
        <v>0</v>
      </c>
      <c r="AO240" s="2807"/>
      <c r="AP240" s="449"/>
      <c r="AQ240" s="646" t="s">
        <v>632</v>
      </c>
      <c r="AR240" s="391">
        <v>17</v>
      </c>
      <c r="AS240" s="391">
        <v>3</v>
      </c>
      <c r="AT240" s="818">
        <v>8</v>
      </c>
      <c r="AU240" s="1152"/>
      <c r="AV240" s="450"/>
      <c r="AW240" s="8"/>
      <c r="AX240" s="75" t="s">
        <v>2684</v>
      </c>
      <c r="AY240" s="8" t="s">
        <v>1209</v>
      </c>
      <c r="AZ240" s="8" t="s">
        <v>1209</v>
      </c>
      <c r="BA240" s="8" t="s">
        <v>1209</v>
      </c>
      <c r="BB240" s="8" t="s">
        <v>1209</v>
      </c>
      <c r="BC240" s="8" t="s">
        <v>1209</v>
      </c>
      <c r="BD240" s="8" t="s">
        <v>1209</v>
      </c>
      <c r="BE240" s="916" t="s">
        <v>1209</v>
      </c>
      <c r="BF240" s="579"/>
      <c r="BG240" s="66"/>
      <c r="BH240" s="66"/>
      <c r="BI240" s="459"/>
      <c r="BJ240" s="388"/>
      <c r="BK240" s="395">
        <v>0</v>
      </c>
      <c r="BL240" s="264">
        <v>0</v>
      </c>
      <c r="BM240" s="264"/>
      <c r="BN240" s="1500">
        <v>0</v>
      </c>
      <c r="BO240" s="2313">
        <v>0</v>
      </c>
      <c r="BP240" s="1443">
        <v>0</v>
      </c>
      <c r="BQ240" s="36">
        <v>0</v>
      </c>
      <c r="BR240" s="264">
        <v>0</v>
      </c>
      <c r="BS240" s="54">
        <f>BP240+BR240</f>
        <v>0</v>
      </c>
      <c r="BT240" s="1499">
        <v>0</v>
      </c>
      <c r="BU240" s="1443">
        <v>0</v>
      </c>
      <c r="BV240" s="264">
        <v>0</v>
      </c>
      <c r="BW240" s="20">
        <v>0</v>
      </c>
      <c r="BX240" s="830"/>
      <c r="BY240" s="830">
        <v>0</v>
      </c>
      <c r="BZ240" s="830">
        <v>0</v>
      </c>
      <c r="CA240" s="830">
        <v>0</v>
      </c>
      <c r="CB240" s="830"/>
      <c r="CC240" s="830">
        <v>0</v>
      </c>
      <c r="CD240" s="395">
        <v>0</v>
      </c>
      <c r="CF240" s="790">
        <v>0</v>
      </c>
      <c r="CG240" s="790">
        <v>0</v>
      </c>
      <c r="CH240" s="369">
        <v>0</v>
      </c>
      <c r="CI240" s="369">
        <v>0</v>
      </c>
      <c r="CJ240" s="321">
        <v>0</v>
      </c>
      <c r="CK240" s="321">
        <v>0</v>
      </c>
      <c r="CL240" s="1209">
        <v>0</v>
      </c>
      <c r="CM240" s="1552">
        <v>0</v>
      </c>
      <c r="CN240" s="2860">
        <v>0</v>
      </c>
      <c r="CO240" s="2860">
        <v>0</v>
      </c>
      <c r="CP240" s="2860">
        <v>0</v>
      </c>
      <c r="CQ240" s="1552">
        <v>0</v>
      </c>
      <c r="CR240" s="3101"/>
      <c r="CS240" s="1209"/>
      <c r="CT240" s="2764"/>
    </row>
    <row r="241" spans="1:93" s="1934" customFormat="1" ht="51.75" hidden="1" thickBot="1" x14ac:dyDescent="0.3">
      <c r="A241" s="946" t="s">
        <v>1912</v>
      </c>
      <c r="B241" s="1112" t="s">
        <v>2292</v>
      </c>
      <c r="C241" s="1234">
        <v>2019</v>
      </c>
      <c r="D241" s="275" t="s">
        <v>2578</v>
      </c>
      <c r="E241" s="275" t="s">
        <v>1511</v>
      </c>
      <c r="F241" s="275" t="s">
        <v>1511</v>
      </c>
      <c r="G241" s="1434" t="s">
        <v>1913</v>
      </c>
      <c r="H241" s="950">
        <v>857.86946999999998</v>
      </c>
      <c r="I241" s="2533">
        <f t="shared" si="35"/>
        <v>0</v>
      </c>
      <c r="J241" s="2643">
        <f t="shared" si="32"/>
        <v>857.86946999999998</v>
      </c>
      <c r="K241" s="2643">
        <f t="shared" si="33"/>
        <v>857.86946999999998</v>
      </c>
      <c r="L241" s="2643">
        <f t="shared" si="34"/>
        <v>0</v>
      </c>
      <c r="M241" s="1439"/>
      <c r="N241" s="1502">
        <v>0</v>
      </c>
      <c r="O241" s="1477">
        <v>0</v>
      </c>
      <c r="P241" s="1477">
        <v>0</v>
      </c>
      <c r="Q241" s="953">
        <v>0</v>
      </c>
      <c r="R241" s="2356">
        <v>0</v>
      </c>
      <c r="S241" s="1694">
        <v>0</v>
      </c>
      <c r="T241" s="1464">
        <v>0</v>
      </c>
      <c r="U241" s="1464"/>
      <c r="V241" s="1464"/>
      <c r="W241" s="1464"/>
      <c r="X241" s="1464"/>
      <c r="Y241" s="1695">
        <v>0</v>
      </c>
      <c r="Z241" s="1695">
        <v>0</v>
      </c>
      <c r="AA241" s="953">
        <v>0</v>
      </c>
      <c r="AB241" s="953">
        <v>0</v>
      </c>
      <c r="AC241" s="275" t="s">
        <v>1209</v>
      </c>
      <c r="AD241" s="275" t="s">
        <v>1329</v>
      </c>
      <c r="AE241" s="955" t="s">
        <v>355</v>
      </c>
      <c r="AF241" s="954" t="s">
        <v>1283</v>
      </c>
      <c r="AG241" s="954" t="s">
        <v>1283</v>
      </c>
      <c r="AH241" s="618">
        <v>11</v>
      </c>
      <c r="AI241" s="2423"/>
      <c r="AJ241" s="2416">
        <v>0</v>
      </c>
      <c r="AK241" s="516">
        <v>0</v>
      </c>
      <c r="AL241" s="1937">
        <v>0</v>
      </c>
      <c r="AM241" s="1938">
        <v>0</v>
      </c>
      <c r="AN241" s="1939"/>
      <c r="AO241" s="1939"/>
      <c r="AP241" s="2035"/>
      <c r="AQ241" s="2036" t="s">
        <v>632</v>
      </c>
      <c r="AR241" s="2037">
        <v>17</v>
      </c>
      <c r="AS241" s="2037">
        <v>4</v>
      </c>
      <c r="AT241" s="1367">
        <v>6</v>
      </c>
      <c r="AU241" s="2038"/>
      <c r="AV241" s="2040"/>
      <c r="AW241" s="2041" t="s">
        <v>2196</v>
      </c>
      <c r="AX241" s="2041"/>
      <c r="AY241" s="2041"/>
      <c r="AZ241" s="275" t="s">
        <v>1209</v>
      </c>
      <c r="BA241" s="275"/>
      <c r="BB241" s="275" t="s">
        <v>1209</v>
      </c>
      <c r="BC241" s="275" t="s">
        <v>2195</v>
      </c>
      <c r="BD241" s="958" t="s">
        <v>2178</v>
      </c>
      <c r="BE241" s="2042" t="s">
        <v>1914</v>
      </c>
      <c r="BF241" s="2043"/>
      <c r="BG241" s="2044"/>
      <c r="BH241" s="2045"/>
      <c r="BI241" s="2045"/>
      <c r="BJ241" s="2046"/>
      <c r="BK241" s="2047"/>
      <c r="BL241" s="950">
        <v>0</v>
      </c>
      <c r="BM241" s="1439">
        <v>857.86946999999998</v>
      </c>
      <c r="BN241" s="2122">
        <v>857.86946999999998</v>
      </c>
      <c r="BO241" s="2122">
        <v>857.86946999999998</v>
      </c>
      <c r="BP241" s="2314">
        <v>0</v>
      </c>
      <c r="BQ241" s="1484">
        <v>0</v>
      </c>
      <c r="BR241" s="952">
        <v>857.86946999999998</v>
      </c>
      <c r="BS241" s="1440">
        <v>857.86946999999998</v>
      </c>
      <c r="BT241" s="54">
        <v>857.86946999999998</v>
      </c>
      <c r="BU241" s="1502">
        <v>0</v>
      </c>
      <c r="BV241" s="1484">
        <v>0</v>
      </c>
      <c r="BW241" s="1439">
        <v>0</v>
      </c>
      <c r="BX241" s="1965">
        <v>0</v>
      </c>
      <c r="BY241" s="2039"/>
      <c r="BZ241" s="2048">
        <v>0</v>
      </c>
      <c r="CA241" s="2048">
        <v>0</v>
      </c>
      <c r="CB241" s="2049">
        <v>0</v>
      </c>
      <c r="CC241" s="2050"/>
      <c r="CD241" s="2051"/>
      <c r="CE241" s="2052"/>
      <c r="CF241" s="1934">
        <v>12</v>
      </c>
      <c r="CG241" s="951">
        <v>0</v>
      </c>
      <c r="CH241" s="951">
        <v>0</v>
      </c>
      <c r="CI241" s="1362">
        <v>0</v>
      </c>
      <c r="CJ241" s="1362">
        <v>857.86946999999998</v>
      </c>
    </row>
    <row r="242" spans="1:93" s="985" customFormat="1" ht="26.25" hidden="1" thickBot="1" x14ac:dyDescent="0.3">
      <c r="A242" s="1668" t="s">
        <v>2107</v>
      </c>
      <c r="B242" s="1668" t="s">
        <v>2310</v>
      </c>
      <c r="C242" s="1523">
        <v>2019</v>
      </c>
      <c r="D242" s="1523" t="s">
        <v>2506</v>
      </c>
      <c r="E242" s="1744" t="s">
        <v>794</v>
      </c>
      <c r="F242" s="1745" t="s">
        <v>794</v>
      </c>
      <c r="G242" s="1746" t="s">
        <v>2108</v>
      </c>
      <c r="H242" s="1747">
        <v>450.40100000000001</v>
      </c>
      <c r="I242" s="2533">
        <f t="shared" si="35"/>
        <v>0</v>
      </c>
      <c r="J242" s="2643">
        <f t="shared" si="32"/>
        <v>450.40100000000001</v>
      </c>
      <c r="K242" s="2643">
        <f t="shared" si="33"/>
        <v>450.40100000000001</v>
      </c>
      <c r="L242" s="2643">
        <f t="shared" si="34"/>
        <v>0</v>
      </c>
      <c r="M242" s="1759"/>
      <c r="N242" s="2367">
        <v>0</v>
      </c>
      <c r="O242" s="1656">
        <v>0</v>
      </c>
      <c r="P242" s="1706">
        <v>0</v>
      </c>
      <c r="Q242" s="1660">
        <v>0</v>
      </c>
      <c r="R242" s="2359">
        <v>149.59899999999999</v>
      </c>
      <c r="S242" s="1749">
        <v>-149.59899999999999</v>
      </c>
      <c r="T242" s="1545">
        <v>0</v>
      </c>
      <c r="U242" s="1545"/>
      <c r="V242" s="1545"/>
      <c r="W242" s="1545"/>
      <c r="X242" s="1545"/>
      <c r="Y242" s="1750">
        <v>0</v>
      </c>
      <c r="Z242" s="1750">
        <v>0</v>
      </c>
      <c r="AA242" s="1660">
        <v>0</v>
      </c>
      <c r="AB242" s="1660">
        <v>0</v>
      </c>
      <c r="AC242" s="1523" t="s">
        <v>2426</v>
      </c>
      <c r="AD242" s="1523" t="s">
        <v>1329</v>
      </c>
      <c r="AE242" s="1663" t="s">
        <v>355</v>
      </c>
      <c r="AF242" s="1664" t="s">
        <v>1283</v>
      </c>
      <c r="AG242" s="1664" t="s">
        <v>1283</v>
      </c>
      <c r="AH242" s="2054">
        <v>1</v>
      </c>
      <c r="AI242" s="2053"/>
      <c r="AJ242" s="2416">
        <v>149.59899999999999</v>
      </c>
      <c r="AK242" s="516">
        <v>0</v>
      </c>
      <c r="AL242" s="2055">
        <v>0</v>
      </c>
      <c r="AM242" s="2056">
        <v>0</v>
      </c>
      <c r="AN242" s="1171"/>
      <c r="AO242" s="1171"/>
      <c r="AP242" s="1364"/>
      <c r="AQ242" s="1722" t="s">
        <v>632</v>
      </c>
      <c r="AR242" s="1365">
        <v>17</v>
      </c>
      <c r="AS242" s="1365">
        <v>5</v>
      </c>
      <c r="AT242" s="1367">
        <v>6</v>
      </c>
      <c r="AU242" s="1368"/>
      <c r="AV242" s="2012"/>
      <c r="AW242" s="2057"/>
      <c r="AX242" s="2057"/>
      <c r="AY242" s="2057"/>
      <c r="AZ242" s="1523" t="s">
        <v>2426</v>
      </c>
      <c r="BA242" s="1523"/>
      <c r="BB242" s="1523" t="s">
        <v>2426</v>
      </c>
      <c r="BC242" s="1523" t="s">
        <v>2109</v>
      </c>
      <c r="BD242" s="2058" t="s">
        <v>2109</v>
      </c>
      <c r="BE242" s="2059"/>
      <c r="BF242" s="2060"/>
      <c r="BG242" s="2061"/>
      <c r="BH242" s="1076"/>
      <c r="BI242" s="1076"/>
      <c r="BJ242" s="1078"/>
      <c r="BK242" s="2062"/>
      <c r="BL242" s="1747">
        <v>0</v>
      </c>
      <c r="BM242" s="1759">
        <v>450.40100000000001</v>
      </c>
      <c r="BN242" s="2210">
        <v>600</v>
      </c>
      <c r="BO242" s="2210">
        <v>600</v>
      </c>
      <c r="BP242" s="2315">
        <v>149.59899999999999</v>
      </c>
      <c r="BQ242" s="1705">
        <v>0</v>
      </c>
      <c r="BR242" s="1891">
        <v>600</v>
      </c>
      <c r="BS242" s="1759">
        <v>450.40100000000001</v>
      </c>
      <c r="BT242" s="54">
        <v>450.40100000000001</v>
      </c>
      <c r="BU242" s="1655">
        <v>450.40100000000001</v>
      </c>
      <c r="BV242" s="1705">
        <v>0</v>
      </c>
      <c r="BW242" s="1759">
        <v>0</v>
      </c>
      <c r="BX242" s="2063">
        <v>0</v>
      </c>
      <c r="BY242" s="2064"/>
      <c r="BZ242" s="2065"/>
      <c r="CA242" s="2065"/>
      <c r="CB242" s="2066"/>
      <c r="CC242" s="2067"/>
      <c r="CD242" s="2068"/>
      <c r="CE242" s="2069"/>
      <c r="CG242" s="1867">
        <v>0</v>
      </c>
      <c r="CH242" s="1867">
        <v>0</v>
      </c>
      <c r="CI242" s="2070">
        <v>0</v>
      </c>
      <c r="CJ242" s="2070">
        <v>600</v>
      </c>
    </row>
    <row r="243" spans="1:93" s="985" customFormat="1" ht="26.25" hidden="1" thickBot="1" x14ac:dyDescent="0.3">
      <c r="A243" s="1712" t="s">
        <v>2110</v>
      </c>
      <c r="B243" s="1712" t="s">
        <v>2328</v>
      </c>
      <c r="C243" s="979">
        <v>2019</v>
      </c>
      <c r="D243" s="1523" t="s">
        <v>2506</v>
      </c>
      <c r="E243" s="1536" t="s">
        <v>794</v>
      </c>
      <c r="F243" s="1752" t="s">
        <v>794</v>
      </c>
      <c r="G243" s="1671" t="s">
        <v>2111</v>
      </c>
      <c r="H243" s="980">
        <v>456.75</v>
      </c>
      <c r="I243" s="2533">
        <f t="shared" si="35"/>
        <v>0</v>
      </c>
      <c r="J243" s="2643">
        <f t="shared" si="32"/>
        <v>456.75</v>
      </c>
      <c r="K243" s="2643">
        <f t="shared" si="33"/>
        <v>456.75</v>
      </c>
      <c r="L243" s="2643">
        <f t="shared" si="34"/>
        <v>0</v>
      </c>
      <c r="M243" s="1759"/>
      <c r="N243" s="2367">
        <v>0</v>
      </c>
      <c r="O243" s="1656">
        <v>0</v>
      </c>
      <c r="P243" s="1706">
        <v>0</v>
      </c>
      <c r="Q243" s="1660">
        <v>0</v>
      </c>
      <c r="R243" s="2355">
        <v>143.25</v>
      </c>
      <c r="S243" s="1749">
        <v>-143.25</v>
      </c>
      <c r="T243" s="1545">
        <v>0</v>
      </c>
      <c r="U243" s="1545"/>
      <c r="V243" s="1545"/>
      <c r="W243" s="1545"/>
      <c r="X243" s="1545"/>
      <c r="Y243" s="1750">
        <v>0</v>
      </c>
      <c r="Z243" s="1674">
        <v>0</v>
      </c>
      <c r="AA243" s="1658">
        <v>0</v>
      </c>
      <c r="AB243" s="1658">
        <v>0</v>
      </c>
      <c r="AC243" s="1523" t="s">
        <v>2427</v>
      </c>
      <c r="AD243" s="1523" t="s">
        <v>1329</v>
      </c>
      <c r="AE243" s="1663" t="s">
        <v>355</v>
      </c>
      <c r="AF243" s="1664" t="s">
        <v>1283</v>
      </c>
      <c r="AG243" s="1664" t="s">
        <v>1283</v>
      </c>
      <c r="AH243" s="2054">
        <v>1</v>
      </c>
      <c r="AI243" s="1546"/>
      <c r="AJ243" s="2416">
        <v>143.25</v>
      </c>
      <c r="AK243" s="516">
        <v>0</v>
      </c>
      <c r="AL243" s="1320">
        <v>0</v>
      </c>
      <c r="AM243" s="512">
        <v>0</v>
      </c>
      <c r="AN243" s="1171"/>
      <c r="AO243" s="1171"/>
      <c r="AP243" s="1364"/>
      <c r="AQ243" s="1722" t="s">
        <v>632</v>
      </c>
      <c r="AR243" s="1365">
        <v>17</v>
      </c>
      <c r="AS243" s="1365">
        <v>5</v>
      </c>
      <c r="AT243" s="1367">
        <v>6</v>
      </c>
      <c r="AU243" s="1368"/>
      <c r="AV243" s="2012"/>
      <c r="AW243" s="2057"/>
      <c r="AX243" s="2057"/>
      <c r="AY243" s="2057"/>
      <c r="AZ243" s="1523" t="s">
        <v>2427</v>
      </c>
      <c r="BA243" s="1523"/>
      <c r="BB243" s="1523" t="s">
        <v>2427</v>
      </c>
      <c r="BC243" s="1523" t="s">
        <v>2109</v>
      </c>
      <c r="BD243" s="2058" t="s">
        <v>2109</v>
      </c>
      <c r="BE243" s="2059"/>
      <c r="BF243" s="2060"/>
      <c r="BG243" s="2061"/>
      <c r="BH243" s="1076"/>
      <c r="BI243" s="1076"/>
      <c r="BJ243" s="1078"/>
      <c r="BK243" s="2062"/>
      <c r="BL243" s="960">
        <v>0</v>
      </c>
      <c r="BM243" s="1376">
        <v>456.75</v>
      </c>
      <c r="BN243" s="2112">
        <v>600</v>
      </c>
      <c r="BO243" s="2112">
        <v>600</v>
      </c>
      <c r="BP243" s="2315">
        <v>143.25</v>
      </c>
      <c r="BQ243" s="1538">
        <v>0</v>
      </c>
      <c r="BR243" s="1661">
        <v>600</v>
      </c>
      <c r="BS243" s="1376">
        <v>456.75</v>
      </c>
      <c r="BT243" s="54">
        <v>456.75</v>
      </c>
      <c r="BU243" s="1655">
        <v>456.75</v>
      </c>
      <c r="BV243" s="1538">
        <v>0</v>
      </c>
      <c r="BW243" s="1376">
        <v>0</v>
      </c>
      <c r="BX243" s="2071">
        <v>0</v>
      </c>
      <c r="BY243" s="2064"/>
      <c r="BZ243" s="2065"/>
      <c r="CA243" s="2065"/>
      <c r="CB243" s="2066"/>
      <c r="CC243" s="2067"/>
      <c r="CD243" s="2068"/>
      <c r="CE243" s="2069"/>
      <c r="CG243" s="1825">
        <v>0</v>
      </c>
      <c r="CH243" s="1825">
        <v>0</v>
      </c>
      <c r="CI243" s="2072">
        <v>0</v>
      </c>
      <c r="CJ243" s="2072">
        <v>600</v>
      </c>
    </row>
    <row r="244" spans="1:93" s="985" customFormat="1" ht="26.25" hidden="1" thickBot="1" x14ac:dyDescent="0.3">
      <c r="A244" s="1712" t="s">
        <v>2112</v>
      </c>
      <c r="B244" s="1712" t="s">
        <v>2340</v>
      </c>
      <c r="C244" s="979">
        <v>2019</v>
      </c>
      <c r="D244" s="1523" t="s">
        <v>2506</v>
      </c>
      <c r="E244" s="1744" t="s">
        <v>639</v>
      </c>
      <c r="F244" s="1744" t="s">
        <v>639</v>
      </c>
      <c r="G244" s="1746" t="s">
        <v>2113</v>
      </c>
      <c r="H244" s="1747">
        <v>459</v>
      </c>
      <c r="I244" s="2533">
        <f t="shared" si="35"/>
        <v>0</v>
      </c>
      <c r="J244" s="2643">
        <f t="shared" si="32"/>
        <v>459</v>
      </c>
      <c r="K244" s="2643">
        <f t="shared" si="33"/>
        <v>459</v>
      </c>
      <c r="L244" s="2643">
        <f t="shared" si="34"/>
        <v>0</v>
      </c>
      <c r="M244" s="1759"/>
      <c r="N244" s="2367">
        <v>0</v>
      </c>
      <c r="O244" s="1656">
        <v>0</v>
      </c>
      <c r="P244" s="1706">
        <v>0</v>
      </c>
      <c r="Q244" s="1660">
        <v>0</v>
      </c>
      <c r="R244" s="2355">
        <v>1</v>
      </c>
      <c r="S244" s="1749">
        <v>-1</v>
      </c>
      <c r="T244" s="1545">
        <v>0</v>
      </c>
      <c r="U244" s="1545"/>
      <c r="V244" s="1545"/>
      <c r="W244" s="1545"/>
      <c r="X244" s="1545"/>
      <c r="Y244" s="1750">
        <v>0</v>
      </c>
      <c r="Z244" s="1674">
        <v>0</v>
      </c>
      <c r="AA244" s="1658">
        <v>0</v>
      </c>
      <c r="AB244" s="1658">
        <v>0</v>
      </c>
      <c r="AC244" s="1523" t="s">
        <v>2428</v>
      </c>
      <c r="AD244" s="979" t="s">
        <v>1329</v>
      </c>
      <c r="AE244" s="1677" t="s">
        <v>355</v>
      </c>
      <c r="AF244" s="1571" t="s">
        <v>1283</v>
      </c>
      <c r="AG244" s="1571" t="s">
        <v>1283</v>
      </c>
      <c r="AH244" s="2054">
        <v>10</v>
      </c>
      <c r="AI244" s="1546"/>
      <c r="AJ244" s="2416">
        <v>1</v>
      </c>
      <c r="AK244" s="516">
        <v>0</v>
      </c>
      <c r="AL244" s="1320">
        <v>0</v>
      </c>
      <c r="AM244" s="512">
        <v>0</v>
      </c>
      <c r="AN244" s="1171"/>
      <c r="AO244" s="1171"/>
      <c r="AP244" s="1364"/>
      <c r="AQ244" s="1722" t="s">
        <v>632</v>
      </c>
      <c r="AR244" s="1365">
        <v>17</v>
      </c>
      <c r="AS244" s="1365">
        <v>5</v>
      </c>
      <c r="AT244" s="1367">
        <v>6</v>
      </c>
      <c r="AU244" s="1368"/>
      <c r="AV244" s="2012"/>
      <c r="AW244" s="2057"/>
      <c r="AX244" s="2057"/>
      <c r="AY244" s="2057"/>
      <c r="AZ244" s="1523" t="s">
        <v>2428</v>
      </c>
      <c r="BA244" s="1523"/>
      <c r="BB244" s="1523" t="s">
        <v>2428</v>
      </c>
      <c r="BC244" s="1523" t="s">
        <v>2109</v>
      </c>
      <c r="BD244" s="2058" t="s">
        <v>2109</v>
      </c>
      <c r="BE244" s="2059"/>
      <c r="BF244" s="2060"/>
      <c r="BG244" s="2061"/>
      <c r="BH244" s="1076"/>
      <c r="BI244" s="1076"/>
      <c r="BJ244" s="1078"/>
      <c r="BK244" s="2062"/>
      <c r="BL244" s="960">
        <v>0</v>
      </c>
      <c r="BM244" s="1376">
        <v>459</v>
      </c>
      <c r="BN244" s="2112">
        <v>460</v>
      </c>
      <c r="BO244" s="2112">
        <v>460</v>
      </c>
      <c r="BP244" s="2315">
        <v>1</v>
      </c>
      <c r="BQ244" s="1538">
        <v>0</v>
      </c>
      <c r="BR244" s="1891">
        <v>459.00006999999999</v>
      </c>
      <c r="BS244" s="1376">
        <v>459</v>
      </c>
      <c r="BT244" s="54">
        <v>459</v>
      </c>
      <c r="BU244" s="1655">
        <v>459.00006999999999</v>
      </c>
      <c r="BV244" s="1538">
        <v>0</v>
      </c>
      <c r="BW244" s="1376">
        <v>0</v>
      </c>
      <c r="BX244" s="2071">
        <v>0</v>
      </c>
      <c r="BY244" s="2064"/>
      <c r="BZ244" s="2065"/>
      <c r="CA244" s="2065"/>
      <c r="CB244" s="2066"/>
      <c r="CC244" s="2067"/>
      <c r="CD244" s="2068"/>
      <c r="CE244" s="2069"/>
      <c r="CG244" s="1825">
        <v>0</v>
      </c>
      <c r="CH244" s="1825">
        <v>0</v>
      </c>
      <c r="CI244" s="2072">
        <v>0</v>
      </c>
      <c r="CJ244" s="2072">
        <v>460</v>
      </c>
    </row>
    <row r="245" spans="1:93" s="985" customFormat="1" ht="26.25" hidden="1" thickBot="1" x14ac:dyDescent="0.3">
      <c r="A245" s="1712" t="s">
        <v>2114</v>
      </c>
      <c r="B245" s="1712" t="s">
        <v>2337</v>
      </c>
      <c r="C245" s="979">
        <v>2019</v>
      </c>
      <c r="D245" s="1523" t="s">
        <v>2506</v>
      </c>
      <c r="E245" s="1670" t="s">
        <v>639</v>
      </c>
      <c r="F245" s="1670" t="s">
        <v>639</v>
      </c>
      <c r="G245" s="1754" t="s">
        <v>2115</v>
      </c>
      <c r="H245" s="1655">
        <v>964.88565000000006</v>
      </c>
      <c r="I245" s="960">
        <v>964.88565000000006</v>
      </c>
      <c r="J245" s="2643">
        <f t="shared" si="32"/>
        <v>964.88565000000006</v>
      </c>
      <c r="K245" s="2643">
        <f t="shared" si="33"/>
        <v>1929.7713000000001</v>
      </c>
      <c r="L245" s="2643">
        <f t="shared" si="34"/>
        <v>964.88565000000006</v>
      </c>
      <c r="M245" s="321"/>
      <c r="N245" s="2367">
        <v>0</v>
      </c>
      <c r="O245" s="1656">
        <v>0</v>
      </c>
      <c r="P245" s="1706">
        <v>0</v>
      </c>
      <c r="Q245" s="1660">
        <v>0</v>
      </c>
      <c r="R245" s="2623">
        <v>0</v>
      </c>
      <c r="S245" s="1168">
        <v>0</v>
      </c>
      <c r="T245" s="2619">
        <f>R245+S245</f>
        <v>0</v>
      </c>
      <c r="U245" s="2619"/>
      <c r="V245" s="2619"/>
      <c r="W245" s="2619"/>
      <c r="X245" s="2619"/>
      <c r="Y245" s="1750">
        <v>0</v>
      </c>
      <c r="Z245" s="1674">
        <v>0</v>
      </c>
      <c r="AA245" s="1658">
        <v>0</v>
      </c>
      <c r="AB245" s="1658">
        <v>0</v>
      </c>
      <c r="AC245" s="1523" t="s">
        <v>2429</v>
      </c>
      <c r="AD245" s="979" t="s">
        <v>1329</v>
      </c>
      <c r="AE245" s="1677" t="s">
        <v>355</v>
      </c>
      <c r="AF245" s="1571" t="s">
        <v>1283</v>
      </c>
      <c r="AG245" s="1571" t="s">
        <v>1283</v>
      </c>
      <c r="AH245" s="2054">
        <v>10</v>
      </c>
      <c r="AI245" s="1546"/>
      <c r="AK245" s="516">
        <f>H245-BL245-BM245-T245-AA245-AB245-Y245-Z245</f>
        <v>0</v>
      </c>
      <c r="AL245" s="1320">
        <f>T245-R245-S245</f>
        <v>0</v>
      </c>
      <c r="AM245" s="512">
        <f>T245-N245-O245-P245-Q245</f>
        <v>0</v>
      </c>
      <c r="AN245" s="1171"/>
      <c r="AO245" s="1171"/>
      <c r="AP245" s="1364"/>
      <c r="AQ245" s="1365" t="s">
        <v>632</v>
      </c>
      <c r="AR245" s="1365">
        <v>17</v>
      </c>
      <c r="AS245" s="1365">
        <v>5</v>
      </c>
      <c r="AT245" s="1367">
        <v>6</v>
      </c>
      <c r="AU245" s="1368"/>
      <c r="AV245" s="2012"/>
      <c r="AW245" s="2057"/>
      <c r="AX245" s="2057"/>
      <c r="AY245" s="2057"/>
      <c r="AZ245" s="1523" t="s">
        <v>2429</v>
      </c>
      <c r="BA245" s="1523"/>
      <c r="BB245" s="1523" t="s">
        <v>2429</v>
      </c>
      <c r="BC245" s="1523" t="s">
        <v>2109</v>
      </c>
      <c r="BD245" s="2058" t="s">
        <v>2109</v>
      </c>
      <c r="BE245" s="2059"/>
      <c r="BF245" s="2060"/>
      <c r="BG245" s="2061"/>
      <c r="BH245" s="1076"/>
      <c r="BI245" s="1076"/>
      <c r="BJ245" s="1078"/>
      <c r="BK245" s="2062"/>
      <c r="BL245" s="960">
        <v>0</v>
      </c>
      <c r="BM245" s="1376">
        <v>964.88565000000006</v>
      </c>
      <c r="BN245" s="980">
        <v>980</v>
      </c>
      <c r="BO245" s="2112">
        <v>980</v>
      </c>
      <c r="BP245" s="2315">
        <v>15.114349999999945</v>
      </c>
      <c r="BQ245" s="1538">
        <v>0</v>
      </c>
      <c r="BR245" s="1661">
        <v>964.88565000000006</v>
      </c>
      <c r="BS245" s="1376">
        <v>964.88565000000006</v>
      </c>
      <c r="BT245" s="54">
        <f>BQ245+BS245</f>
        <v>964.88565000000006</v>
      </c>
      <c r="BU245" s="1655">
        <v>964.88565000000006</v>
      </c>
      <c r="BV245" s="1538">
        <v>0</v>
      </c>
      <c r="BW245" s="1376">
        <v>0</v>
      </c>
      <c r="BX245" s="2071">
        <v>0</v>
      </c>
      <c r="BY245" s="2064"/>
      <c r="BZ245" s="2065"/>
      <c r="CA245" s="2065"/>
      <c r="CB245" s="2066"/>
      <c r="CC245" s="2067"/>
      <c r="CD245" s="2068"/>
      <c r="CE245" s="2069"/>
      <c r="CG245" s="1825">
        <v>0</v>
      </c>
      <c r="CH245" s="1825">
        <v>0</v>
      </c>
      <c r="CI245" s="2072">
        <v>0</v>
      </c>
      <c r="CJ245" s="2072">
        <v>980</v>
      </c>
    </row>
    <row r="246" spans="1:93" s="1396" customFormat="1" ht="26.25" hidden="1" thickBot="1" x14ac:dyDescent="0.3">
      <c r="A246" s="1668" t="s">
        <v>2430</v>
      </c>
      <c r="B246" s="1807" t="s">
        <v>2566</v>
      </c>
      <c r="C246" s="1523">
        <v>2019</v>
      </c>
      <c r="D246" s="1523" t="s">
        <v>2506</v>
      </c>
      <c r="E246" s="1744" t="s">
        <v>639</v>
      </c>
      <c r="F246" s="1744" t="s">
        <v>639</v>
      </c>
      <c r="G246" s="1746" t="s">
        <v>2116</v>
      </c>
      <c r="H246" s="1747">
        <v>573.74879999999996</v>
      </c>
      <c r="I246" s="1747">
        <v>573.74879999999996</v>
      </c>
      <c r="J246" s="1704"/>
      <c r="K246" s="2672">
        <v>0</v>
      </c>
      <c r="L246" s="2775">
        <v>0</v>
      </c>
      <c r="M246" s="2783"/>
      <c r="N246" s="1867">
        <v>0</v>
      </c>
      <c r="O246" s="1656">
        <v>0</v>
      </c>
      <c r="P246" s="1706">
        <v>0</v>
      </c>
      <c r="Q246" s="1660">
        <v>0</v>
      </c>
      <c r="R246" s="2623">
        <v>226.25120000000004</v>
      </c>
      <c r="S246" s="2673">
        <v>-226.25120000000001</v>
      </c>
      <c r="T246" s="2619">
        <f>R246+S246</f>
        <v>0</v>
      </c>
      <c r="U246" s="2619"/>
      <c r="V246" s="2619"/>
      <c r="W246" s="2619"/>
      <c r="X246" s="2619"/>
      <c r="Y246" s="1750">
        <v>0</v>
      </c>
      <c r="Z246" s="1750">
        <v>0</v>
      </c>
      <c r="AA246" s="1660">
        <v>0</v>
      </c>
      <c r="AB246" s="1660">
        <v>0</v>
      </c>
      <c r="AC246" s="1560" t="s">
        <v>2602</v>
      </c>
      <c r="AD246" s="1523" t="s">
        <v>1329</v>
      </c>
      <c r="AE246" s="1663" t="s">
        <v>1352</v>
      </c>
      <c r="AF246" s="1664" t="s">
        <v>1283</v>
      </c>
      <c r="AG246" s="1664" t="s">
        <v>1283</v>
      </c>
      <c r="AH246" s="1560">
        <v>10</v>
      </c>
      <c r="AJ246" s="1437"/>
      <c r="AK246" s="516">
        <f>H246-I246-T246-Y246-Z246-AA246-AB246</f>
        <v>0</v>
      </c>
      <c r="AL246" s="391">
        <f>T246-R246-S246</f>
        <v>0</v>
      </c>
      <c r="AM246" s="509">
        <f>T246-N246-O246-P246-Q246</f>
        <v>0</v>
      </c>
      <c r="AN246" s="1140"/>
      <c r="AO246" s="1140"/>
      <c r="AP246" s="449"/>
      <c r="AQ246" s="646" t="s">
        <v>632</v>
      </c>
      <c r="AR246" s="391">
        <v>17</v>
      </c>
      <c r="AS246" s="391">
        <v>5</v>
      </c>
      <c r="AT246" s="818">
        <v>7</v>
      </c>
      <c r="AU246" s="1152"/>
      <c r="AV246" s="450"/>
      <c r="AW246" s="14"/>
      <c r="AX246" s="14"/>
      <c r="AY246" s="1560" t="s">
        <v>2602</v>
      </c>
      <c r="AZ246" s="1275" t="s">
        <v>2567</v>
      </c>
      <c r="BA246" s="1275"/>
      <c r="BB246" s="1275" t="s">
        <v>2431</v>
      </c>
      <c r="BC246" s="7" t="s">
        <v>2109</v>
      </c>
      <c r="BD246" s="941" t="s">
        <v>2109</v>
      </c>
      <c r="BE246" s="1223"/>
      <c r="BF246" s="1019"/>
      <c r="BG246" s="579"/>
      <c r="BH246" s="66"/>
      <c r="BI246" s="66"/>
      <c r="BJ246" s="499"/>
      <c r="BK246" s="408"/>
      <c r="BL246" s="395">
        <v>0</v>
      </c>
      <c r="BM246" s="264">
        <v>573.74879999999996</v>
      </c>
      <c r="BN246" s="264"/>
      <c r="BO246" s="1500">
        <v>800</v>
      </c>
      <c r="BP246" s="2313">
        <v>800</v>
      </c>
      <c r="BQ246" s="1579">
        <v>0</v>
      </c>
      <c r="BR246" s="1666">
        <v>800</v>
      </c>
      <c r="BS246" s="1612">
        <v>0</v>
      </c>
      <c r="BT246" s="54">
        <f>BQ246+BS246</f>
        <v>0</v>
      </c>
      <c r="BU246" s="1624">
        <v>0</v>
      </c>
      <c r="BV246" s="1443">
        <v>0</v>
      </c>
      <c r="BW246" s="264">
        <v>0</v>
      </c>
      <c r="BX246" s="973">
        <v>0</v>
      </c>
      <c r="BY246" s="1313"/>
      <c r="BZ246" s="1397"/>
      <c r="CA246" s="1397"/>
      <c r="CB246" s="1398"/>
      <c r="CC246" s="1399"/>
      <c r="CD246" s="1042"/>
      <c r="CE246" s="404"/>
      <c r="CG246" s="790">
        <v>0</v>
      </c>
      <c r="CH246" s="790">
        <v>0</v>
      </c>
      <c r="CI246" s="369">
        <v>0</v>
      </c>
      <c r="CJ246" s="369">
        <v>800</v>
      </c>
      <c r="CK246" s="2672">
        <v>0</v>
      </c>
      <c r="CL246" s="2672">
        <v>0</v>
      </c>
      <c r="CM246" s="1209">
        <v>0</v>
      </c>
      <c r="CN246" s="1209"/>
      <c r="CO246" s="2766"/>
    </row>
    <row r="247" spans="1:93" s="1396" customFormat="1" ht="30.75" hidden="1" thickBot="1" x14ac:dyDescent="0.3">
      <c r="A247" s="2682" t="s">
        <v>2166</v>
      </c>
      <c r="B247" s="2683" t="s">
        <v>2568</v>
      </c>
      <c r="C247" s="1872">
        <v>2019</v>
      </c>
      <c r="D247" s="1872" t="s">
        <v>2506</v>
      </c>
      <c r="E247" s="2684" t="s">
        <v>635</v>
      </c>
      <c r="F247" s="2684" t="s">
        <v>635</v>
      </c>
      <c r="G247" s="2685" t="s">
        <v>2603</v>
      </c>
      <c r="H247" s="2686">
        <v>785.05709999999999</v>
      </c>
      <c r="I247" s="2686">
        <v>785.05709999999999</v>
      </c>
      <c r="J247" s="2780"/>
      <c r="K247" s="2074">
        <v>0</v>
      </c>
      <c r="L247" s="2773">
        <v>0</v>
      </c>
      <c r="M247" s="2785"/>
      <c r="N247" s="1879">
        <v>0</v>
      </c>
      <c r="O247" s="1880">
        <v>0</v>
      </c>
      <c r="P247" s="1881">
        <v>0</v>
      </c>
      <c r="Q247" s="1882">
        <v>0</v>
      </c>
      <c r="R247" s="2687">
        <v>14.942900000000009</v>
      </c>
      <c r="S247" s="2688">
        <v>-14.9429</v>
      </c>
      <c r="T247" s="2689">
        <f>R247+S247</f>
        <v>0</v>
      </c>
      <c r="U247" s="2689"/>
      <c r="V247" s="2689"/>
      <c r="W247" s="2689"/>
      <c r="X247" s="2689"/>
      <c r="Y247" s="1884">
        <v>0</v>
      </c>
      <c r="Z247" s="1884">
        <v>0</v>
      </c>
      <c r="AA247" s="1882">
        <v>0</v>
      </c>
      <c r="AB247" s="1882">
        <v>0</v>
      </c>
      <c r="AC247" s="1872" t="s">
        <v>2604</v>
      </c>
      <c r="AD247" s="977" t="s">
        <v>1329</v>
      </c>
      <c r="AE247" s="2690" t="s">
        <v>1352</v>
      </c>
      <c r="AF247" s="2691" t="s">
        <v>1283</v>
      </c>
      <c r="AG247" s="2691" t="s">
        <v>1283</v>
      </c>
      <c r="AH247" s="2057">
        <v>8</v>
      </c>
      <c r="AI247" s="2761"/>
      <c r="AJ247" s="1436"/>
      <c r="AK247" s="2627">
        <f>H247-I247-T247-Y247-Z247-AA247-AB247</f>
        <v>0</v>
      </c>
      <c r="AL247" s="456">
        <f>T247-R247-S247</f>
        <v>0</v>
      </c>
      <c r="AM247" s="514">
        <f>T247-N247-O247-P247-Q247</f>
        <v>0</v>
      </c>
      <c r="AN247" s="1141"/>
      <c r="AO247" s="1141"/>
      <c r="AP247" s="449"/>
      <c r="AQ247" s="646" t="s">
        <v>632</v>
      </c>
      <c r="AR247" s="391">
        <v>17</v>
      </c>
      <c r="AS247" s="391">
        <v>5</v>
      </c>
      <c r="AT247" s="818">
        <v>7</v>
      </c>
      <c r="AU247" s="1152"/>
      <c r="AV247" s="451"/>
      <c r="AW247" s="60"/>
      <c r="AX247" s="60"/>
      <c r="AY247" s="1872" t="s">
        <v>2604</v>
      </c>
      <c r="AZ247" s="1620" t="s">
        <v>2569</v>
      </c>
      <c r="BA247" s="1620"/>
      <c r="BB247" s="1620" t="s">
        <v>2431</v>
      </c>
      <c r="BC247" s="60" t="s">
        <v>2109</v>
      </c>
      <c r="BD247" s="1721" t="s">
        <v>2109</v>
      </c>
      <c r="BE247" s="1223"/>
      <c r="BF247" s="1019"/>
      <c r="BG247" s="579"/>
      <c r="BH247" s="66"/>
      <c r="BI247" s="66"/>
      <c r="BJ247" s="499"/>
      <c r="BK247" s="408"/>
      <c r="BL247" s="2615">
        <v>0</v>
      </c>
      <c r="BM247" s="370">
        <f>670.7241+114.333</f>
        <v>785.05709999999999</v>
      </c>
      <c r="BN247" s="335"/>
      <c r="BO247" s="527">
        <v>800</v>
      </c>
      <c r="BP247" s="2313">
        <v>800</v>
      </c>
      <c r="BQ247" s="1717">
        <v>0</v>
      </c>
      <c r="BR247" s="1720">
        <v>800</v>
      </c>
      <c r="BS247" s="1719">
        <v>0</v>
      </c>
      <c r="BT247" s="54">
        <f>BQ247+BS247</f>
        <v>0</v>
      </c>
      <c r="BU247" s="1718">
        <v>0</v>
      </c>
      <c r="BV247" s="1447">
        <v>0</v>
      </c>
      <c r="BW247" s="364">
        <v>0</v>
      </c>
      <c r="BX247" s="973">
        <v>0</v>
      </c>
      <c r="BY247" s="1390">
        <v>0</v>
      </c>
      <c r="BZ247" s="1397"/>
      <c r="CA247" s="1397"/>
      <c r="CB247" s="1398"/>
      <c r="CC247" s="1399"/>
      <c r="CD247" s="1042"/>
      <c r="CE247" s="404"/>
      <c r="CG247" s="1411">
        <v>0</v>
      </c>
      <c r="CH247" s="1411">
        <v>0</v>
      </c>
      <c r="CI247" s="372">
        <v>0</v>
      </c>
      <c r="CJ247" s="372">
        <v>800</v>
      </c>
      <c r="CK247" s="2074">
        <v>0</v>
      </c>
      <c r="CL247" s="2074">
        <v>0</v>
      </c>
      <c r="CM247" s="1209">
        <v>0</v>
      </c>
      <c r="CN247" s="1209"/>
      <c r="CO247" s="2769"/>
    </row>
    <row r="248" spans="1:93" s="985" customFormat="1" ht="15.75" hidden="1" thickBot="1" x14ac:dyDescent="0.3">
      <c r="A248" s="2584"/>
      <c r="B248" s="2584"/>
      <c r="C248" s="2057"/>
      <c r="D248" s="2057"/>
      <c r="E248" s="2585"/>
      <c r="F248" s="2586"/>
      <c r="G248" s="2587"/>
      <c r="H248" s="2069"/>
      <c r="I248" s="2069"/>
      <c r="J248" s="2643">
        <f t="shared" si="32"/>
        <v>0</v>
      </c>
      <c r="K248" s="2643">
        <f t="shared" si="33"/>
        <v>0</v>
      </c>
      <c r="L248" s="2643">
        <f t="shared" si="34"/>
        <v>0</v>
      </c>
      <c r="M248" s="2101"/>
      <c r="N248" s="2550"/>
      <c r="O248" s="2588"/>
      <c r="P248" s="2588"/>
      <c r="Q248" s="2589"/>
      <c r="R248" s="2590"/>
      <c r="S248" s="2591"/>
      <c r="T248" s="2452"/>
      <c r="U248" s="2452"/>
      <c r="V248" s="2452"/>
      <c r="W248" s="2452"/>
      <c r="X248" s="2452"/>
      <c r="Y248" s="2592"/>
      <c r="Z248" s="2592"/>
      <c r="AA248" s="2589"/>
      <c r="AB248" s="2589"/>
      <c r="AC248" s="2193"/>
      <c r="AD248" s="2057"/>
      <c r="AE248" s="2593"/>
      <c r="AF248" s="2594"/>
      <c r="AG248" s="2594"/>
      <c r="AH248" s="2054"/>
      <c r="AI248" s="2595"/>
      <c r="AJ248" s="2416"/>
      <c r="AK248" s="516"/>
      <c r="AL248" s="1320"/>
      <c r="AM248" s="512"/>
      <c r="AN248" s="1171"/>
      <c r="AO248" s="1171"/>
      <c r="AP248" s="1364"/>
      <c r="AQ248" s="1722"/>
      <c r="AR248" s="1365"/>
      <c r="AS248" s="1365"/>
      <c r="AT248" s="1367"/>
      <c r="AU248" s="1368"/>
      <c r="AV248" s="2012"/>
      <c r="AW248" s="2057"/>
      <c r="AX248" s="2193"/>
      <c r="AY248" s="2193"/>
      <c r="AZ248" s="2193"/>
      <c r="BA248" s="2193"/>
      <c r="BB248" s="2193"/>
      <c r="BC248" s="2193"/>
      <c r="BD248" s="2061"/>
      <c r="BE248" s="2061"/>
      <c r="BF248" s="2060"/>
      <c r="BG248" s="2061"/>
      <c r="BH248" s="1076"/>
      <c r="BI248" s="1076"/>
      <c r="BJ248" s="1078"/>
      <c r="BK248" s="2062"/>
      <c r="BL248" s="2069"/>
      <c r="BM248" s="2101"/>
      <c r="BN248" s="2541"/>
      <c r="BO248" s="2541"/>
      <c r="BP248" s="2315"/>
      <c r="BQ248" s="2101"/>
      <c r="BR248" s="2549"/>
      <c r="BS248" s="2101"/>
      <c r="BT248" s="185"/>
      <c r="BU248" s="2550"/>
      <c r="BV248" s="2551"/>
      <c r="BW248" s="2101"/>
      <c r="BX248" s="2172"/>
      <c r="BY248" s="2596"/>
      <c r="BZ248" s="2065"/>
      <c r="CA248" s="2065"/>
      <c r="CB248" s="2066"/>
      <c r="CC248" s="2067"/>
      <c r="CD248" s="2068"/>
      <c r="CE248" s="2069"/>
      <c r="CG248" s="2457"/>
      <c r="CH248" s="2457"/>
      <c r="CI248" s="2554"/>
      <c r="CJ248" s="2554"/>
    </row>
    <row r="249" spans="1:93" ht="33" hidden="1" customHeight="1" thickBot="1" x14ac:dyDescent="0.3">
      <c r="A249" s="2310" t="s">
        <v>1209</v>
      </c>
      <c r="B249" s="2311" t="s">
        <v>1209</v>
      </c>
      <c r="C249" s="210" t="s">
        <v>1209</v>
      </c>
      <c r="D249" s="140" t="s">
        <v>1209</v>
      </c>
      <c r="E249" s="1188" t="s">
        <v>1209</v>
      </c>
      <c r="F249" s="210" t="s">
        <v>1209</v>
      </c>
      <c r="G249" s="1189" t="s">
        <v>1458</v>
      </c>
      <c r="H249" s="113">
        <f>SUM(H210:H248)</f>
        <v>64031.073219999998</v>
      </c>
      <c r="I249" s="113"/>
      <c r="J249" s="2643">
        <f t="shared" si="32"/>
        <v>60529.714669999994</v>
      </c>
      <c r="K249" s="2643">
        <f t="shared" si="33"/>
        <v>60529.714669999994</v>
      </c>
      <c r="L249" s="2643">
        <f t="shared" si="34"/>
        <v>-3501.3585500000045</v>
      </c>
      <c r="M249" s="113"/>
      <c r="N249" s="113">
        <f t="shared" ref="N249:AB249" si="36">SUM(N210:N248)</f>
        <v>0</v>
      </c>
      <c r="O249" s="113">
        <f t="shared" si="36"/>
        <v>0</v>
      </c>
      <c r="P249" s="113">
        <f t="shared" si="36"/>
        <v>0</v>
      </c>
      <c r="Q249" s="113">
        <f t="shared" si="36"/>
        <v>0</v>
      </c>
      <c r="R249" s="113">
        <f t="shared" si="36"/>
        <v>1490.8831</v>
      </c>
      <c r="S249" s="113">
        <f t="shared" si="36"/>
        <v>-1490.8831</v>
      </c>
      <c r="T249" s="113">
        <f t="shared" si="36"/>
        <v>8.5487172896137054E-15</v>
      </c>
      <c r="U249" s="113"/>
      <c r="V249" s="113"/>
      <c r="W249" s="113"/>
      <c r="X249" s="113"/>
      <c r="Y249" s="113">
        <f>SUM(Y210:Y248)</f>
        <v>0</v>
      </c>
      <c r="Z249" s="113">
        <f>SUM(Z210:Z248)</f>
        <v>0</v>
      </c>
      <c r="AA249" s="113">
        <f t="shared" si="36"/>
        <v>3326.652</v>
      </c>
      <c r="AB249" s="113">
        <f t="shared" si="36"/>
        <v>174.70654999999999</v>
      </c>
      <c r="AC249" s="165" t="s">
        <v>2570</v>
      </c>
      <c r="AD249" s="114" t="s">
        <v>1209</v>
      </c>
      <c r="AE249" s="1505" t="s">
        <v>1209</v>
      </c>
      <c r="AF249" s="114" t="s">
        <v>1209</v>
      </c>
      <c r="AG249" s="122" t="s">
        <v>1209</v>
      </c>
      <c r="AH249" s="305" t="s">
        <v>1209</v>
      </c>
      <c r="AI249" s="723" t="s">
        <v>1209</v>
      </c>
      <c r="AJ249" s="2416">
        <v>15186.123219999994</v>
      </c>
      <c r="AK249" s="516">
        <v>0</v>
      </c>
      <c r="AL249" s="352">
        <v>0</v>
      </c>
      <c r="AM249" s="514">
        <v>0</v>
      </c>
      <c r="AN249" s="1141"/>
      <c r="AO249" s="1141"/>
      <c r="AP249" s="529">
        <v>1</v>
      </c>
      <c r="AQ249" s="1518" t="s">
        <v>632</v>
      </c>
      <c r="AR249" s="340">
        <v>17</v>
      </c>
      <c r="AS249" s="524"/>
      <c r="AT249" s="456"/>
      <c r="AU249" s="1136"/>
      <c r="AV249" s="451"/>
      <c r="AW249" s="60"/>
      <c r="AX249" s="277"/>
      <c r="AY249" s="277"/>
      <c r="AZ249" s="165" t="s">
        <v>2570</v>
      </c>
      <c r="BA249" s="165"/>
      <c r="BB249" s="165" t="s">
        <v>2262</v>
      </c>
      <c r="BC249" s="165" t="s">
        <v>2150</v>
      </c>
      <c r="BD249" s="165" t="s">
        <v>2150</v>
      </c>
      <c r="BE249" s="165" t="s">
        <v>1689</v>
      </c>
      <c r="BF249" s="165" t="s">
        <v>1689</v>
      </c>
      <c r="BG249" s="2443" t="s">
        <v>1378</v>
      </c>
      <c r="BH249" s="428"/>
      <c r="BI249" s="428"/>
      <c r="BJ249" s="460"/>
      <c r="BK249" s="505"/>
      <c r="BL249" s="113">
        <f>SUM(BL210:BL248)</f>
        <v>4887.8032999999996</v>
      </c>
      <c r="BM249" s="113">
        <f>SUM(BM210:BM248)</f>
        <v>55641.911369999994</v>
      </c>
      <c r="BN249" s="113">
        <f>SUM(BN210:BN248)</f>
        <v>46801.886459999994</v>
      </c>
      <c r="BO249" s="113">
        <f t="shared" ref="BO249:CJ249" si="37">SUM(BO210:BO248)</f>
        <v>57550.75845999999</v>
      </c>
      <c r="BP249" s="113">
        <f t="shared" si="37"/>
        <v>5745.9549900000011</v>
      </c>
      <c r="BQ249" s="113">
        <f t="shared" si="37"/>
        <v>29306.923180000002</v>
      </c>
      <c r="BR249" s="113">
        <f t="shared" si="37"/>
        <v>27723.546620000001</v>
      </c>
      <c r="BS249" s="113">
        <f t="shared" si="37"/>
        <v>22497.880290000005</v>
      </c>
      <c r="BT249" s="113">
        <f t="shared" si="37"/>
        <v>51304.803469999992</v>
      </c>
      <c r="BU249" s="113">
        <f t="shared" si="37"/>
        <v>10253.563720000002</v>
      </c>
      <c r="BV249" s="113">
        <f t="shared" si="37"/>
        <v>28806.923180000002</v>
      </c>
      <c r="BW249" s="113">
        <f t="shared" si="37"/>
        <v>1752.2149999999999</v>
      </c>
      <c r="BX249" s="113">
        <f t="shared" si="37"/>
        <v>27054.708180000001</v>
      </c>
      <c r="BY249" s="113">
        <f t="shared" si="37"/>
        <v>5018.2624699999997</v>
      </c>
      <c r="BZ249" s="113">
        <f t="shared" si="37"/>
        <v>22036.445709999996</v>
      </c>
      <c r="CA249" s="113">
        <f t="shared" si="37"/>
        <v>16122.25513</v>
      </c>
      <c r="CB249" s="113">
        <f t="shared" si="37"/>
        <v>10005.305850000001</v>
      </c>
      <c r="CC249" s="113">
        <f t="shared" si="37"/>
        <v>0</v>
      </c>
      <c r="CD249" s="113">
        <f t="shared" si="37"/>
        <v>4413.3577599999999</v>
      </c>
      <c r="CE249" s="113">
        <f t="shared" si="37"/>
        <v>3095.4464699999999</v>
      </c>
      <c r="CF249" s="113">
        <f t="shared" si="37"/>
        <v>169</v>
      </c>
      <c r="CG249" s="113">
        <f t="shared" si="37"/>
        <v>3083.4459299999999</v>
      </c>
      <c r="CH249" s="113">
        <f t="shared" si="37"/>
        <v>6921.8599200000008</v>
      </c>
      <c r="CI249" s="113">
        <f t="shared" si="37"/>
        <v>17549.343860000001</v>
      </c>
      <c r="CJ249" s="113">
        <f t="shared" si="37"/>
        <v>29996.108749999999</v>
      </c>
    </row>
    <row r="250" spans="1:93" s="1124" customFormat="1" ht="33" hidden="1" customHeight="1" thickBot="1" x14ac:dyDescent="0.3">
      <c r="A250" s="2578"/>
      <c r="B250" s="2579"/>
      <c r="C250" s="656"/>
      <c r="D250" s="62"/>
      <c r="E250" s="2580"/>
      <c r="F250" s="656"/>
      <c r="G250" s="2460"/>
      <c r="H250" s="184"/>
      <c r="I250" s="184"/>
      <c r="J250" s="2643">
        <f t="shared" si="32"/>
        <v>0</v>
      </c>
      <c r="K250" s="2643">
        <f t="shared" si="33"/>
        <v>0</v>
      </c>
      <c r="L250" s="2643">
        <f t="shared" si="34"/>
        <v>0</v>
      </c>
      <c r="M250" s="184"/>
      <c r="N250" s="184"/>
      <c r="O250" s="184"/>
      <c r="P250" s="184"/>
      <c r="Q250" s="184"/>
      <c r="R250" s="657"/>
      <c r="S250" s="184"/>
      <c r="T250" s="184"/>
      <c r="U250" s="184"/>
      <c r="V250" s="184"/>
      <c r="W250" s="184"/>
      <c r="X250" s="184"/>
      <c r="Y250" s="184"/>
      <c r="Z250" s="184"/>
      <c r="AA250" s="184"/>
      <c r="AB250" s="184"/>
      <c r="AC250" s="107"/>
      <c r="AD250" s="2387"/>
      <c r="AE250" s="2444"/>
      <c r="AF250" s="2387"/>
      <c r="AG250" s="2386"/>
      <c r="AH250" s="2388"/>
      <c r="AI250" s="2387"/>
      <c r="AJ250" s="2416"/>
      <c r="AK250" s="516"/>
      <c r="AL250" s="352"/>
      <c r="AM250" s="514"/>
      <c r="AN250" s="1140"/>
      <c r="AO250" s="1140"/>
      <c r="AP250" s="529"/>
      <c r="AQ250" s="340"/>
      <c r="AR250" s="340"/>
      <c r="AS250" s="524"/>
      <c r="AT250" s="456"/>
      <c r="AU250" s="1136"/>
      <c r="AV250" s="2582"/>
      <c r="AW250" s="60"/>
      <c r="AX250" s="277"/>
      <c r="AY250" s="277"/>
      <c r="AZ250" s="107"/>
      <c r="BA250" s="107"/>
      <c r="BB250" s="107"/>
      <c r="BC250" s="107"/>
      <c r="BD250" s="107"/>
      <c r="BE250" s="107"/>
      <c r="BF250" s="107"/>
      <c r="BG250" s="2598"/>
      <c r="BH250" s="428"/>
      <c r="BI250" s="390"/>
      <c r="BJ250" s="459"/>
      <c r="BK250" s="107"/>
      <c r="BL250" s="184"/>
      <c r="BM250" s="184"/>
      <c r="BN250" s="184"/>
      <c r="BO250" s="184"/>
      <c r="BP250" s="19"/>
      <c r="BQ250" s="184"/>
      <c r="BR250" s="184"/>
      <c r="BS250" s="184"/>
      <c r="BT250" s="184"/>
      <c r="BU250" s="184"/>
      <c r="BV250" s="1481"/>
      <c r="BW250" s="259"/>
      <c r="BX250" s="184"/>
      <c r="BY250" s="1310"/>
      <c r="BZ250" s="184"/>
      <c r="CA250" s="184"/>
      <c r="CB250" s="184"/>
      <c r="CC250" s="184"/>
      <c r="CD250" s="184"/>
      <c r="CE250" s="184"/>
      <c r="CG250" s="1409"/>
      <c r="CH250" s="1409"/>
      <c r="CI250" s="2597"/>
      <c r="CJ250" s="2583"/>
    </row>
    <row r="251" spans="1:93" s="1124" customFormat="1" ht="15" hidden="1" customHeight="1" thickBot="1" x14ac:dyDescent="0.3">
      <c r="A251" s="2578"/>
      <c r="B251" s="2579"/>
      <c r="C251" s="656"/>
      <c r="D251" s="62"/>
      <c r="E251" s="2580"/>
      <c r="F251" s="656"/>
      <c r="G251" s="2460"/>
      <c r="H251" s="184"/>
      <c r="I251" s="184"/>
      <c r="J251" s="2643">
        <f t="shared" si="32"/>
        <v>0</v>
      </c>
      <c r="K251" s="2643">
        <f t="shared" si="33"/>
        <v>0</v>
      </c>
      <c r="L251" s="2643">
        <f t="shared" si="34"/>
        <v>0</v>
      </c>
      <c r="M251" s="184"/>
      <c r="N251" s="184"/>
      <c r="O251" s="184"/>
      <c r="P251" s="184"/>
      <c r="Q251" s="184"/>
      <c r="R251" s="657"/>
      <c r="S251" s="184"/>
      <c r="T251" s="184"/>
      <c r="U251" s="184"/>
      <c r="V251" s="184"/>
      <c r="W251" s="184"/>
      <c r="X251" s="184"/>
      <c r="Y251" s="184"/>
      <c r="Z251" s="184"/>
      <c r="AA251" s="184"/>
      <c r="AB251" s="184"/>
      <c r="AC251" s="107"/>
      <c r="AD251" s="2387"/>
      <c r="AE251" s="2444"/>
      <c r="AF251" s="2387"/>
      <c r="AG251" s="2386"/>
      <c r="AH251" s="2388"/>
      <c r="AI251" s="2387"/>
      <c r="AJ251" s="2416"/>
      <c r="AK251" s="516"/>
      <c r="AL251" s="352"/>
      <c r="AM251" s="514"/>
      <c r="AN251" s="1140"/>
      <c r="AO251" s="1140"/>
      <c r="AP251" s="529"/>
      <c r="AQ251" s="340"/>
      <c r="AR251" s="340"/>
      <c r="AS251" s="524"/>
      <c r="AT251" s="456"/>
      <c r="AU251" s="1136"/>
      <c r="AV251" s="2582"/>
      <c r="AW251" s="60"/>
      <c r="AX251" s="277"/>
      <c r="AY251" s="277"/>
      <c r="AZ251" s="107"/>
      <c r="BA251" s="107"/>
      <c r="BB251" s="107"/>
      <c r="BC251" s="107"/>
      <c r="BD251" s="107"/>
      <c r="BE251" s="107"/>
      <c r="BF251" s="107"/>
      <c r="BG251" s="2598"/>
      <c r="BH251" s="428"/>
      <c r="BI251" s="390"/>
      <c r="BJ251" s="459"/>
      <c r="BK251" s="107"/>
      <c r="BL251" s="184"/>
      <c r="BM251" s="184"/>
      <c r="BN251" s="184"/>
      <c r="BO251" s="184"/>
      <c r="BP251" s="19"/>
      <c r="BQ251" s="184"/>
      <c r="BR251" s="184"/>
      <c r="BS251" s="184"/>
      <c r="BT251" s="184"/>
      <c r="BU251" s="184"/>
      <c r="BV251" s="1481"/>
      <c r="BW251" s="259"/>
      <c r="BX251" s="184"/>
      <c r="BY251" s="1310"/>
      <c r="BZ251" s="184"/>
      <c r="CA251" s="184"/>
      <c r="CB251" s="184"/>
      <c r="CC251" s="184"/>
      <c r="CD251" s="184"/>
      <c r="CE251" s="184"/>
      <c r="CG251" s="1409"/>
      <c r="CH251" s="1409"/>
      <c r="CI251" s="2597"/>
      <c r="CJ251" s="2583"/>
    </row>
    <row r="252" spans="1:93" ht="33" hidden="1" customHeight="1" thickBot="1" x14ac:dyDescent="0.3">
      <c r="A252" s="2310" t="s">
        <v>1209</v>
      </c>
      <c r="B252" s="2311" t="s">
        <v>1209</v>
      </c>
      <c r="C252" s="210" t="s">
        <v>1209</v>
      </c>
      <c r="D252" s="140" t="s">
        <v>1209</v>
      </c>
      <c r="E252" s="1188" t="s">
        <v>1209</v>
      </c>
      <c r="F252" s="210" t="s">
        <v>1209</v>
      </c>
      <c r="G252" s="1189" t="s">
        <v>1457</v>
      </c>
      <c r="H252" s="113">
        <f>SUM(H250:H251)</f>
        <v>0</v>
      </c>
      <c r="I252" s="113"/>
      <c r="J252" s="2643">
        <f t="shared" si="32"/>
        <v>0</v>
      </c>
      <c r="K252" s="2643">
        <f t="shared" si="33"/>
        <v>0</v>
      </c>
      <c r="L252" s="2643">
        <f t="shared" si="34"/>
        <v>0</v>
      </c>
      <c r="M252" s="113"/>
      <c r="N252" s="113">
        <f t="shared" ref="N252:AB252" si="38">SUM(N250:N251)</f>
        <v>0</v>
      </c>
      <c r="O252" s="113">
        <f t="shared" si="38"/>
        <v>0</v>
      </c>
      <c r="P252" s="113">
        <f t="shared" si="38"/>
        <v>0</v>
      </c>
      <c r="Q252" s="113">
        <f t="shared" si="38"/>
        <v>0</v>
      </c>
      <c r="R252" s="113">
        <f t="shared" si="38"/>
        <v>0</v>
      </c>
      <c r="S252" s="113">
        <f t="shared" si="38"/>
        <v>0</v>
      </c>
      <c r="T252" s="113">
        <f t="shared" si="38"/>
        <v>0</v>
      </c>
      <c r="U252" s="113"/>
      <c r="V252" s="113"/>
      <c r="W252" s="113"/>
      <c r="X252" s="113"/>
      <c r="Y252" s="113">
        <f>SUM(Y250:Y251)</f>
        <v>0</v>
      </c>
      <c r="Z252" s="113">
        <f>SUM(Z250:Z251)</f>
        <v>0</v>
      </c>
      <c r="AA252" s="113">
        <f t="shared" si="38"/>
        <v>0</v>
      </c>
      <c r="AB252" s="113">
        <f t="shared" si="38"/>
        <v>0</v>
      </c>
      <c r="AC252" s="114" t="s">
        <v>2522</v>
      </c>
      <c r="AD252" s="121" t="s">
        <v>1209</v>
      </c>
      <c r="AE252" s="2332" t="s">
        <v>1209</v>
      </c>
      <c r="AF252" s="121" t="s">
        <v>1209</v>
      </c>
      <c r="AG252" s="127" t="s">
        <v>1209</v>
      </c>
      <c r="AH252" s="305" t="s">
        <v>1209</v>
      </c>
      <c r="AI252" s="733" t="s">
        <v>1209</v>
      </c>
      <c r="AJ252" s="2416">
        <v>1.3642420526593924E-12</v>
      </c>
      <c r="AK252" s="516">
        <v>0</v>
      </c>
      <c r="AL252" s="352">
        <v>0</v>
      </c>
      <c r="AM252" s="514">
        <v>0</v>
      </c>
      <c r="AN252" s="1140"/>
      <c r="AO252" s="1140"/>
      <c r="AP252" s="1155">
        <v>1</v>
      </c>
      <c r="AQ252" s="1518" t="s">
        <v>814</v>
      </c>
      <c r="AR252" s="340">
        <v>25</v>
      </c>
      <c r="AS252" s="340"/>
      <c r="AT252" s="456"/>
      <c r="AU252" s="1136"/>
      <c r="AV252" s="451"/>
      <c r="AW252" s="60"/>
      <c r="AX252" s="60"/>
      <c r="AY252" s="60"/>
      <c r="AZ252" s="114" t="s">
        <v>2522</v>
      </c>
      <c r="BA252" s="114"/>
      <c r="BB252" s="114" t="s">
        <v>2254</v>
      </c>
      <c r="BC252" s="114" t="s">
        <v>2241</v>
      </c>
      <c r="BD252" s="114" t="s">
        <v>2151</v>
      </c>
      <c r="BE252" s="114" t="s">
        <v>1688</v>
      </c>
      <c r="BF252" s="165" t="s">
        <v>1688</v>
      </c>
      <c r="BG252" s="2443" t="s">
        <v>1371</v>
      </c>
      <c r="BH252" s="428"/>
      <c r="BI252" s="390"/>
      <c r="BJ252" s="460"/>
      <c r="BK252" s="505"/>
      <c r="BL252" s="113">
        <f>SUM(BL250:BL251)</f>
        <v>0</v>
      </c>
      <c r="BM252" s="113">
        <f>SUM(BM250:BM251)</f>
        <v>0</v>
      </c>
      <c r="BN252" s="113">
        <f>SUM(BN250:BN251)</f>
        <v>0</v>
      </c>
      <c r="BO252" s="113">
        <f t="shared" ref="BO252:CJ252" si="39">SUM(BO250:BO251)</f>
        <v>0</v>
      </c>
      <c r="BP252" s="113">
        <f t="shared" si="39"/>
        <v>0</v>
      </c>
      <c r="BQ252" s="113">
        <f t="shared" si="39"/>
        <v>0</v>
      </c>
      <c r="BR252" s="113">
        <f t="shared" si="39"/>
        <v>0</v>
      </c>
      <c r="BS252" s="113">
        <f t="shared" si="39"/>
        <v>0</v>
      </c>
      <c r="BT252" s="113">
        <f t="shared" si="39"/>
        <v>0</v>
      </c>
      <c r="BU252" s="113">
        <f t="shared" si="39"/>
        <v>0</v>
      </c>
      <c r="BV252" s="113">
        <f t="shared" si="39"/>
        <v>0</v>
      </c>
      <c r="BW252" s="113">
        <f t="shared" si="39"/>
        <v>0</v>
      </c>
      <c r="BX252" s="113">
        <f t="shared" si="39"/>
        <v>0</v>
      </c>
      <c r="BY252" s="113">
        <f t="shared" si="39"/>
        <v>0</v>
      </c>
      <c r="BZ252" s="113">
        <f t="shared" si="39"/>
        <v>0</v>
      </c>
      <c r="CA252" s="113">
        <f t="shared" si="39"/>
        <v>0</v>
      </c>
      <c r="CB252" s="113">
        <f t="shared" si="39"/>
        <v>0</v>
      </c>
      <c r="CC252" s="113">
        <f t="shared" si="39"/>
        <v>0</v>
      </c>
      <c r="CD252" s="113">
        <f t="shared" si="39"/>
        <v>0</v>
      </c>
      <c r="CE252" s="113">
        <f t="shared" si="39"/>
        <v>0</v>
      </c>
      <c r="CF252" s="113">
        <f t="shared" si="39"/>
        <v>0</v>
      </c>
      <c r="CG252" s="113">
        <f t="shared" si="39"/>
        <v>0</v>
      </c>
      <c r="CH252" s="113">
        <f t="shared" si="39"/>
        <v>0</v>
      </c>
      <c r="CI252" s="113">
        <f t="shared" si="39"/>
        <v>0</v>
      </c>
      <c r="CJ252" s="113">
        <f t="shared" si="39"/>
        <v>0</v>
      </c>
    </row>
    <row r="253" spans="1:93" ht="49.5" hidden="1" customHeight="1" thickBot="1" x14ac:dyDescent="0.3">
      <c r="A253" s="4547" t="s">
        <v>817</v>
      </c>
      <c r="B253" s="4548"/>
      <c r="C253" s="4548"/>
      <c r="D253" s="4548"/>
      <c r="E253" s="4548"/>
      <c r="F253" s="4548"/>
      <c r="G253" s="1495" t="s">
        <v>2516</v>
      </c>
      <c r="H253" s="113">
        <f>H12+H16+H25+H102+H150+H176+H200+H203+H206+H209+H249+H252</f>
        <v>1122492.9804099998</v>
      </c>
      <c r="I253" s="113"/>
      <c r="J253" s="2643">
        <f t="shared" si="32"/>
        <v>1045188.7927299999</v>
      </c>
      <c r="K253" s="2643">
        <f t="shared" si="33"/>
        <v>1045188.7927299999</v>
      </c>
      <c r="L253" s="2643">
        <f t="shared" si="34"/>
        <v>-77304.187679999974</v>
      </c>
      <c r="M253" s="113"/>
      <c r="N253" s="113">
        <f t="shared" ref="N253:T253" si="40">N12+N16+N25+N102+N150+N176+N200+N203+N206+N209+N249+N252</f>
        <v>0</v>
      </c>
      <c r="O253" s="113">
        <f t="shared" si="40"/>
        <v>0</v>
      </c>
      <c r="P253" s="113">
        <f t="shared" si="40"/>
        <v>0</v>
      </c>
      <c r="Q253" s="113">
        <f t="shared" si="40"/>
        <v>0</v>
      </c>
      <c r="R253" s="113">
        <f t="shared" si="40"/>
        <v>143848.97139000002</v>
      </c>
      <c r="S253" s="113">
        <f t="shared" si="40"/>
        <v>-143848.97139000002</v>
      </c>
      <c r="T253" s="113">
        <f t="shared" si="40"/>
        <v>9.050546770361656E-13</v>
      </c>
      <c r="U253" s="113"/>
      <c r="V253" s="113"/>
      <c r="W253" s="113"/>
      <c r="X253" s="113"/>
      <c r="Y253" s="113">
        <f>Y12+Y16+Y25+Y102+Y150+Y176+Y200+Y203+Y206+Y209+Y249+Y252</f>
        <v>0</v>
      </c>
      <c r="Z253" s="113">
        <f>Z12+Z16+Z25+Z102+Z150+Z176+Z200+Z203+Z206+Z209+Z249+Z252</f>
        <v>0</v>
      </c>
      <c r="AA253" s="113">
        <f>AA12+AA16+AA25+AA102+AA150+AA176+AA200+AA203+AA206+AA209+AA249+AA252</f>
        <v>9426.652</v>
      </c>
      <c r="AB253" s="113">
        <f>AB12+AB16+AB25+AB102+AB150+AB176+AB200+AB203+AB206+AB209+AB249+AB252</f>
        <v>66273.064230000004</v>
      </c>
      <c r="AC253" s="165" t="s">
        <v>2571</v>
      </c>
      <c r="AD253" s="121" t="s">
        <v>1209</v>
      </c>
      <c r="AE253" s="2332" t="s">
        <v>1209</v>
      </c>
      <c r="AF253" s="121" t="s">
        <v>1209</v>
      </c>
      <c r="AG253" s="127" t="s">
        <v>1209</v>
      </c>
      <c r="AH253" s="121" t="s">
        <v>1209</v>
      </c>
      <c r="AI253" s="733" t="s">
        <v>1209</v>
      </c>
      <c r="AJ253" s="2416">
        <v>330830.29319999996</v>
      </c>
      <c r="AK253" s="516">
        <v>-9.9884346127510071E-7</v>
      </c>
      <c r="AL253" s="442">
        <v>-2.9103830456733704E-10</v>
      </c>
      <c r="AM253" s="1371">
        <v>0</v>
      </c>
      <c r="AN253" s="3194"/>
      <c r="AO253" s="1139"/>
      <c r="AP253" s="445">
        <v>1</v>
      </c>
      <c r="AQ253" s="1905"/>
      <c r="AR253" s="446"/>
      <c r="AS253" s="447"/>
      <c r="AT253" s="520"/>
      <c r="AU253" s="107"/>
      <c r="AV253" s="521"/>
      <c r="AW253" s="62"/>
      <c r="AX253" s="658"/>
      <c r="AY253" s="658"/>
      <c r="AZ253" s="165" t="s">
        <v>2571</v>
      </c>
      <c r="BA253" s="165"/>
      <c r="BB253" s="165" t="s">
        <v>2263</v>
      </c>
      <c r="BC253" s="165" t="s">
        <v>2152</v>
      </c>
      <c r="BD253" s="165" t="s">
        <v>2152</v>
      </c>
      <c r="BE253" s="165" t="s">
        <v>1699</v>
      </c>
      <c r="BF253" s="165" t="s">
        <v>1699</v>
      </c>
      <c r="BG253" s="114" t="s">
        <v>1379</v>
      </c>
      <c r="BH253" s="518"/>
      <c r="BI253" s="390"/>
      <c r="BJ253" s="460"/>
      <c r="BK253" s="505"/>
      <c r="BL253" s="113">
        <f t="shared" ref="BL253:CJ253" si="41">BL12+BL16+BL25+BL102+BL150+BL176+BL200+BL203+BL206+BL209+BL249+BL252</f>
        <v>317396.94964000001</v>
      </c>
      <c r="BM253" s="113">
        <f t="shared" si="41"/>
        <v>727791.84308999986</v>
      </c>
      <c r="BN253" s="113">
        <f t="shared" si="41"/>
        <v>725651.46976999985</v>
      </c>
      <c r="BO253" s="113">
        <f t="shared" si="41"/>
        <v>767280.17108999996</v>
      </c>
      <c r="BP253" s="113">
        <f t="shared" si="41"/>
        <v>51158.392066</v>
      </c>
      <c r="BQ253" s="113">
        <f t="shared" si="41"/>
        <v>344134.34844399994</v>
      </c>
      <c r="BR253" s="113">
        <f t="shared" si="41"/>
        <v>392769.26453600003</v>
      </c>
      <c r="BS253" s="113">
        <f t="shared" si="41"/>
        <v>369866.33361999999</v>
      </c>
      <c r="BT253" s="113">
        <f t="shared" si="41"/>
        <v>695413.64248999988</v>
      </c>
      <c r="BU253" s="113">
        <f t="shared" si="41"/>
        <v>155907.16941</v>
      </c>
      <c r="BV253" s="113">
        <f t="shared" si="41"/>
        <v>327993.5275599999</v>
      </c>
      <c r="BW253" s="113">
        <f t="shared" si="41"/>
        <v>65979.902249999999</v>
      </c>
      <c r="BX253" s="113">
        <f t="shared" si="41"/>
        <v>264459.84400000004</v>
      </c>
      <c r="BY253" s="113">
        <f t="shared" si="41"/>
        <v>25967.362540000002</v>
      </c>
      <c r="BZ253" s="113">
        <f t="shared" si="41"/>
        <v>243384.91884</v>
      </c>
      <c r="CA253" s="113">
        <f t="shared" si="41"/>
        <v>182194.41642000002</v>
      </c>
      <c r="CB253" s="113">
        <f t="shared" si="41"/>
        <v>135535.13756</v>
      </c>
      <c r="CC253" s="113">
        <f t="shared" si="41"/>
        <v>2232.5863199999999</v>
      </c>
      <c r="CD253" s="113">
        <f t="shared" si="41"/>
        <v>99735.61486999999</v>
      </c>
      <c r="CE253" s="113">
        <f t="shared" si="41"/>
        <v>86237.336349999998</v>
      </c>
      <c r="CF253" s="113">
        <f t="shared" si="41"/>
        <v>2761.5863199999999</v>
      </c>
      <c r="CG253" s="113">
        <f t="shared" si="41"/>
        <v>87317.645770000003</v>
      </c>
      <c r="CH253" s="113">
        <f t="shared" si="41"/>
        <v>48431.124159999999</v>
      </c>
      <c r="CI253" s="113">
        <f t="shared" si="41"/>
        <v>152079.11027400001</v>
      </c>
      <c r="CJ253" s="113">
        <f t="shared" si="41"/>
        <v>581743.24891600001</v>
      </c>
    </row>
  </sheetData>
  <autoFilter ref="A9:CJ253" xr:uid="{00000000-0009-0000-0000-000001000000}">
    <filterColumn colId="33">
      <filters>
        <filter val="5"/>
      </filters>
    </filterColumn>
    <filterColumn colId="34">
      <customFilters>
        <customFilter operator="notEqual" val=" "/>
      </customFilters>
    </filterColumn>
  </autoFilter>
  <mergeCells count="98">
    <mergeCell ref="CS6:CS7"/>
    <mergeCell ref="N6:Q6"/>
    <mergeCell ref="AH6:AH7"/>
    <mergeCell ref="AI6:AI7"/>
    <mergeCell ref="AK6:AN6"/>
    <mergeCell ref="AP6:AU6"/>
    <mergeCell ref="AC6:AC7"/>
    <mergeCell ref="AD6:AD7"/>
    <mergeCell ref="AE6:AE7"/>
    <mergeCell ref="AF6:AF7"/>
    <mergeCell ref="AG6:AG7"/>
    <mergeCell ref="AJ6:AJ7"/>
    <mergeCell ref="I6:I7"/>
    <mergeCell ref="J6:J7"/>
    <mergeCell ref="K6:K7"/>
    <mergeCell ref="L6:L7"/>
    <mergeCell ref="M6:M7"/>
    <mergeCell ref="AZ2:AZ3"/>
    <mergeCell ref="BB2:BB3"/>
    <mergeCell ref="BC2:BC3"/>
    <mergeCell ref="R6:T6"/>
    <mergeCell ref="U6:X6"/>
    <mergeCell ref="Y6:Y7"/>
    <mergeCell ref="Z6:Z7"/>
    <mergeCell ref="AA6:AB6"/>
    <mergeCell ref="U2:X2"/>
    <mergeCell ref="AD5:AH5"/>
    <mergeCell ref="AW6:AW7"/>
    <mergeCell ref="AI2:AI3"/>
    <mergeCell ref="AH2:AH3"/>
    <mergeCell ref="AK2:AM2"/>
    <mergeCell ref="AY2:AY3"/>
    <mergeCell ref="AW2:AW3"/>
    <mergeCell ref="CK2:CK3"/>
    <mergeCell ref="CL2:CL3"/>
    <mergeCell ref="CM2:CM3"/>
    <mergeCell ref="AP2:AU2"/>
    <mergeCell ref="BD2:BD3"/>
    <mergeCell ref="BL2:BL3"/>
    <mergeCell ref="BM2:BM3"/>
    <mergeCell ref="CJ2:CJ3"/>
    <mergeCell ref="CH2:CH3"/>
    <mergeCell ref="CI2:CI3"/>
    <mergeCell ref="BW2:BW3"/>
    <mergeCell ref="BF2:BF3"/>
    <mergeCell ref="BG2:BG3"/>
    <mergeCell ref="BH2:BI2"/>
    <mergeCell ref="BK2:BK3"/>
    <mergeCell ref="BO2:BO3"/>
    <mergeCell ref="BE2:BE3"/>
    <mergeCell ref="AD1:AG1"/>
    <mergeCell ref="A2:A3"/>
    <mergeCell ref="B2:B3"/>
    <mergeCell ref="C2:C3"/>
    <mergeCell ref="D2:D3"/>
    <mergeCell ref="E2:E3"/>
    <mergeCell ref="F2:F3"/>
    <mergeCell ref="G2:G3"/>
    <mergeCell ref="H2:H3"/>
    <mergeCell ref="I2:I3"/>
    <mergeCell ref="AF2:AF3"/>
    <mergeCell ref="J2:J3"/>
    <mergeCell ref="N2:Q2"/>
    <mergeCell ref="R2:T2"/>
    <mergeCell ref="AA2:AB2"/>
    <mergeCell ref="BP2:BP3"/>
    <mergeCell ref="BN2:BN3"/>
    <mergeCell ref="BR2:BR3"/>
    <mergeCell ref="CC2:CC3"/>
    <mergeCell ref="BQ2:BQ3"/>
    <mergeCell ref="BV2:BV3"/>
    <mergeCell ref="BS2:BS3"/>
    <mergeCell ref="BT2:BT3"/>
    <mergeCell ref="CD2:CD3"/>
    <mergeCell ref="CE2:CE3"/>
    <mergeCell ref="CF2:CF3"/>
    <mergeCell ref="CG2:CG3"/>
    <mergeCell ref="BX2:BX3"/>
    <mergeCell ref="BY2:BY3"/>
    <mergeCell ref="BZ2:BZ3"/>
    <mergeCell ref="CA2:CA3"/>
    <mergeCell ref="CB2:CB3"/>
    <mergeCell ref="A253:F253"/>
    <mergeCell ref="M2:M3"/>
    <mergeCell ref="Y2:Y3"/>
    <mergeCell ref="AG2:AG3"/>
    <mergeCell ref="Z2:Z3"/>
    <mergeCell ref="AC2:AC3"/>
    <mergeCell ref="AD2:AD3"/>
    <mergeCell ref="AE2:AE3"/>
    <mergeCell ref="A6:A7"/>
    <mergeCell ref="B6:B7"/>
    <mergeCell ref="C6:C7"/>
    <mergeCell ref="D6:D7"/>
    <mergeCell ref="E6:E7"/>
    <mergeCell ref="F6:F7"/>
    <mergeCell ref="G6:G7"/>
    <mergeCell ref="H6:H7"/>
  </mergeCells>
  <conditionalFormatting sqref="AK41:AN41">
    <cfRule type="cellIs" dxfId="59" priority="59" operator="lessThan">
      <formula>-0.0000049</formula>
    </cfRule>
    <cfRule type="cellIs" dxfId="58" priority="60" operator="greaterThan">
      <formula>0.0000049</formula>
    </cfRule>
  </conditionalFormatting>
  <conditionalFormatting sqref="AK76:AN76">
    <cfRule type="cellIs" dxfId="57" priority="57" operator="lessThan">
      <formula>-0.0000049</formula>
    </cfRule>
    <cfRule type="cellIs" dxfId="56" priority="58" operator="greaterThan">
      <formula>0.0000049</formula>
    </cfRule>
  </conditionalFormatting>
  <conditionalFormatting sqref="AK80:AN80">
    <cfRule type="cellIs" dxfId="55" priority="55" operator="lessThan">
      <formula>-0.0000049</formula>
    </cfRule>
    <cfRule type="cellIs" dxfId="54" priority="56" operator="greaterThan">
      <formula>0.0000049</formula>
    </cfRule>
  </conditionalFormatting>
  <conditionalFormatting sqref="AK95:AN95">
    <cfRule type="cellIs" dxfId="53" priority="53" operator="lessThan">
      <formula>-0.0000049</formula>
    </cfRule>
    <cfRule type="cellIs" dxfId="52" priority="54" operator="greaterThan">
      <formula>0.0000049</formula>
    </cfRule>
  </conditionalFormatting>
  <conditionalFormatting sqref="AK126:AN127">
    <cfRule type="cellIs" dxfId="51" priority="51" operator="lessThan">
      <formula>-0.0000049</formula>
    </cfRule>
    <cfRule type="cellIs" dxfId="50" priority="52" operator="greaterThan">
      <formula>0.0000049</formula>
    </cfRule>
  </conditionalFormatting>
  <conditionalFormatting sqref="AK135:AN135">
    <cfRule type="cellIs" dxfId="49" priority="49" operator="lessThan">
      <formula>-0.0000049</formula>
    </cfRule>
    <cfRule type="cellIs" dxfId="48" priority="50" operator="greaterThan">
      <formula>0.0000049</formula>
    </cfRule>
  </conditionalFormatting>
  <conditionalFormatting sqref="AK146:AN146">
    <cfRule type="cellIs" dxfId="47" priority="47" operator="lessThan">
      <formula>-0.0000049</formula>
    </cfRule>
    <cfRule type="cellIs" dxfId="46" priority="48" operator="greaterThan">
      <formula>0.0000049</formula>
    </cfRule>
  </conditionalFormatting>
  <conditionalFormatting sqref="AK152:AN152">
    <cfRule type="cellIs" dxfId="45" priority="45" operator="lessThan">
      <formula>-0.0000049</formula>
    </cfRule>
    <cfRule type="cellIs" dxfId="44" priority="46" operator="greaterThan">
      <formula>0.0000049</formula>
    </cfRule>
  </conditionalFormatting>
  <conditionalFormatting sqref="AK157:AN157">
    <cfRule type="cellIs" dxfId="43" priority="43" operator="lessThan">
      <formula>-0.0000049</formula>
    </cfRule>
    <cfRule type="cellIs" dxfId="42" priority="44" operator="greaterThan">
      <formula>0.0000049</formula>
    </cfRule>
  </conditionalFormatting>
  <conditionalFormatting sqref="AK160:AN160">
    <cfRule type="cellIs" dxfId="41" priority="41" operator="lessThan">
      <formula>-0.0000049</formula>
    </cfRule>
    <cfRule type="cellIs" dxfId="40" priority="42" operator="greaterThan">
      <formula>0.0000049</formula>
    </cfRule>
  </conditionalFormatting>
  <conditionalFormatting sqref="AK164:AN164">
    <cfRule type="cellIs" dxfId="39" priority="39" operator="lessThan">
      <formula>-0.0000049</formula>
    </cfRule>
    <cfRule type="cellIs" dxfId="38" priority="40" operator="greaterThan">
      <formula>0.0000049</formula>
    </cfRule>
  </conditionalFormatting>
  <conditionalFormatting sqref="AK172:AN172">
    <cfRule type="cellIs" dxfId="37" priority="37" operator="lessThan">
      <formula>-0.0000049</formula>
    </cfRule>
    <cfRule type="cellIs" dxfId="36" priority="38" operator="greaterThan">
      <formula>0.0000049</formula>
    </cfRule>
  </conditionalFormatting>
  <conditionalFormatting sqref="AK181:AN181">
    <cfRule type="cellIs" dxfId="35" priority="35" operator="lessThan">
      <formula>-0.0000049</formula>
    </cfRule>
    <cfRule type="cellIs" dxfId="34" priority="36" operator="greaterThan">
      <formula>0.0000049</formula>
    </cfRule>
  </conditionalFormatting>
  <conditionalFormatting sqref="AK183:AN183">
    <cfRule type="cellIs" dxfId="33" priority="33" operator="lessThan">
      <formula>-0.0000049</formula>
    </cfRule>
    <cfRule type="cellIs" dxfId="32" priority="34" operator="greaterThan">
      <formula>0.0000049</formula>
    </cfRule>
  </conditionalFormatting>
  <conditionalFormatting sqref="AK217:AN217">
    <cfRule type="cellIs" dxfId="31" priority="31" operator="lessThan">
      <formula>-0.0000049</formula>
    </cfRule>
    <cfRule type="cellIs" dxfId="30" priority="32" operator="greaterThan">
      <formula>0.0000049</formula>
    </cfRule>
  </conditionalFormatting>
  <conditionalFormatting sqref="AK234:AN234">
    <cfRule type="cellIs" dxfId="29" priority="29" operator="lessThan">
      <formula>-0.0000049</formula>
    </cfRule>
    <cfRule type="cellIs" dxfId="28" priority="30" operator="greaterThan">
      <formula>0.0000049</formula>
    </cfRule>
  </conditionalFormatting>
  <conditionalFormatting sqref="AK246:AN247">
    <cfRule type="cellIs" dxfId="27" priority="27" operator="lessThan">
      <formula>-0.0000049</formula>
    </cfRule>
    <cfRule type="cellIs" dxfId="26" priority="28" operator="greaterThan">
      <formula>0.0000049</formula>
    </cfRule>
  </conditionalFormatting>
  <conditionalFormatting sqref="AK14:AN14">
    <cfRule type="cellIs" dxfId="25" priority="25" operator="lessThan">
      <formula>-0.0000049</formula>
    </cfRule>
    <cfRule type="cellIs" dxfId="24" priority="26" operator="greaterThan">
      <formula>0.0000049</formula>
    </cfRule>
  </conditionalFormatting>
  <conditionalFormatting sqref="AK32:AN32">
    <cfRule type="cellIs" dxfId="23" priority="23" operator="lessThan">
      <formula>-0.0000049</formula>
    </cfRule>
    <cfRule type="cellIs" dxfId="22" priority="24" operator="greaterThan">
      <formula>0.0000049</formula>
    </cfRule>
  </conditionalFormatting>
  <conditionalFormatting sqref="AK68:AN70">
    <cfRule type="cellIs" dxfId="21" priority="21" operator="lessThan">
      <formula>-0.0000049</formula>
    </cfRule>
    <cfRule type="cellIs" dxfId="20" priority="22" operator="greaterThan">
      <formula>0.0000049</formula>
    </cfRule>
  </conditionalFormatting>
  <conditionalFormatting sqref="AK94:AN94">
    <cfRule type="cellIs" dxfId="19" priority="19" operator="lessThan">
      <formula>-0.0000049</formula>
    </cfRule>
    <cfRule type="cellIs" dxfId="18" priority="20" operator="greaterThan">
      <formula>0.0000049</formula>
    </cfRule>
  </conditionalFormatting>
  <conditionalFormatting sqref="AK128:AN128">
    <cfRule type="cellIs" dxfId="17" priority="17" operator="lessThan">
      <formula>-0.0000049</formula>
    </cfRule>
    <cfRule type="cellIs" dxfId="16" priority="18" operator="greaterThan">
      <formula>0.0000049</formula>
    </cfRule>
  </conditionalFormatting>
  <conditionalFormatting sqref="AK136:AN136">
    <cfRule type="cellIs" dxfId="15" priority="15" operator="lessThan">
      <formula>-0.0000049</formula>
    </cfRule>
    <cfRule type="cellIs" dxfId="14" priority="16" operator="greaterThan">
      <formula>0.0000049</formula>
    </cfRule>
  </conditionalFormatting>
  <conditionalFormatting sqref="AK147:AN147">
    <cfRule type="cellIs" dxfId="13" priority="13" operator="lessThan">
      <formula>-0.0000049</formula>
    </cfRule>
    <cfRule type="cellIs" dxfId="12" priority="14" operator="greaterThan">
      <formula>0.0000049</formula>
    </cfRule>
  </conditionalFormatting>
  <conditionalFormatting sqref="AK148:AN148">
    <cfRule type="cellIs" dxfId="11" priority="11" operator="lessThan">
      <formula>-0.0000049</formula>
    </cfRule>
    <cfRule type="cellIs" dxfId="10" priority="12" operator="greaterThan">
      <formula>0.0000049</formula>
    </cfRule>
  </conditionalFormatting>
  <conditionalFormatting sqref="AK151:AN151">
    <cfRule type="cellIs" dxfId="9" priority="9" operator="lessThan">
      <formula>-0.0000049</formula>
    </cfRule>
    <cfRule type="cellIs" dxfId="8" priority="10" operator="greaterThan">
      <formula>0.0000049</formula>
    </cfRule>
  </conditionalFormatting>
  <conditionalFormatting sqref="AK153:AN153">
    <cfRule type="cellIs" dxfId="7" priority="7" operator="lessThan">
      <formula>-0.0000049</formula>
    </cfRule>
    <cfRule type="cellIs" dxfId="6" priority="8" operator="greaterThan">
      <formula>0.0000049</formula>
    </cfRule>
  </conditionalFormatting>
  <conditionalFormatting sqref="AK207:AN207">
    <cfRule type="cellIs" dxfId="5" priority="5" operator="lessThan">
      <formula>-0.0000049</formula>
    </cfRule>
    <cfRule type="cellIs" dxfId="4" priority="6" operator="greaterThan">
      <formula>0.0000049</formula>
    </cfRule>
  </conditionalFormatting>
  <conditionalFormatting sqref="AK215:AN215">
    <cfRule type="cellIs" dxfId="3" priority="3" operator="lessThan">
      <formula>-0.0000049</formula>
    </cfRule>
    <cfRule type="cellIs" dxfId="2" priority="4" operator="greaterThan">
      <formula>0.0000049</formula>
    </cfRule>
  </conditionalFormatting>
  <conditionalFormatting sqref="AK240:AN240">
    <cfRule type="cellIs" dxfId="1" priority="1" operator="lessThan">
      <formula>-0.0000049</formula>
    </cfRule>
    <cfRule type="cellIs" dxfId="0" priority="2" operator="greaterThan">
      <formula>0.0000049</formula>
    </cfRule>
  </conditionalFormatting>
  <pageMargins left="0.70866141732283472" right="0.70866141732283472" top="0.78740157480314965" bottom="0.78740157480314965" header="0.31496062992125984" footer="0.31496062992125984"/>
  <pageSetup paperSize="8" scale="10" fitToWidth="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289"/>
  <sheetViews>
    <sheetView tabSelected="1" zoomScale="80" zoomScaleNormal="80" workbookViewId="0">
      <pane ySplit="4" topLeftCell="A5" activePane="bottomLeft" state="frozen"/>
      <selection pane="bottomLeft"/>
    </sheetView>
  </sheetViews>
  <sheetFormatPr defaultColWidth="9.140625" defaultRowHeight="15" outlineLevelRow="1" x14ac:dyDescent="0.25"/>
  <cols>
    <col min="1" max="1" width="15" style="1396" customWidth="1"/>
    <col min="2" max="2" width="8.85546875" style="1396" customWidth="1"/>
    <col min="3" max="3" width="32.5703125" style="3659" customWidth="1"/>
    <col min="4" max="5" width="46.7109375" style="1396" customWidth="1"/>
    <col min="6" max="6" width="56.5703125" style="3580" customWidth="1"/>
    <col min="7" max="7" width="10.7109375" style="1396" customWidth="1"/>
    <col min="8" max="8" width="11" style="1396" customWidth="1"/>
    <col min="9" max="9" width="11.140625" style="3644" customWidth="1"/>
    <col min="10" max="10" width="8.5703125" style="1396" customWidth="1"/>
    <col min="11" max="11" width="8.28515625" style="1396" customWidth="1"/>
    <col min="12" max="12" width="8.140625" style="1396" customWidth="1"/>
    <col min="13" max="13" width="9.42578125" style="1396" customWidth="1"/>
    <col min="14" max="14" width="12" style="2855" customWidth="1"/>
    <col min="15" max="15" width="9.85546875" style="3660" customWidth="1"/>
    <col min="16" max="16" width="12.7109375" style="3660" customWidth="1"/>
    <col min="17" max="17" width="9.42578125" style="1396" customWidth="1"/>
    <col min="18" max="18" width="9.28515625" style="1396" customWidth="1"/>
    <col min="19" max="19" width="10.5703125" style="1396" customWidth="1"/>
    <col min="20" max="20" width="8.42578125" style="1396" customWidth="1"/>
    <col min="21" max="21" width="8.28515625" style="1396" customWidth="1"/>
    <col min="22" max="22" width="9.7109375" style="3656" customWidth="1"/>
    <col min="23" max="23" width="9.140625" style="3658" customWidth="1"/>
    <col min="24" max="24" width="9" style="3658" customWidth="1"/>
    <col min="25" max="26" width="11.5703125" style="3658" customWidth="1"/>
    <col min="27" max="27" width="12" style="3658" customWidth="1"/>
    <col min="28" max="28" width="68.42578125" style="3646" customWidth="1"/>
    <col min="29" max="29" width="13.5703125" style="1396" customWidth="1"/>
    <col min="30" max="30" width="11" style="1396" customWidth="1"/>
    <col min="31" max="31" width="9.7109375" style="1396" customWidth="1"/>
    <col min="32" max="32" width="9.5703125" style="1396" customWidth="1"/>
    <col min="33" max="33" width="5.28515625" style="1396" customWidth="1"/>
    <col min="34" max="34" width="19.28515625" style="3580" customWidth="1"/>
    <col min="35" max="16384" width="9.140625" style="3725"/>
  </cols>
  <sheetData>
    <row r="1" spans="1:34" s="3645" customFormat="1" ht="29.25" thickBot="1" x14ac:dyDescent="0.3">
      <c r="A1" s="4415"/>
      <c r="B1" s="3422"/>
      <c r="C1" s="3636" t="s">
        <v>3116</v>
      </c>
      <c r="D1" s="3422"/>
      <c r="E1" s="3422"/>
      <c r="F1" s="3577"/>
      <c r="G1" s="3422"/>
      <c r="H1" s="3422"/>
      <c r="I1" s="3637"/>
      <c r="J1" s="3422"/>
      <c r="K1" s="3422"/>
      <c r="L1" s="3422"/>
      <c r="M1" s="3422"/>
      <c r="N1" s="3638"/>
      <c r="O1" s="3639"/>
      <c r="P1" s="3639"/>
      <c r="Q1" s="3422"/>
      <c r="R1" s="3422"/>
      <c r="S1" s="3422"/>
      <c r="T1" s="3422"/>
      <c r="U1" s="3422"/>
      <c r="V1" s="3640"/>
      <c r="W1" s="3641"/>
      <c r="X1" s="3641"/>
      <c r="Y1" s="3641"/>
      <c r="Z1" s="3641"/>
      <c r="AA1" s="3641"/>
      <c r="AB1" s="3642"/>
      <c r="AC1" s="3422"/>
      <c r="AD1" s="3643" t="s">
        <v>0</v>
      </c>
      <c r="AE1" s="3422"/>
      <c r="AF1" s="3422"/>
      <c r="AG1" s="3422"/>
      <c r="AH1" s="3577"/>
    </row>
    <row r="2" spans="1:34" s="3645" customFormat="1" ht="15.75" thickBot="1" x14ac:dyDescent="0.3">
      <c r="A2" s="4656" t="s">
        <v>3115</v>
      </c>
      <c r="B2" s="4553" t="s">
        <v>2</v>
      </c>
      <c r="C2" s="4478" t="s">
        <v>2269</v>
      </c>
      <c r="D2" s="4480" t="s">
        <v>4</v>
      </c>
      <c r="E2" s="4480" t="s">
        <v>5</v>
      </c>
      <c r="F2" s="4482" t="s">
        <v>6</v>
      </c>
      <c r="G2" s="4658" t="s">
        <v>7</v>
      </c>
      <c r="H2" s="4660" t="s">
        <v>3313</v>
      </c>
      <c r="I2" s="4662" t="s">
        <v>3310</v>
      </c>
      <c r="J2" s="4651" t="s">
        <v>3136</v>
      </c>
      <c r="K2" s="4652"/>
      <c r="L2" s="4652"/>
      <c r="M2" s="4653"/>
      <c r="N2" s="4664" t="s">
        <v>3154</v>
      </c>
      <c r="O2" s="4665"/>
      <c r="P2" s="4666"/>
      <c r="Q2" s="4654" t="s">
        <v>3137</v>
      </c>
      <c r="R2" s="4647" t="s">
        <v>3138</v>
      </c>
      <c r="S2" s="4648" t="s">
        <v>8</v>
      </c>
      <c r="T2" s="4649"/>
      <c r="U2" s="4650"/>
      <c r="V2" s="4651" t="s">
        <v>2816</v>
      </c>
      <c r="W2" s="4652"/>
      <c r="X2" s="4652"/>
      <c r="Y2" s="4652"/>
      <c r="Z2" s="4652"/>
      <c r="AA2" s="4653"/>
      <c r="AB2" s="4476" t="s">
        <v>10</v>
      </c>
      <c r="AC2" s="4478" t="s">
        <v>2678</v>
      </c>
      <c r="AD2" s="4496" t="s">
        <v>2246</v>
      </c>
      <c r="AE2" s="4497" t="s">
        <v>1259</v>
      </c>
      <c r="AF2" s="4496" t="s">
        <v>1260</v>
      </c>
      <c r="AG2" s="4496" t="s">
        <v>3155</v>
      </c>
      <c r="AH2" s="4494" t="s">
        <v>2917</v>
      </c>
    </row>
    <row r="3" spans="1:34" s="3645" customFormat="1" ht="51.75" thickBot="1" x14ac:dyDescent="0.3">
      <c r="A3" s="4657"/>
      <c r="B3" s="4554"/>
      <c r="C3" s="4487"/>
      <c r="D3" s="4484"/>
      <c r="E3" s="4484"/>
      <c r="F3" s="4558"/>
      <c r="G3" s="4659"/>
      <c r="H3" s="4661"/>
      <c r="I3" s="4663"/>
      <c r="J3" s="3633" t="s">
        <v>1932</v>
      </c>
      <c r="K3" s="3634" t="s">
        <v>1933</v>
      </c>
      <c r="L3" s="3634" t="s">
        <v>2248</v>
      </c>
      <c r="M3" s="3635" t="s">
        <v>2249</v>
      </c>
      <c r="N3" s="3499" t="s">
        <v>3153</v>
      </c>
      <c r="O3" s="3500" t="s">
        <v>17</v>
      </c>
      <c r="P3" s="3501" t="s">
        <v>2521</v>
      </c>
      <c r="Q3" s="4655"/>
      <c r="R3" s="4591"/>
      <c r="S3" s="3699" t="s">
        <v>1732</v>
      </c>
      <c r="T3" s="3699" t="s">
        <v>2763</v>
      </c>
      <c r="U3" s="3700" t="s">
        <v>1731</v>
      </c>
      <c r="V3" s="3701" t="s">
        <v>1431</v>
      </c>
      <c r="W3" s="3676" t="s">
        <v>2815</v>
      </c>
      <c r="X3" s="3676" t="s">
        <v>3314</v>
      </c>
      <c r="Y3" s="3635" t="s">
        <v>2951</v>
      </c>
      <c r="Z3" s="3635" t="s">
        <v>3139</v>
      </c>
      <c r="AA3" s="3635" t="s">
        <v>3140</v>
      </c>
      <c r="AB3" s="4555"/>
      <c r="AC3" s="4487"/>
      <c r="AD3" s="4489"/>
      <c r="AE3" s="4498"/>
      <c r="AF3" s="4489"/>
      <c r="AG3" s="4489"/>
      <c r="AH3" s="4579"/>
    </row>
    <row r="4" spans="1:34" s="3325" customFormat="1" ht="16.5" thickBot="1" x14ac:dyDescent="0.3">
      <c r="A4" s="2439"/>
      <c r="B4" s="2439"/>
      <c r="C4" s="3460"/>
      <c r="D4" s="3293"/>
      <c r="E4" s="3632" t="s">
        <v>819</v>
      </c>
      <c r="F4" s="3294" t="s">
        <v>819</v>
      </c>
      <c r="G4" s="3293"/>
      <c r="H4" s="2388"/>
      <c r="I4" s="2388"/>
      <c r="J4" s="2390"/>
      <c r="K4" s="2391"/>
      <c r="L4" s="2391"/>
      <c r="M4" s="2392"/>
      <c r="N4" s="2830"/>
      <c r="O4" s="3537"/>
      <c r="P4" s="2837"/>
      <c r="Q4" s="3296"/>
      <c r="R4" s="2394"/>
      <c r="S4" s="3296"/>
      <c r="T4" s="3295"/>
      <c r="U4" s="3296"/>
      <c r="V4" s="3297"/>
      <c r="W4" s="3581"/>
      <c r="X4" s="3581"/>
      <c r="Y4" s="3581"/>
      <c r="Z4" s="3581"/>
      <c r="AA4" s="3581"/>
      <c r="AB4" s="3250"/>
      <c r="AC4" s="2598"/>
      <c r="AD4" s="3298"/>
      <c r="AE4" s="3299"/>
      <c r="AF4" s="3299"/>
      <c r="AG4" s="3832"/>
      <c r="AH4" s="2388"/>
    </row>
    <row r="5" spans="1:34" ht="25.5" outlineLevel="1" x14ac:dyDescent="0.25">
      <c r="A5" s="2938" t="s">
        <v>3056</v>
      </c>
      <c r="B5" s="3028" t="s">
        <v>31</v>
      </c>
      <c r="C5" s="1275" t="s">
        <v>1720</v>
      </c>
      <c r="D5" s="3012" t="s">
        <v>26</v>
      </c>
      <c r="E5" s="4072" t="s">
        <v>26</v>
      </c>
      <c r="F5" s="3099" t="s">
        <v>32</v>
      </c>
      <c r="G5" s="1574">
        <v>64001.103999999999</v>
      </c>
      <c r="H5" s="1573">
        <v>42401.103999999999</v>
      </c>
      <c r="I5" s="4073">
        <v>0</v>
      </c>
      <c r="J5" s="4074">
        <v>5200</v>
      </c>
      <c r="K5" s="4075">
        <v>0</v>
      </c>
      <c r="L5" s="4075">
        <v>0</v>
      </c>
      <c r="M5" s="4076">
        <v>7200</v>
      </c>
      <c r="N5" s="3029">
        <v>14400</v>
      </c>
      <c r="O5" s="3837">
        <v>-2000</v>
      </c>
      <c r="P5" s="4330">
        <f t="shared" ref="P5:P19" si="0">N5+O5</f>
        <v>12400</v>
      </c>
      <c r="Q5" s="1755">
        <v>9200</v>
      </c>
      <c r="R5" s="1617">
        <v>0</v>
      </c>
      <c r="S5" s="4074">
        <v>0</v>
      </c>
      <c r="T5" s="4075">
        <v>0</v>
      </c>
      <c r="U5" s="1625">
        <v>0</v>
      </c>
      <c r="V5" s="3860">
        <v>0</v>
      </c>
      <c r="W5" s="3841">
        <v>0</v>
      </c>
      <c r="X5" s="3841">
        <v>0</v>
      </c>
      <c r="Y5" s="3841">
        <v>0</v>
      </c>
      <c r="Z5" s="4077">
        <v>0</v>
      </c>
      <c r="AA5" s="3029">
        <v>0</v>
      </c>
      <c r="AB5" s="3257" t="s">
        <v>3265</v>
      </c>
      <c r="AC5" s="1273" t="s">
        <v>43</v>
      </c>
      <c r="AD5" s="2964" t="s">
        <v>2798</v>
      </c>
      <c r="AE5" s="2936" t="s">
        <v>1283</v>
      </c>
      <c r="AF5" s="2936" t="s">
        <v>1283</v>
      </c>
      <c r="AG5" s="2960" t="s">
        <v>1447</v>
      </c>
      <c r="AH5" s="2988" t="s">
        <v>1230</v>
      </c>
    </row>
    <row r="6" spans="1:34" ht="25.5" outlineLevel="1" x14ac:dyDescent="0.25">
      <c r="A6" s="2928" t="s">
        <v>3057</v>
      </c>
      <c r="B6" s="2929" t="s">
        <v>36</v>
      </c>
      <c r="C6" s="650" t="s">
        <v>1720</v>
      </c>
      <c r="D6" s="1125" t="s">
        <v>26</v>
      </c>
      <c r="E6" s="4078" t="s">
        <v>26</v>
      </c>
      <c r="F6" s="2953" t="s">
        <v>2964</v>
      </c>
      <c r="G6" s="908">
        <f>5620.748799+400+1000</f>
        <v>7020.748799</v>
      </c>
      <c r="H6" s="647">
        <v>5959.7597999999998</v>
      </c>
      <c r="I6" s="3789">
        <v>0</v>
      </c>
      <c r="J6" s="2882">
        <v>0</v>
      </c>
      <c r="K6" s="1532">
        <v>60.988999999999997</v>
      </c>
      <c r="L6" s="1532">
        <v>1000</v>
      </c>
      <c r="M6" s="1609">
        <v>0</v>
      </c>
      <c r="N6" s="4079">
        <v>60.988999999999997</v>
      </c>
      <c r="O6" s="3791">
        <v>1000</v>
      </c>
      <c r="P6" s="4331">
        <f t="shared" si="0"/>
        <v>1060.989</v>
      </c>
      <c r="Q6" s="2930">
        <v>0</v>
      </c>
      <c r="R6" s="1609">
        <v>0</v>
      </c>
      <c r="S6" s="4364">
        <v>0</v>
      </c>
      <c r="T6" s="4080">
        <v>0</v>
      </c>
      <c r="U6" s="1533">
        <v>0</v>
      </c>
      <c r="V6" s="4081">
        <v>0</v>
      </c>
      <c r="W6" s="4083">
        <v>0</v>
      </c>
      <c r="X6" s="4082">
        <v>0</v>
      </c>
      <c r="Y6" s="3794">
        <v>0</v>
      </c>
      <c r="Z6" s="4083">
        <v>0</v>
      </c>
      <c r="AA6" s="4084">
        <v>0</v>
      </c>
      <c r="AB6" s="703" t="s">
        <v>3266</v>
      </c>
      <c r="AC6" s="650" t="s">
        <v>33</v>
      </c>
      <c r="AD6" s="2962" t="s">
        <v>3267</v>
      </c>
      <c r="AE6" s="2931" t="s">
        <v>1282</v>
      </c>
      <c r="AF6" s="2931" t="s">
        <v>1282</v>
      </c>
      <c r="AG6" s="2932" t="s">
        <v>1446</v>
      </c>
      <c r="AH6" s="1125" t="s">
        <v>1230</v>
      </c>
    </row>
    <row r="7" spans="1:34" ht="30.75" outlineLevel="1" thickBot="1" x14ac:dyDescent="0.3">
      <c r="A7" s="169" t="s">
        <v>3058</v>
      </c>
      <c r="B7" s="171" t="s">
        <v>38</v>
      </c>
      <c r="C7" s="3450" t="s">
        <v>39</v>
      </c>
      <c r="D7" s="3738" t="s">
        <v>26</v>
      </c>
      <c r="E7" s="3095" t="s">
        <v>26</v>
      </c>
      <c r="F7" s="3098" t="s">
        <v>2965</v>
      </c>
      <c r="G7" s="319">
        <f>2276.279+1250-700+430</f>
        <v>3256.279</v>
      </c>
      <c r="H7" s="50">
        <v>2834.3588999999997</v>
      </c>
      <c r="I7" s="4085">
        <v>0</v>
      </c>
      <c r="J7" s="2804">
        <v>0</v>
      </c>
      <c r="K7" s="371">
        <v>421.92009999999999</v>
      </c>
      <c r="L7" s="371">
        <v>0</v>
      </c>
      <c r="M7" s="51">
        <v>0</v>
      </c>
      <c r="N7" s="3373">
        <v>421.92009999999999</v>
      </c>
      <c r="O7" s="3538">
        <v>0</v>
      </c>
      <c r="P7" s="4332">
        <f t="shared" si="0"/>
        <v>421.92009999999999</v>
      </c>
      <c r="Q7" s="53">
        <v>0</v>
      </c>
      <c r="R7" s="51">
        <v>0</v>
      </c>
      <c r="S7" s="4315">
        <v>0</v>
      </c>
      <c r="T7" s="3432">
        <v>0</v>
      </c>
      <c r="U7" s="116">
        <v>0</v>
      </c>
      <c r="V7" s="3612">
        <v>0</v>
      </c>
      <c r="W7" s="3679">
        <v>0</v>
      </c>
      <c r="X7" s="3350">
        <v>0</v>
      </c>
      <c r="Y7" s="3355">
        <v>0</v>
      </c>
      <c r="Z7" s="3679">
        <v>0</v>
      </c>
      <c r="AA7" s="3396">
        <v>0</v>
      </c>
      <c r="AB7" s="3457" t="s">
        <v>1209</v>
      </c>
      <c r="AC7" s="3450" t="s">
        <v>33</v>
      </c>
      <c r="AD7" s="349" t="s">
        <v>1565</v>
      </c>
      <c r="AE7" s="349" t="s">
        <v>1282</v>
      </c>
      <c r="AF7" s="349" t="s">
        <v>1282</v>
      </c>
      <c r="AG7" s="174" t="s">
        <v>1448</v>
      </c>
      <c r="AH7" s="3728" t="s">
        <v>1230</v>
      </c>
    </row>
    <row r="8" spans="1:34" ht="25.5" outlineLevel="1" x14ac:dyDescent="0.25">
      <c r="A8" s="2958" t="s">
        <v>2873</v>
      </c>
      <c r="B8" s="4086" t="s">
        <v>1230</v>
      </c>
      <c r="C8" s="650" t="s">
        <v>3322</v>
      </c>
      <c r="D8" s="650" t="s">
        <v>26</v>
      </c>
      <c r="E8" s="4078" t="s">
        <v>26</v>
      </c>
      <c r="F8" s="2953" t="s">
        <v>2966</v>
      </c>
      <c r="G8" s="1221">
        <v>250</v>
      </c>
      <c r="H8" s="647">
        <v>0</v>
      </c>
      <c r="I8" s="3789">
        <v>0</v>
      </c>
      <c r="J8" s="2882">
        <v>250</v>
      </c>
      <c r="K8" s="1532">
        <v>0</v>
      </c>
      <c r="L8" s="1532">
        <v>0</v>
      </c>
      <c r="M8" s="1609">
        <v>0</v>
      </c>
      <c r="N8" s="4079">
        <v>100</v>
      </c>
      <c r="O8" s="3791">
        <v>150</v>
      </c>
      <c r="P8" s="4331">
        <f t="shared" si="0"/>
        <v>250</v>
      </c>
      <c r="Q8" s="2930">
        <v>0</v>
      </c>
      <c r="R8" s="1609">
        <v>0</v>
      </c>
      <c r="S8" s="2882">
        <v>0</v>
      </c>
      <c r="T8" s="1532">
        <v>0</v>
      </c>
      <c r="U8" s="1533">
        <v>0</v>
      </c>
      <c r="V8" s="4081">
        <v>0</v>
      </c>
      <c r="W8" s="4083">
        <v>0</v>
      </c>
      <c r="X8" s="4082">
        <v>0</v>
      </c>
      <c r="Y8" s="3794">
        <v>0</v>
      </c>
      <c r="Z8" s="4083">
        <v>0</v>
      </c>
      <c r="AA8" s="4084">
        <v>0</v>
      </c>
      <c r="AB8" s="703" t="s">
        <v>3268</v>
      </c>
      <c r="AC8" s="650" t="s">
        <v>33</v>
      </c>
      <c r="AD8" s="2931" t="s">
        <v>2366</v>
      </c>
      <c r="AE8" s="2931" t="s">
        <v>1282</v>
      </c>
      <c r="AF8" s="2931" t="s">
        <v>1282</v>
      </c>
      <c r="AG8" s="2932" t="s">
        <v>1448</v>
      </c>
      <c r="AH8" s="1125" t="s">
        <v>1230</v>
      </c>
    </row>
    <row r="9" spans="1:34" ht="26.25" outlineLevel="1" thickBot="1" x14ac:dyDescent="0.3">
      <c r="A9" s="4087" t="s">
        <v>2872</v>
      </c>
      <c r="B9" s="4088" t="s">
        <v>2673</v>
      </c>
      <c r="C9" s="2984" t="s">
        <v>2506</v>
      </c>
      <c r="D9" s="2984" t="s">
        <v>26</v>
      </c>
      <c r="E9" s="4089" t="s">
        <v>26</v>
      </c>
      <c r="F9" s="4090" t="s">
        <v>2212</v>
      </c>
      <c r="G9" s="2733">
        <v>15000</v>
      </c>
      <c r="H9" s="2733">
        <v>3294.5619999999999</v>
      </c>
      <c r="I9" s="4091">
        <v>0</v>
      </c>
      <c r="J9" s="4092">
        <v>2783.52</v>
      </c>
      <c r="K9" s="2985">
        <v>3921.9180000000001</v>
      </c>
      <c r="L9" s="2985">
        <v>0</v>
      </c>
      <c r="M9" s="1784">
        <v>5000</v>
      </c>
      <c r="N9" s="4093">
        <v>6705.4380000000001</v>
      </c>
      <c r="O9" s="4094">
        <v>5000</v>
      </c>
      <c r="P9" s="4333">
        <f t="shared" si="0"/>
        <v>11705.438</v>
      </c>
      <c r="Q9" s="4095">
        <v>0</v>
      </c>
      <c r="R9" s="1784">
        <v>0</v>
      </c>
      <c r="S9" s="4092">
        <v>0</v>
      </c>
      <c r="T9" s="2985">
        <v>0</v>
      </c>
      <c r="U9" s="4096">
        <v>0</v>
      </c>
      <c r="V9" s="4097">
        <v>0</v>
      </c>
      <c r="W9" s="4100">
        <v>0</v>
      </c>
      <c r="X9" s="4098">
        <v>0</v>
      </c>
      <c r="Y9" s="4099">
        <v>0</v>
      </c>
      <c r="Z9" s="4100">
        <v>0</v>
      </c>
      <c r="AA9" s="4101">
        <v>0</v>
      </c>
      <c r="AB9" s="4102" t="s">
        <v>3269</v>
      </c>
      <c r="AC9" s="2984" t="s">
        <v>43</v>
      </c>
      <c r="AD9" s="4103" t="s">
        <v>2435</v>
      </c>
      <c r="AE9" s="4103" t="s">
        <v>1283</v>
      </c>
      <c r="AF9" s="4103" t="s">
        <v>1283</v>
      </c>
      <c r="AG9" s="4104" t="s">
        <v>1447</v>
      </c>
      <c r="AH9" s="4418" t="s">
        <v>1230</v>
      </c>
    </row>
    <row r="10" spans="1:34" ht="30.75" outlineLevel="1" thickBot="1" x14ac:dyDescent="0.3">
      <c r="A10" s="3833" t="s">
        <v>2633</v>
      </c>
      <c r="B10" s="3431" t="s">
        <v>1230</v>
      </c>
      <c r="C10" s="3324" t="s">
        <v>3323</v>
      </c>
      <c r="D10" s="3460" t="s">
        <v>26</v>
      </c>
      <c r="E10" s="3400" t="s">
        <v>26</v>
      </c>
      <c r="F10" s="3255" t="s">
        <v>2967</v>
      </c>
      <c r="G10" s="259">
        <v>420</v>
      </c>
      <c r="H10" s="184">
        <v>0</v>
      </c>
      <c r="I10" s="4085">
        <v>0</v>
      </c>
      <c r="J10" s="2374">
        <v>0</v>
      </c>
      <c r="K10" s="706">
        <v>420</v>
      </c>
      <c r="L10" s="706">
        <v>0</v>
      </c>
      <c r="M10" s="13">
        <v>0</v>
      </c>
      <c r="N10" s="3373">
        <v>420</v>
      </c>
      <c r="O10" s="3538">
        <v>0</v>
      </c>
      <c r="P10" s="4334">
        <f t="shared" si="0"/>
        <v>420</v>
      </c>
      <c r="Q10" s="12">
        <v>0</v>
      </c>
      <c r="R10" s="13">
        <v>0</v>
      </c>
      <c r="S10" s="2374">
        <v>0</v>
      </c>
      <c r="T10" s="706">
        <v>0</v>
      </c>
      <c r="U10" s="323">
        <v>0</v>
      </c>
      <c r="V10" s="3349">
        <v>0</v>
      </c>
      <c r="W10" s="3681">
        <v>0</v>
      </c>
      <c r="X10" s="3611">
        <v>0</v>
      </c>
      <c r="Y10" s="3365">
        <v>0</v>
      </c>
      <c r="Z10" s="3681">
        <v>0</v>
      </c>
      <c r="AA10" s="3583">
        <v>0</v>
      </c>
      <c r="AB10" s="2624" t="s">
        <v>1209</v>
      </c>
      <c r="AC10" s="3460" t="s">
        <v>28</v>
      </c>
      <c r="AD10" s="327" t="s">
        <v>2366</v>
      </c>
      <c r="AE10" s="350" t="s">
        <v>1282</v>
      </c>
      <c r="AF10" s="350" t="s">
        <v>1282</v>
      </c>
      <c r="AG10" s="327" t="s">
        <v>1448</v>
      </c>
      <c r="AH10" s="3728" t="s">
        <v>1230</v>
      </c>
    </row>
    <row r="11" spans="1:34" ht="30" outlineLevel="1" x14ac:dyDescent="0.25">
      <c r="A11" s="3832" t="s">
        <v>2687</v>
      </c>
      <c r="B11" s="3252" t="s">
        <v>1230</v>
      </c>
      <c r="C11" s="3358" t="s">
        <v>2750</v>
      </c>
      <c r="D11" s="3394" t="s">
        <v>26</v>
      </c>
      <c r="E11" s="869" t="s">
        <v>26</v>
      </c>
      <c r="F11" s="3253" t="s">
        <v>2688</v>
      </c>
      <c r="G11" s="185">
        <v>450</v>
      </c>
      <c r="H11" s="3381">
        <v>0</v>
      </c>
      <c r="I11" s="4105">
        <v>0</v>
      </c>
      <c r="J11" s="3254">
        <v>0</v>
      </c>
      <c r="K11" s="3231">
        <v>450</v>
      </c>
      <c r="L11" s="3231">
        <v>0</v>
      </c>
      <c r="M11" s="874">
        <v>0</v>
      </c>
      <c r="N11" s="3464">
        <v>450</v>
      </c>
      <c r="O11" s="3763">
        <v>0</v>
      </c>
      <c r="P11" s="4329">
        <f t="shared" si="0"/>
        <v>450</v>
      </c>
      <c r="Q11" s="18">
        <v>0</v>
      </c>
      <c r="R11" s="874">
        <v>0</v>
      </c>
      <c r="S11" s="3254">
        <v>0</v>
      </c>
      <c r="T11" s="3231">
        <v>0</v>
      </c>
      <c r="U11" s="876">
        <v>0</v>
      </c>
      <c r="V11" s="3614">
        <v>0</v>
      </c>
      <c r="W11" s="3682">
        <v>0</v>
      </c>
      <c r="X11" s="3600">
        <v>0</v>
      </c>
      <c r="Y11" s="3458">
        <v>0</v>
      </c>
      <c r="Z11" s="3682">
        <v>0</v>
      </c>
      <c r="AA11" s="3584">
        <v>0</v>
      </c>
      <c r="AB11" s="3402" t="s">
        <v>1209</v>
      </c>
      <c r="AC11" s="3447" t="s">
        <v>33</v>
      </c>
      <c r="AD11" s="3463" t="s">
        <v>2366</v>
      </c>
      <c r="AE11" s="128" t="s">
        <v>1282</v>
      </c>
      <c r="AF11" s="3463" t="s">
        <v>1282</v>
      </c>
      <c r="AG11" s="128" t="s">
        <v>1446</v>
      </c>
      <c r="AH11" s="3713" t="s">
        <v>1230</v>
      </c>
    </row>
    <row r="12" spans="1:34" ht="30.75" outlineLevel="1" thickBot="1" x14ac:dyDescent="0.3">
      <c r="A12" s="2292" t="s">
        <v>2689</v>
      </c>
      <c r="B12" s="4106" t="s">
        <v>2812</v>
      </c>
      <c r="C12" s="4107" t="s">
        <v>2750</v>
      </c>
      <c r="D12" s="977" t="s">
        <v>26</v>
      </c>
      <c r="E12" s="2744" t="s">
        <v>26</v>
      </c>
      <c r="F12" s="4108" t="s">
        <v>2690</v>
      </c>
      <c r="G12" s="978">
        <f>850-35.76979</f>
        <v>814.23020999999994</v>
      </c>
      <c r="H12" s="978">
        <v>814.23021000000006</v>
      </c>
      <c r="I12" s="4109">
        <v>0</v>
      </c>
      <c r="J12" s="2628">
        <v>0</v>
      </c>
      <c r="K12" s="2749">
        <v>0</v>
      </c>
      <c r="L12" s="2749">
        <v>0</v>
      </c>
      <c r="M12" s="3317">
        <v>0</v>
      </c>
      <c r="N12" s="4110">
        <v>35.76979</v>
      </c>
      <c r="O12" s="4111">
        <v>-35.76979</v>
      </c>
      <c r="P12" s="4335">
        <f t="shared" si="0"/>
        <v>0</v>
      </c>
      <c r="Q12" s="2297">
        <v>0</v>
      </c>
      <c r="R12" s="3317">
        <v>0</v>
      </c>
      <c r="S12" s="2628">
        <v>0</v>
      </c>
      <c r="T12" s="2749">
        <v>0</v>
      </c>
      <c r="U12" s="2748">
        <v>0</v>
      </c>
      <c r="V12" s="4113">
        <v>0</v>
      </c>
      <c r="W12" s="4327">
        <v>0</v>
      </c>
      <c r="X12" s="4114">
        <v>0</v>
      </c>
      <c r="Y12" s="4115">
        <v>0</v>
      </c>
      <c r="Z12" s="4116">
        <v>0</v>
      </c>
      <c r="AA12" s="4117">
        <v>0</v>
      </c>
      <c r="AB12" s="3315" t="s">
        <v>3270</v>
      </c>
      <c r="AC12" s="977" t="s">
        <v>1329</v>
      </c>
      <c r="AD12" s="2307" t="s">
        <v>2607</v>
      </c>
      <c r="AE12" s="2306" t="s">
        <v>1283</v>
      </c>
      <c r="AF12" s="2307" t="s">
        <v>1283</v>
      </c>
      <c r="AG12" s="2564" t="s">
        <v>1448</v>
      </c>
      <c r="AH12" s="3805" t="s">
        <v>1230</v>
      </c>
    </row>
    <row r="13" spans="1:34" ht="30.75" outlineLevel="1" thickBot="1" x14ac:dyDescent="0.3">
      <c r="A13" s="2081" t="s">
        <v>2794</v>
      </c>
      <c r="B13" s="4118" t="s">
        <v>3112</v>
      </c>
      <c r="C13" s="4119" t="s">
        <v>2918</v>
      </c>
      <c r="D13" s="2084" t="s">
        <v>26</v>
      </c>
      <c r="E13" s="3332" t="s">
        <v>26</v>
      </c>
      <c r="F13" s="4120" t="s">
        <v>2968</v>
      </c>
      <c r="G13" s="2321">
        <f>380-14.92572</f>
        <v>365.07427999999999</v>
      </c>
      <c r="H13" s="2321">
        <v>365.07427999999999</v>
      </c>
      <c r="I13" s="4121">
        <v>0</v>
      </c>
      <c r="J13" s="4122">
        <v>0</v>
      </c>
      <c r="K13" s="2308">
        <v>0</v>
      </c>
      <c r="L13" s="2308">
        <v>0</v>
      </c>
      <c r="M13" s="2309">
        <v>0</v>
      </c>
      <c r="N13" s="4123">
        <v>14.92572</v>
      </c>
      <c r="O13" s="4124">
        <v>-14.92572</v>
      </c>
      <c r="P13" s="4336">
        <f t="shared" si="0"/>
        <v>0</v>
      </c>
      <c r="Q13" s="2093">
        <v>0</v>
      </c>
      <c r="R13" s="2309">
        <v>0</v>
      </c>
      <c r="S13" s="4122">
        <v>0</v>
      </c>
      <c r="T13" s="2308">
        <v>0</v>
      </c>
      <c r="U13" s="2454">
        <v>0</v>
      </c>
      <c r="V13" s="4125">
        <v>0</v>
      </c>
      <c r="W13" s="4128">
        <v>0</v>
      </c>
      <c r="X13" s="4126">
        <v>0</v>
      </c>
      <c r="Y13" s="4127">
        <v>0</v>
      </c>
      <c r="Z13" s="4128">
        <v>0</v>
      </c>
      <c r="AA13" s="4129">
        <v>0</v>
      </c>
      <c r="AB13" s="4130" t="s">
        <v>3271</v>
      </c>
      <c r="AC13" s="2084" t="s">
        <v>1329</v>
      </c>
      <c r="AD13" s="2456" t="s">
        <v>2607</v>
      </c>
      <c r="AE13" s="2094" t="s">
        <v>1283</v>
      </c>
      <c r="AF13" s="2325" t="s">
        <v>1283</v>
      </c>
      <c r="AG13" s="2094" t="s">
        <v>1448</v>
      </c>
      <c r="AH13" s="3332" t="s">
        <v>1230</v>
      </c>
    </row>
    <row r="14" spans="1:34" ht="30.75" outlineLevel="1" thickBot="1" x14ac:dyDescent="0.3">
      <c r="A14" s="4445" t="s">
        <v>2863</v>
      </c>
      <c r="B14" s="2608" t="s">
        <v>1230</v>
      </c>
      <c r="C14" s="62" t="s">
        <v>2894</v>
      </c>
      <c r="D14" s="62" t="s">
        <v>26</v>
      </c>
      <c r="E14" s="656" t="s">
        <v>26</v>
      </c>
      <c r="F14" s="3585" t="s">
        <v>2969</v>
      </c>
      <c r="G14" s="3234">
        <v>85</v>
      </c>
      <c r="H14" s="3515">
        <v>0</v>
      </c>
      <c r="I14" s="4131">
        <v>0</v>
      </c>
      <c r="J14" s="3436">
        <v>85</v>
      </c>
      <c r="K14" s="3437">
        <v>0</v>
      </c>
      <c r="L14" s="3437">
        <v>0</v>
      </c>
      <c r="M14" s="2609">
        <v>0</v>
      </c>
      <c r="N14" s="3374">
        <v>85</v>
      </c>
      <c r="O14" s="3541">
        <v>0</v>
      </c>
      <c r="P14" s="4337">
        <f t="shared" si="0"/>
        <v>85</v>
      </c>
      <c r="Q14" s="3287">
        <v>0</v>
      </c>
      <c r="R14" s="2609">
        <v>0</v>
      </c>
      <c r="S14" s="3436">
        <v>0</v>
      </c>
      <c r="T14" s="3437">
        <v>0</v>
      </c>
      <c r="U14" s="3516">
        <v>0</v>
      </c>
      <c r="V14" s="3615">
        <v>0</v>
      </c>
      <c r="W14" s="3683">
        <v>0</v>
      </c>
      <c r="X14" s="3598">
        <v>0</v>
      </c>
      <c r="Y14" s="3601">
        <v>0</v>
      </c>
      <c r="Z14" s="3683">
        <v>0</v>
      </c>
      <c r="AA14" s="3586">
        <v>0</v>
      </c>
      <c r="AB14" s="1416" t="s">
        <v>2590</v>
      </c>
      <c r="AC14" s="62" t="s">
        <v>2820</v>
      </c>
      <c r="AD14" s="3280" t="s">
        <v>2831</v>
      </c>
      <c r="AE14" s="3044" t="s">
        <v>1283</v>
      </c>
      <c r="AF14" s="2610" t="s">
        <v>1283</v>
      </c>
      <c r="AG14" s="3044" t="s">
        <v>1448</v>
      </c>
      <c r="AH14" s="656" t="s">
        <v>1230</v>
      </c>
    </row>
    <row r="15" spans="1:34" ht="25.5" outlineLevel="1" x14ac:dyDescent="0.25">
      <c r="A15" s="4132" t="s">
        <v>2895</v>
      </c>
      <c r="B15" s="4133" t="s">
        <v>3121</v>
      </c>
      <c r="C15" s="607" t="s">
        <v>2956</v>
      </c>
      <c r="D15" s="607" t="s">
        <v>26</v>
      </c>
      <c r="E15" s="4134" t="s">
        <v>26</v>
      </c>
      <c r="F15" s="4135" t="s">
        <v>2970</v>
      </c>
      <c r="G15" s="3268">
        <f>7200+3300</f>
        <v>10500</v>
      </c>
      <c r="H15" s="4042">
        <v>2397.2042000000001</v>
      </c>
      <c r="I15" s="4136">
        <v>0</v>
      </c>
      <c r="J15" s="4137">
        <v>0</v>
      </c>
      <c r="K15" s="4138">
        <v>0</v>
      </c>
      <c r="L15" s="4138">
        <f>3300+2400+2.7958</f>
        <v>5702.7957999999999</v>
      </c>
      <c r="M15" s="4139">
        <v>0</v>
      </c>
      <c r="N15" s="4047">
        <v>2402.7957999999999</v>
      </c>
      <c r="O15" s="4140">
        <v>3300</v>
      </c>
      <c r="P15" s="4338">
        <f t="shared" si="0"/>
        <v>5702.7957999999999</v>
      </c>
      <c r="Q15" s="4048">
        <v>2400</v>
      </c>
      <c r="R15" s="4051">
        <v>0</v>
      </c>
      <c r="S15" s="4137">
        <v>0</v>
      </c>
      <c r="T15" s="4138">
        <v>0</v>
      </c>
      <c r="U15" s="4051">
        <v>0</v>
      </c>
      <c r="V15" s="4141">
        <v>0</v>
      </c>
      <c r="W15" s="4143">
        <v>0</v>
      </c>
      <c r="X15" s="4142">
        <v>0</v>
      </c>
      <c r="Y15" s="4138">
        <v>0</v>
      </c>
      <c r="Z15" s="4143">
        <v>0</v>
      </c>
      <c r="AA15" s="4144">
        <v>0</v>
      </c>
      <c r="AB15" s="4145" t="s">
        <v>3272</v>
      </c>
      <c r="AC15" s="1303" t="s">
        <v>33</v>
      </c>
      <c r="AD15" s="4053" t="s">
        <v>2831</v>
      </c>
      <c r="AE15" s="4053" t="s">
        <v>1282</v>
      </c>
      <c r="AF15" s="4053" t="s">
        <v>1282</v>
      </c>
      <c r="AG15" s="4053" t="s">
        <v>1447</v>
      </c>
      <c r="AH15" s="3036" t="s">
        <v>1230</v>
      </c>
    </row>
    <row r="16" spans="1:34" ht="25.5" outlineLevel="1" x14ac:dyDescent="0.25">
      <c r="A16" s="4446" t="s">
        <v>2896</v>
      </c>
      <c r="B16" s="3752" t="s">
        <v>1230</v>
      </c>
      <c r="C16" s="3747" t="s">
        <v>2955</v>
      </c>
      <c r="D16" s="3747" t="s">
        <v>26</v>
      </c>
      <c r="E16" s="3751" t="s">
        <v>26</v>
      </c>
      <c r="F16" s="3743" t="s">
        <v>2897</v>
      </c>
      <c r="G16" s="2611">
        <v>1400</v>
      </c>
      <c r="H16" s="2611">
        <v>0</v>
      </c>
      <c r="I16" s="4146">
        <v>0</v>
      </c>
      <c r="J16" s="3731">
        <v>0</v>
      </c>
      <c r="K16" s="3724">
        <v>0</v>
      </c>
      <c r="L16" s="3724">
        <v>1400</v>
      </c>
      <c r="M16" s="3415">
        <v>0</v>
      </c>
      <c r="N16" s="3764">
        <v>1400</v>
      </c>
      <c r="O16" s="3543">
        <v>0</v>
      </c>
      <c r="P16" s="4339">
        <f t="shared" si="0"/>
        <v>1400</v>
      </c>
      <c r="Q16" s="3757">
        <v>0</v>
      </c>
      <c r="R16" s="3750">
        <v>0</v>
      </c>
      <c r="S16" s="3731">
        <v>0</v>
      </c>
      <c r="T16" s="3724">
        <v>0</v>
      </c>
      <c r="U16" s="3750">
        <v>0</v>
      </c>
      <c r="V16" s="3342">
        <v>0</v>
      </c>
      <c r="W16" s="3678">
        <v>0</v>
      </c>
      <c r="X16" s="3608">
        <v>0</v>
      </c>
      <c r="Y16" s="3721">
        <v>0</v>
      </c>
      <c r="Z16" s="3678">
        <v>0</v>
      </c>
      <c r="AA16" s="3582">
        <v>0</v>
      </c>
      <c r="AB16" s="3398" t="s">
        <v>1209</v>
      </c>
      <c r="AC16" s="81" t="s">
        <v>33</v>
      </c>
      <c r="AD16" s="3753" t="s">
        <v>2831</v>
      </c>
      <c r="AE16" s="3753" t="s">
        <v>1282</v>
      </c>
      <c r="AF16" s="3753" t="s">
        <v>1282</v>
      </c>
      <c r="AG16" s="3753" t="s">
        <v>1448</v>
      </c>
      <c r="AH16" s="3713" t="s">
        <v>1230</v>
      </c>
    </row>
    <row r="17" spans="1:34" ht="25.5" outlineLevel="1" x14ac:dyDescent="0.25">
      <c r="A17" s="4446" t="s">
        <v>2898</v>
      </c>
      <c r="B17" s="3752" t="s">
        <v>1230</v>
      </c>
      <c r="C17" s="3747" t="s">
        <v>2955</v>
      </c>
      <c r="D17" s="3747" t="s">
        <v>26</v>
      </c>
      <c r="E17" s="3751" t="s">
        <v>26</v>
      </c>
      <c r="F17" s="3743" t="s">
        <v>2899</v>
      </c>
      <c r="G17" s="2611">
        <v>3000</v>
      </c>
      <c r="H17" s="2611">
        <v>0</v>
      </c>
      <c r="I17" s="4146">
        <v>0</v>
      </c>
      <c r="J17" s="3731">
        <v>0</v>
      </c>
      <c r="K17" s="3724">
        <v>500</v>
      </c>
      <c r="L17" s="3724">
        <v>0</v>
      </c>
      <c r="M17" s="3415">
        <v>2500</v>
      </c>
      <c r="N17" s="3764">
        <v>3000</v>
      </c>
      <c r="O17" s="3543">
        <v>0</v>
      </c>
      <c r="P17" s="4339">
        <f t="shared" si="0"/>
        <v>3000</v>
      </c>
      <c r="Q17" s="3757">
        <v>0</v>
      </c>
      <c r="R17" s="3750">
        <v>0</v>
      </c>
      <c r="S17" s="3731">
        <v>0</v>
      </c>
      <c r="T17" s="3724">
        <v>0</v>
      </c>
      <c r="U17" s="3750">
        <v>0</v>
      </c>
      <c r="V17" s="3342">
        <v>0</v>
      </c>
      <c r="W17" s="3678">
        <v>0</v>
      </c>
      <c r="X17" s="3608">
        <v>0</v>
      </c>
      <c r="Y17" s="3721">
        <v>0</v>
      </c>
      <c r="Z17" s="3678">
        <v>0</v>
      </c>
      <c r="AA17" s="3582">
        <v>0</v>
      </c>
      <c r="AB17" s="3398" t="s">
        <v>1209</v>
      </c>
      <c r="AC17" s="81" t="s">
        <v>33</v>
      </c>
      <c r="AD17" s="3753" t="s">
        <v>2366</v>
      </c>
      <c r="AE17" s="3753" t="s">
        <v>1282</v>
      </c>
      <c r="AF17" s="3753" t="s">
        <v>1282</v>
      </c>
      <c r="AG17" s="3753" t="s">
        <v>1448</v>
      </c>
      <c r="AH17" s="3713" t="s">
        <v>1230</v>
      </c>
    </row>
    <row r="18" spans="1:34" ht="26.25" outlineLevel="1" thickBot="1" x14ac:dyDescent="0.3">
      <c r="A18" s="1431" t="s">
        <v>2900</v>
      </c>
      <c r="B18" s="171" t="s">
        <v>1230</v>
      </c>
      <c r="C18" s="3450" t="s">
        <v>2955</v>
      </c>
      <c r="D18" s="3450" t="s">
        <v>26</v>
      </c>
      <c r="E18" s="3738" t="s">
        <v>26</v>
      </c>
      <c r="F18" s="1412" t="s">
        <v>2971</v>
      </c>
      <c r="G18" s="2796">
        <v>2000</v>
      </c>
      <c r="H18" s="2796">
        <v>0</v>
      </c>
      <c r="I18" s="4147">
        <v>0</v>
      </c>
      <c r="J18" s="3408">
        <v>0</v>
      </c>
      <c r="K18" s="3355">
        <v>2000</v>
      </c>
      <c r="L18" s="3355">
        <v>0</v>
      </c>
      <c r="M18" s="3662">
        <v>0</v>
      </c>
      <c r="N18" s="3649">
        <v>2000</v>
      </c>
      <c r="O18" s="3540">
        <v>0</v>
      </c>
      <c r="P18" s="4332">
        <f t="shared" si="0"/>
        <v>2000</v>
      </c>
      <c r="Q18" s="3086">
        <v>0</v>
      </c>
      <c r="R18" s="1267">
        <v>0</v>
      </c>
      <c r="S18" s="3408">
        <v>0</v>
      </c>
      <c r="T18" s="3355">
        <v>0</v>
      </c>
      <c r="U18" s="1267">
        <v>0</v>
      </c>
      <c r="V18" s="3354">
        <v>0</v>
      </c>
      <c r="W18" s="3680">
        <v>0</v>
      </c>
      <c r="X18" s="3599">
        <v>0</v>
      </c>
      <c r="Y18" s="3355">
        <v>0</v>
      </c>
      <c r="Z18" s="3680">
        <v>0</v>
      </c>
      <c r="AA18" s="3661">
        <v>0</v>
      </c>
      <c r="AB18" s="3457" t="s">
        <v>1209</v>
      </c>
      <c r="AC18" s="332" t="s">
        <v>33</v>
      </c>
      <c r="AD18" s="174" t="s">
        <v>2366</v>
      </c>
      <c r="AE18" s="174" t="s">
        <v>1282</v>
      </c>
      <c r="AF18" s="174" t="s">
        <v>1282</v>
      </c>
      <c r="AG18" s="174" t="s">
        <v>1448</v>
      </c>
      <c r="AH18" s="3728" t="s">
        <v>1230</v>
      </c>
    </row>
    <row r="19" spans="1:34" ht="25.5" outlineLevel="1" x14ac:dyDescent="0.25">
      <c r="A19" s="1407" t="s">
        <v>2972</v>
      </c>
      <c r="B19" s="3715" t="s">
        <v>1230</v>
      </c>
      <c r="C19" s="3736" t="s">
        <v>3118</v>
      </c>
      <c r="D19" s="3736" t="s">
        <v>26</v>
      </c>
      <c r="E19" s="3713" t="s">
        <v>26</v>
      </c>
      <c r="F19" s="1410" t="s">
        <v>2973</v>
      </c>
      <c r="G19" s="2799">
        <v>5000</v>
      </c>
      <c r="H19" s="2799">
        <v>0</v>
      </c>
      <c r="I19" s="4148">
        <v>0</v>
      </c>
      <c r="J19" s="3732">
        <v>0</v>
      </c>
      <c r="K19" s="3721">
        <v>500</v>
      </c>
      <c r="L19" s="3721">
        <v>0</v>
      </c>
      <c r="M19" s="3737">
        <v>4500</v>
      </c>
      <c r="N19" s="3464">
        <v>5000</v>
      </c>
      <c r="O19" s="3763">
        <v>0</v>
      </c>
      <c r="P19" s="4329">
        <f t="shared" si="0"/>
        <v>5000</v>
      </c>
      <c r="Q19" s="3745">
        <v>0</v>
      </c>
      <c r="R19" s="3737">
        <v>0</v>
      </c>
      <c r="S19" s="3732">
        <v>0</v>
      </c>
      <c r="T19" s="3721">
        <v>0</v>
      </c>
      <c r="U19" s="3455">
        <v>0</v>
      </c>
      <c r="V19" s="3341">
        <v>0</v>
      </c>
      <c r="W19" s="3684">
        <v>0</v>
      </c>
      <c r="X19" s="3608">
        <v>0</v>
      </c>
      <c r="Y19" s="3721">
        <v>0</v>
      </c>
      <c r="Z19" s="3684">
        <v>0</v>
      </c>
      <c r="AA19" s="3663">
        <v>0</v>
      </c>
      <c r="AB19" s="2924" t="s">
        <v>2974</v>
      </c>
      <c r="AC19" s="373" t="s">
        <v>33</v>
      </c>
      <c r="AD19" s="3729" t="s">
        <v>2366</v>
      </c>
      <c r="AE19" s="3729" t="s">
        <v>1282</v>
      </c>
      <c r="AF19" s="3729" t="s">
        <v>1282</v>
      </c>
      <c r="AG19" s="3729" t="s">
        <v>1448</v>
      </c>
      <c r="AH19" s="3713" t="s">
        <v>1230</v>
      </c>
    </row>
    <row r="20" spans="1:34" s="3647" customFormat="1" ht="15.75" outlineLevel="1" thickBot="1" x14ac:dyDescent="0.3">
      <c r="A20" s="327" t="s">
        <v>1361</v>
      </c>
      <c r="B20" s="3431" t="s">
        <v>1361</v>
      </c>
      <c r="C20" s="3427" t="s">
        <v>1361</v>
      </c>
      <c r="D20" s="3460" t="s">
        <v>1361</v>
      </c>
      <c r="E20" s="3728" t="s">
        <v>1361</v>
      </c>
      <c r="F20" s="3255" t="s">
        <v>1361</v>
      </c>
      <c r="G20" s="3419" t="s">
        <v>1361</v>
      </c>
      <c r="H20" s="3483" t="s">
        <v>1361</v>
      </c>
      <c r="I20" s="3707" t="s">
        <v>1361</v>
      </c>
      <c r="J20" s="3054" t="s">
        <v>1361</v>
      </c>
      <c r="K20" s="2824" t="s">
        <v>1361</v>
      </c>
      <c r="L20" s="2824" t="s">
        <v>1361</v>
      </c>
      <c r="M20" s="2624" t="s">
        <v>1361</v>
      </c>
      <c r="N20" s="2624" t="s">
        <v>1361</v>
      </c>
      <c r="O20" s="2624" t="s">
        <v>1361</v>
      </c>
      <c r="P20" s="2822" t="s">
        <v>1361</v>
      </c>
      <c r="Q20" s="1243" t="s">
        <v>1361</v>
      </c>
      <c r="R20" s="2624" t="s">
        <v>1361</v>
      </c>
      <c r="S20" s="3054" t="s">
        <v>1361</v>
      </c>
      <c r="T20" s="2824" t="s">
        <v>1361</v>
      </c>
      <c r="U20" s="2822" t="s">
        <v>1361</v>
      </c>
      <c r="V20" s="3054" t="s">
        <v>1361</v>
      </c>
      <c r="W20" s="2828" t="s">
        <v>1361</v>
      </c>
      <c r="X20" s="2825" t="s">
        <v>1361</v>
      </c>
      <c r="Y20" s="2825" t="s">
        <v>1361</v>
      </c>
      <c r="Z20" s="2828" t="s">
        <v>1361</v>
      </c>
      <c r="AA20" s="2624" t="s">
        <v>1361</v>
      </c>
      <c r="AB20" s="2624" t="s">
        <v>1361</v>
      </c>
      <c r="AC20" s="258" t="s">
        <v>1361</v>
      </c>
      <c r="AD20" s="327" t="s">
        <v>1361</v>
      </c>
      <c r="AE20" s="327" t="s">
        <v>1361</v>
      </c>
      <c r="AF20" s="174" t="s">
        <v>1361</v>
      </c>
      <c r="AG20" s="327" t="s">
        <v>1361</v>
      </c>
      <c r="AH20" s="3728" t="s">
        <v>1361</v>
      </c>
    </row>
    <row r="21" spans="1:34" ht="32.25" thickBot="1" x14ac:dyDescent="0.3">
      <c r="A21" s="2310" t="s">
        <v>1209</v>
      </c>
      <c r="B21" s="3627" t="s">
        <v>1209</v>
      </c>
      <c r="C21" s="140" t="s">
        <v>1209</v>
      </c>
      <c r="D21" s="3717" t="s">
        <v>1209</v>
      </c>
      <c r="E21" s="3717" t="s">
        <v>1209</v>
      </c>
      <c r="F21" s="3096" t="s">
        <v>2874</v>
      </c>
      <c r="G21" s="3741">
        <f>SUM(G5:G20)</f>
        <v>113562.43628899999</v>
      </c>
      <c r="H21" s="3741">
        <f t="shared" ref="H21:AA21" si="1">SUM(H5:H20)</f>
        <v>58066.293389999999</v>
      </c>
      <c r="I21" s="2814">
        <f t="shared" si="1"/>
        <v>0</v>
      </c>
      <c r="J21" s="2814">
        <f t="shared" si="1"/>
        <v>8318.52</v>
      </c>
      <c r="K21" s="2815">
        <f t="shared" si="1"/>
        <v>8274.8271000000004</v>
      </c>
      <c r="L21" s="2815">
        <f t="shared" si="1"/>
        <v>8102.7957999999999</v>
      </c>
      <c r="M21" s="3453">
        <f t="shared" si="1"/>
        <v>19200</v>
      </c>
      <c r="N21" s="3741">
        <f t="shared" si="1"/>
        <v>36496.838409999997</v>
      </c>
      <c r="O21" s="3741">
        <f t="shared" si="1"/>
        <v>7399.3044899999995</v>
      </c>
      <c r="P21" s="3454">
        <f t="shared" si="1"/>
        <v>43896.142899999999</v>
      </c>
      <c r="Q21" s="3741">
        <f t="shared" si="1"/>
        <v>11600</v>
      </c>
      <c r="R21" s="3453">
        <f t="shared" si="1"/>
        <v>0</v>
      </c>
      <c r="S21" s="2814">
        <f t="shared" si="1"/>
        <v>0</v>
      </c>
      <c r="T21" s="2815">
        <f t="shared" si="1"/>
        <v>0</v>
      </c>
      <c r="U21" s="3453">
        <f t="shared" si="1"/>
        <v>0</v>
      </c>
      <c r="V21" s="2814">
        <f t="shared" si="1"/>
        <v>0</v>
      </c>
      <c r="W21" s="2815">
        <f t="shared" si="1"/>
        <v>0</v>
      </c>
      <c r="X21" s="2815">
        <f t="shared" si="1"/>
        <v>0</v>
      </c>
      <c r="Y21" s="2815">
        <f t="shared" si="1"/>
        <v>0</v>
      </c>
      <c r="Z21" s="2815">
        <f t="shared" si="1"/>
        <v>0</v>
      </c>
      <c r="AA21" s="3453">
        <f t="shared" si="1"/>
        <v>0</v>
      </c>
      <c r="AB21" s="165" t="s">
        <v>3141</v>
      </c>
      <c r="AC21" s="140" t="s">
        <v>1209</v>
      </c>
      <c r="AD21" s="309" t="s">
        <v>1209</v>
      </c>
      <c r="AE21" s="1506" t="s">
        <v>1209</v>
      </c>
      <c r="AF21" s="1506" t="s">
        <v>1209</v>
      </c>
      <c r="AG21" s="140" t="s">
        <v>1209</v>
      </c>
      <c r="AH21" s="3717" t="s">
        <v>1209</v>
      </c>
    </row>
    <row r="22" spans="1:34" ht="25.5" outlineLevel="1" x14ac:dyDescent="0.25">
      <c r="A22" s="3388" t="s">
        <v>3059</v>
      </c>
      <c r="B22" s="3449" t="s">
        <v>41</v>
      </c>
      <c r="C22" s="3747" t="s">
        <v>1719</v>
      </c>
      <c r="D22" s="3713" t="s">
        <v>26</v>
      </c>
      <c r="E22" s="3713" t="s">
        <v>26</v>
      </c>
      <c r="F22" s="3742" t="s">
        <v>42</v>
      </c>
      <c r="G22" s="3746">
        <f>16659.59+29+23+1800+400+802+200</f>
        <v>19913.59</v>
      </c>
      <c r="H22" s="3746">
        <v>16827.75</v>
      </c>
      <c r="I22" s="3766">
        <v>0</v>
      </c>
      <c r="J22" s="3232">
        <v>0</v>
      </c>
      <c r="K22" s="3452">
        <v>0</v>
      </c>
      <c r="L22" s="3452">
        <v>0</v>
      </c>
      <c r="M22" s="281">
        <v>2000</v>
      </c>
      <c r="N22" s="3519">
        <v>2000</v>
      </c>
      <c r="O22" s="3763">
        <v>0</v>
      </c>
      <c r="P22" s="4329">
        <f t="shared" ref="P22:P31" si="2">N22+O22</f>
        <v>2000</v>
      </c>
      <c r="Q22" s="6">
        <v>1085.8400000000001</v>
      </c>
      <c r="R22" s="3735">
        <v>0</v>
      </c>
      <c r="S22" s="3755">
        <v>0</v>
      </c>
      <c r="T22" s="3730">
        <v>0</v>
      </c>
      <c r="U22" s="3392">
        <v>0</v>
      </c>
      <c r="V22" s="3732">
        <v>0</v>
      </c>
      <c r="W22" s="3677">
        <v>0</v>
      </c>
      <c r="X22" s="3458">
        <v>0</v>
      </c>
      <c r="Y22" s="3458">
        <v>0</v>
      </c>
      <c r="Z22" s="3765">
        <v>0</v>
      </c>
      <c r="AA22" s="3737">
        <v>0</v>
      </c>
      <c r="AB22" s="168" t="s">
        <v>3130</v>
      </c>
      <c r="AC22" s="193" t="s">
        <v>33</v>
      </c>
      <c r="AD22" s="193" t="s">
        <v>2435</v>
      </c>
      <c r="AE22" s="3463" t="s">
        <v>1283</v>
      </c>
      <c r="AF22" s="3363" t="s">
        <v>1283</v>
      </c>
      <c r="AG22" s="2617" t="s">
        <v>1447</v>
      </c>
      <c r="AH22" s="3448" t="s">
        <v>1230</v>
      </c>
    </row>
    <row r="23" spans="1:34" ht="38.25" outlineLevel="1" x14ac:dyDescent="0.25">
      <c r="A23" s="2928" t="s">
        <v>3060</v>
      </c>
      <c r="B23" s="2929" t="s">
        <v>48</v>
      </c>
      <c r="C23" s="650" t="s">
        <v>1718</v>
      </c>
      <c r="D23" s="1125" t="s">
        <v>26</v>
      </c>
      <c r="E23" s="1125" t="s">
        <v>26</v>
      </c>
      <c r="F23" s="2953" t="s">
        <v>50</v>
      </c>
      <c r="G23" s="651">
        <f>1182.025+540.2+700+2000+6000+17.92195+48.94916</f>
        <v>10489.09611</v>
      </c>
      <c r="H23" s="647">
        <v>2363.8729999999996</v>
      </c>
      <c r="I23" s="3789">
        <v>0</v>
      </c>
      <c r="J23" s="2882">
        <f>110.11+90</f>
        <v>200.11</v>
      </c>
      <c r="K23" s="1532">
        <v>3900.1131099999998</v>
      </c>
      <c r="L23" s="1532">
        <v>0</v>
      </c>
      <c r="M23" s="1609">
        <v>3000</v>
      </c>
      <c r="N23" s="3790">
        <v>7033.3519999999999</v>
      </c>
      <c r="O23" s="3791">
        <f>17.92195+48.94916</f>
        <v>66.871110000000002</v>
      </c>
      <c r="P23" s="4331">
        <f t="shared" si="2"/>
        <v>7100.2231099999999</v>
      </c>
      <c r="Q23" s="2930">
        <v>1025</v>
      </c>
      <c r="R23" s="1609">
        <v>0</v>
      </c>
      <c r="S23" s="2882">
        <v>0</v>
      </c>
      <c r="T23" s="1532">
        <v>0</v>
      </c>
      <c r="U23" s="1533">
        <v>0</v>
      </c>
      <c r="V23" s="3793">
        <v>0</v>
      </c>
      <c r="W23" s="3795">
        <v>0</v>
      </c>
      <c r="X23" s="3794">
        <v>0</v>
      </c>
      <c r="Y23" s="3794">
        <v>0</v>
      </c>
      <c r="Z23" s="3795">
        <v>0</v>
      </c>
      <c r="AA23" s="3796">
        <v>0</v>
      </c>
      <c r="AB23" s="568" t="s">
        <v>3162</v>
      </c>
      <c r="AC23" s="1530" t="s">
        <v>43</v>
      </c>
      <c r="AD23" s="1530" t="s">
        <v>2435</v>
      </c>
      <c r="AE23" s="2983" t="s">
        <v>1283</v>
      </c>
      <c r="AF23" s="3797" t="s">
        <v>1283</v>
      </c>
      <c r="AG23" s="2883" t="s">
        <v>1447</v>
      </c>
      <c r="AH23" s="3751" t="s">
        <v>1230</v>
      </c>
    </row>
    <row r="24" spans="1:34" ht="30" outlineLevel="1" x14ac:dyDescent="0.25">
      <c r="A24" s="3388" t="s">
        <v>3061</v>
      </c>
      <c r="B24" s="3752" t="s">
        <v>54</v>
      </c>
      <c r="C24" s="3747" t="s">
        <v>3324</v>
      </c>
      <c r="D24" s="3751" t="s">
        <v>26</v>
      </c>
      <c r="E24" s="3751" t="s">
        <v>26</v>
      </c>
      <c r="F24" s="3743" t="s">
        <v>55</v>
      </c>
      <c r="G24" s="3748">
        <v>23232</v>
      </c>
      <c r="H24" s="3746">
        <v>19692.356750000003</v>
      </c>
      <c r="I24" s="3766">
        <v>0</v>
      </c>
      <c r="J24" s="3756">
        <v>0</v>
      </c>
      <c r="K24" s="3754">
        <v>3171.1680000000001</v>
      </c>
      <c r="L24" s="3754">
        <v>0</v>
      </c>
      <c r="M24" s="3749">
        <f>3539.64325-3171.168</f>
        <v>368.47524999999996</v>
      </c>
      <c r="N24" s="3723">
        <v>3539.6432500000001</v>
      </c>
      <c r="O24" s="3763">
        <v>0</v>
      </c>
      <c r="P24" s="4339">
        <f t="shared" si="2"/>
        <v>3539.6432500000001</v>
      </c>
      <c r="Q24" s="3385">
        <v>0</v>
      </c>
      <c r="R24" s="3749">
        <v>0</v>
      </c>
      <c r="S24" s="3756">
        <v>0</v>
      </c>
      <c r="T24" s="3754">
        <v>0</v>
      </c>
      <c r="U24" s="3459">
        <v>0</v>
      </c>
      <c r="V24" s="3731">
        <v>0</v>
      </c>
      <c r="W24" s="3733">
        <v>0</v>
      </c>
      <c r="X24" s="3721">
        <v>0</v>
      </c>
      <c r="Y24" s="3721">
        <v>0</v>
      </c>
      <c r="Z24" s="3733">
        <v>0</v>
      </c>
      <c r="AA24" s="3750">
        <v>0</v>
      </c>
      <c r="AB24" s="57" t="s">
        <v>3163</v>
      </c>
      <c r="AC24" s="189" t="s">
        <v>43</v>
      </c>
      <c r="AD24" s="399" t="s">
        <v>2695</v>
      </c>
      <c r="AE24" s="3462" t="s">
        <v>1283</v>
      </c>
      <c r="AF24" s="399" t="s">
        <v>1283</v>
      </c>
      <c r="AG24" s="282" t="s">
        <v>1448</v>
      </c>
      <c r="AH24" s="3751" t="s">
        <v>1230</v>
      </c>
    </row>
    <row r="25" spans="1:34" ht="30" outlineLevel="1" x14ac:dyDescent="0.25">
      <c r="A25" s="80" t="s">
        <v>3062</v>
      </c>
      <c r="B25" s="3752" t="s">
        <v>56</v>
      </c>
      <c r="C25" s="3747" t="s">
        <v>3324</v>
      </c>
      <c r="D25" s="3751" t="s">
        <v>26</v>
      </c>
      <c r="E25" s="3751" t="s">
        <v>26</v>
      </c>
      <c r="F25" s="3743" t="s">
        <v>57</v>
      </c>
      <c r="G25" s="3748">
        <f>25400-500-4300-700</f>
        <v>19900</v>
      </c>
      <c r="H25" s="3746">
        <v>15435.52873</v>
      </c>
      <c r="I25" s="3766">
        <v>0</v>
      </c>
      <c r="J25" s="3756">
        <v>0</v>
      </c>
      <c r="K25" s="3754">
        <v>0</v>
      </c>
      <c r="L25" s="3754">
        <v>0</v>
      </c>
      <c r="M25" s="3749">
        <v>2464.47127</v>
      </c>
      <c r="N25" s="3723">
        <v>2464.47127</v>
      </c>
      <c r="O25" s="3763">
        <v>0</v>
      </c>
      <c r="P25" s="4339">
        <f t="shared" si="2"/>
        <v>2464.47127</v>
      </c>
      <c r="Q25" s="3385">
        <v>2000</v>
      </c>
      <c r="R25" s="3749">
        <v>0</v>
      </c>
      <c r="S25" s="3756">
        <v>0</v>
      </c>
      <c r="T25" s="3754">
        <v>0</v>
      </c>
      <c r="U25" s="3459">
        <v>0</v>
      </c>
      <c r="V25" s="3731">
        <v>0</v>
      </c>
      <c r="W25" s="3733">
        <v>0</v>
      </c>
      <c r="X25" s="3721">
        <v>0</v>
      </c>
      <c r="Y25" s="3721">
        <v>0</v>
      </c>
      <c r="Z25" s="3733">
        <v>0</v>
      </c>
      <c r="AA25" s="3750">
        <v>0</v>
      </c>
      <c r="AB25" s="57" t="s">
        <v>2822</v>
      </c>
      <c r="AC25" s="189" t="s">
        <v>43</v>
      </c>
      <c r="AD25" s="399" t="s">
        <v>2284</v>
      </c>
      <c r="AE25" s="399" t="s">
        <v>1283</v>
      </c>
      <c r="AF25" s="399" t="s">
        <v>1283</v>
      </c>
      <c r="AG25" s="282" t="s">
        <v>1452</v>
      </c>
      <c r="AH25" s="3751" t="s">
        <v>1230</v>
      </c>
    </row>
    <row r="26" spans="1:34" ht="25.5" outlineLevel="1" x14ac:dyDescent="0.25">
      <c r="A26" s="3727" t="s">
        <v>3063</v>
      </c>
      <c r="B26" s="3752" t="s">
        <v>1211</v>
      </c>
      <c r="C26" s="3747" t="s">
        <v>3324</v>
      </c>
      <c r="D26" s="3751" t="s">
        <v>26</v>
      </c>
      <c r="E26" s="3751" t="s">
        <v>26</v>
      </c>
      <c r="F26" s="3743" t="s">
        <v>2963</v>
      </c>
      <c r="G26" s="3748">
        <f>2000+406+2500+3200</f>
        <v>8106</v>
      </c>
      <c r="H26" s="3748">
        <v>1990.2360000000001</v>
      </c>
      <c r="I26" s="3767">
        <v>0</v>
      </c>
      <c r="J26" s="3756">
        <v>0</v>
      </c>
      <c r="K26" s="3459">
        <v>1400</v>
      </c>
      <c r="L26" s="3754">
        <v>0</v>
      </c>
      <c r="M26" s="3749">
        <v>1351.9908399999999</v>
      </c>
      <c r="N26" s="3764">
        <v>2751.9908399999999</v>
      </c>
      <c r="O26" s="3763">
        <v>0</v>
      </c>
      <c r="P26" s="4339">
        <f t="shared" si="2"/>
        <v>2751.9908399999999</v>
      </c>
      <c r="Q26" s="3385">
        <v>3363.7731600000002</v>
      </c>
      <c r="R26" s="3749">
        <v>0</v>
      </c>
      <c r="S26" s="3756">
        <v>0</v>
      </c>
      <c r="T26" s="3399">
        <v>0</v>
      </c>
      <c r="U26" s="3384">
        <v>0</v>
      </c>
      <c r="V26" s="3406">
        <v>0</v>
      </c>
      <c r="W26" s="3685">
        <v>0</v>
      </c>
      <c r="X26" s="3724">
        <v>0</v>
      </c>
      <c r="Y26" s="3724">
        <v>0</v>
      </c>
      <c r="Z26" s="3685">
        <v>0</v>
      </c>
      <c r="AA26" s="334">
        <v>0</v>
      </c>
      <c r="AB26" s="57" t="s">
        <v>3131</v>
      </c>
      <c r="AC26" s="189" t="s">
        <v>43</v>
      </c>
      <c r="AD26" s="189" t="s">
        <v>2435</v>
      </c>
      <c r="AE26" s="399" t="s">
        <v>1283</v>
      </c>
      <c r="AF26" s="399" t="s">
        <v>1283</v>
      </c>
      <c r="AG26" s="282" t="s">
        <v>1448</v>
      </c>
      <c r="AH26" s="3751" t="s">
        <v>1230</v>
      </c>
    </row>
    <row r="27" spans="1:34" ht="26.25" outlineLevel="1" thickBot="1" x14ac:dyDescent="0.3">
      <c r="A27" s="2943" t="s">
        <v>3064</v>
      </c>
      <c r="B27" s="2909" t="s">
        <v>1269</v>
      </c>
      <c r="C27" s="1620" t="s">
        <v>3324</v>
      </c>
      <c r="D27" s="3023" t="s">
        <v>26</v>
      </c>
      <c r="E27" s="3023" t="s">
        <v>26</v>
      </c>
      <c r="F27" s="3827" t="s">
        <v>3164</v>
      </c>
      <c r="G27" s="1621">
        <f>3000-406</f>
        <v>2594</v>
      </c>
      <c r="H27" s="1621">
        <v>593.38</v>
      </c>
      <c r="I27" s="3820">
        <v>0</v>
      </c>
      <c r="J27" s="2913">
        <v>0</v>
      </c>
      <c r="K27" s="2914">
        <v>0</v>
      </c>
      <c r="L27" s="2914">
        <v>0</v>
      </c>
      <c r="M27" s="2915">
        <v>2000.62</v>
      </c>
      <c r="N27" s="3828">
        <v>2000.62</v>
      </c>
      <c r="O27" s="2944">
        <v>0</v>
      </c>
      <c r="P27" s="4340">
        <f t="shared" si="2"/>
        <v>2000.62</v>
      </c>
      <c r="Q27" s="1623">
        <v>0</v>
      </c>
      <c r="R27" s="2915">
        <v>0</v>
      </c>
      <c r="S27" s="2913">
        <v>0</v>
      </c>
      <c r="T27" s="2914">
        <v>0</v>
      </c>
      <c r="U27" s="2959">
        <v>0</v>
      </c>
      <c r="V27" s="3829">
        <v>0</v>
      </c>
      <c r="W27" s="3830">
        <v>0</v>
      </c>
      <c r="X27" s="3823">
        <v>0</v>
      </c>
      <c r="Y27" s="3823">
        <v>0</v>
      </c>
      <c r="Z27" s="3831">
        <v>0</v>
      </c>
      <c r="AA27" s="3026">
        <v>0</v>
      </c>
      <c r="AB27" s="1620" t="s">
        <v>3165</v>
      </c>
      <c r="AC27" s="3826" t="s">
        <v>33</v>
      </c>
      <c r="AD27" s="2917" t="s">
        <v>2709</v>
      </c>
      <c r="AE27" s="2917" t="s">
        <v>1282</v>
      </c>
      <c r="AF27" s="2917" t="s">
        <v>1282</v>
      </c>
      <c r="AG27" s="2918" t="s">
        <v>1447</v>
      </c>
      <c r="AH27" s="3023" t="s">
        <v>1230</v>
      </c>
    </row>
    <row r="28" spans="1:34" ht="25.5" outlineLevel="1" x14ac:dyDescent="0.25">
      <c r="A28" s="1788" t="s">
        <v>2287</v>
      </c>
      <c r="B28" s="1807" t="s">
        <v>2696</v>
      </c>
      <c r="C28" s="1523" t="s">
        <v>2579</v>
      </c>
      <c r="D28" s="1791" t="s">
        <v>26</v>
      </c>
      <c r="E28" s="1791" t="s">
        <v>26</v>
      </c>
      <c r="F28" s="1746" t="s">
        <v>2288</v>
      </c>
      <c r="G28" s="1564">
        <f>18200-9200-17.92195</f>
        <v>8982.0780500000001</v>
      </c>
      <c r="H28" s="1564">
        <v>8982.0780500000001</v>
      </c>
      <c r="I28" s="3798">
        <v>0</v>
      </c>
      <c r="J28" s="2372">
        <v>0</v>
      </c>
      <c r="K28" s="1794">
        <v>0</v>
      </c>
      <c r="L28" s="1794">
        <v>0</v>
      </c>
      <c r="M28" s="3814">
        <v>0</v>
      </c>
      <c r="N28" s="3478">
        <v>17.921949999999999</v>
      </c>
      <c r="O28" s="3542">
        <v>-17.921949999999999</v>
      </c>
      <c r="P28" s="4341">
        <f t="shared" si="2"/>
        <v>0</v>
      </c>
      <c r="Q28" s="1619">
        <v>0</v>
      </c>
      <c r="R28" s="1793">
        <v>0</v>
      </c>
      <c r="S28" s="2372">
        <v>0</v>
      </c>
      <c r="T28" s="1794">
        <v>0</v>
      </c>
      <c r="U28" s="1758">
        <v>0</v>
      </c>
      <c r="V28" s="3815">
        <v>0</v>
      </c>
      <c r="W28" s="3352">
        <v>0</v>
      </c>
      <c r="X28" s="3353">
        <v>0</v>
      </c>
      <c r="Y28" s="3353">
        <v>0</v>
      </c>
      <c r="Z28" s="3352">
        <v>0</v>
      </c>
      <c r="AA28" s="1810">
        <v>0</v>
      </c>
      <c r="AB28" s="1523" t="s">
        <v>3166</v>
      </c>
      <c r="AC28" s="1887" t="s">
        <v>1329</v>
      </c>
      <c r="AD28" s="1664" t="s">
        <v>1552</v>
      </c>
      <c r="AE28" s="1887" t="s">
        <v>1283</v>
      </c>
      <c r="AF28" s="1887" t="s">
        <v>1283</v>
      </c>
      <c r="AG28" s="1523">
        <v>1</v>
      </c>
      <c r="AH28" s="3713" t="s">
        <v>1230</v>
      </c>
    </row>
    <row r="29" spans="1:34" ht="39" outlineLevel="1" thickBot="1" x14ac:dyDescent="0.3">
      <c r="A29" s="2943" t="s">
        <v>2289</v>
      </c>
      <c r="B29" s="2909" t="s">
        <v>2697</v>
      </c>
      <c r="C29" s="1620" t="s">
        <v>2579</v>
      </c>
      <c r="D29" s="3818" t="s">
        <v>26</v>
      </c>
      <c r="E29" s="3818" t="s">
        <v>26</v>
      </c>
      <c r="F29" s="3819" t="s">
        <v>2290</v>
      </c>
      <c r="G29" s="3090">
        <f>8000+4300</f>
        <v>12300</v>
      </c>
      <c r="H29" s="1621">
        <v>9137.6392799999994</v>
      </c>
      <c r="I29" s="3820">
        <v>0</v>
      </c>
      <c r="J29" s="3821">
        <v>0</v>
      </c>
      <c r="K29" s="3705">
        <v>0</v>
      </c>
      <c r="L29" s="3705">
        <v>0</v>
      </c>
      <c r="M29" s="3705">
        <v>0</v>
      </c>
      <c r="N29" s="3026">
        <v>3162.3607200000001</v>
      </c>
      <c r="O29" s="2944">
        <v>-3162.3607200000001</v>
      </c>
      <c r="P29" s="4340">
        <f t="shared" si="2"/>
        <v>0</v>
      </c>
      <c r="Q29" s="1623">
        <v>3162.3607200000001</v>
      </c>
      <c r="R29" s="4345">
        <v>0</v>
      </c>
      <c r="S29" s="3821">
        <v>0</v>
      </c>
      <c r="T29" s="3705">
        <v>0</v>
      </c>
      <c r="U29" s="1760">
        <v>0</v>
      </c>
      <c r="V29" s="3822">
        <v>0</v>
      </c>
      <c r="W29" s="3823">
        <v>0</v>
      </c>
      <c r="X29" s="3823">
        <v>0</v>
      </c>
      <c r="Y29" s="3823">
        <v>0</v>
      </c>
      <c r="Z29" s="3824">
        <v>0</v>
      </c>
      <c r="AA29" s="3825">
        <v>0</v>
      </c>
      <c r="AB29" s="3263" t="s">
        <v>3167</v>
      </c>
      <c r="AC29" s="3592" t="s">
        <v>43</v>
      </c>
      <c r="AD29" s="3816" t="s">
        <v>2435</v>
      </c>
      <c r="AE29" s="3817" t="s">
        <v>1283</v>
      </c>
      <c r="AF29" s="3817" t="s">
        <v>1283</v>
      </c>
      <c r="AG29" s="2918" t="s">
        <v>1447</v>
      </c>
      <c r="AH29" s="3023" t="s">
        <v>1230</v>
      </c>
    </row>
    <row r="30" spans="1:34" ht="27" outlineLevel="1" thickBot="1" x14ac:dyDescent="0.3">
      <c r="A30" s="1871" t="s">
        <v>2598</v>
      </c>
      <c r="B30" s="3804" t="s">
        <v>2813</v>
      </c>
      <c r="C30" s="1872" t="s">
        <v>3325</v>
      </c>
      <c r="D30" s="3805" t="s">
        <v>26</v>
      </c>
      <c r="E30" s="3805" t="s">
        <v>26</v>
      </c>
      <c r="F30" s="3806" t="s">
        <v>2599</v>
      </c>
      <c r="G30" s="2533">
        <f>550+137.82916-48.94916</f>
        <v>638.88</v>
      </c>
      <c r="H30" s="2533">
        <v>638.88</v>
      </c>
      <c r="I30" s="3799">
        <v>0</v>
      </c>
      <c r="J30" s="3800">
        <v>0</v>
      </c>
      <c r="K30" s="3801">
        <v>0</v>
      </c>
      <c r="L30" s="3801">
        <v>0</v>
      </c>
      <c r="M30" s="3807">
        <v>0</v>
      </c>
      <c r="N30" s="3802">
        <v>48.949159999999999</v>
      </c>
      <c r="O30" s="3803">
        <v>-48.949159999999999</v>
      </c>
      <c r="P30" s="4342">
        <f t="shared" si="2"/>
        <v>0</v>
      </c>
      <c r="Q30" s="1876">
        <v>0</v>
      </c>
      <c r="R30" s="4346">
        <v>0</v>
      </c>
      <c r="S30" s="3800">
        <v>0</v>
      </c>
      <c r="T30" s="3801">
        <v>0</v>
      </c>
      <c r="U30" s="1877">
        <v>0</v>
      </c>
      <c r="V30" s="3809">
        <v>0</v>
      </c>
      <c r="W30" s="3811">
        <v>0</v>
      </c>
      <c r="X30" s="3810">
        <v>0</v>
      </c>
      <c r="Y30" s="3810">
        <v>0</v>
      </c>
      <c r="Z30" s="3811">
        <v>0</v>
      </c>
      <c r="AA30" s="3812">
        <v>0</v>
      </c>
      <c r="AB30" s="3957" t="s">
        <v>3168</v>
      </c>
      <c r="AC30" s="2201" t="s">
        <v>1329</v>
      </c>
      <c r="AD30" s="3813" t="s">
        <v>2435</v>
      </c>
      <c r="AE30" s="2201" t="s">
        <v>1283</v>
      </c>
      <c r="AF30" s="2201" t="s">
        <v>1283</v>
      </c>
      <c r="AG30" s="1872" t="s">
        <v>1448</v>
      </c>
      <c r="AH30" s="3728" t="s">
        <v>1230</v>
      </c>
    </row>
    <row r="31" spans="1:34" ht="30" outlineLevel="1" x14ac:dyDescent="0.25">
      <c r="A31" s="3712" t="s">
        <v>2823</v>
      </c>
      <c r="B31" s="3715" t="s">
        <v>1230</v>
      </c>
      <c r="C31" s="3322" t="s">
        <v>3326</v>
      </c>
      <c r="D31" s="3713" t="s">
        <v>26</v>
      </c>
      <c r="E31" s="3713" t="s">
        <v>26</v>
      </c>
      <c r="F31" s="3742" t="s">
        <v>2824</v>
      </c>
      <c r="G31" s="3746">
        <v>5000</v>
      </c>
      <c r="H31" s="3746">
        <v>0</v>
      </c>
      <c r="I31" s="3766">
        <v>0</v>
      </c>
      <c r="J31" s="3755">
        <v>0</v>
      </c>
      <c r="K31" s="3446">
        <v>0</v>
      </c>
      <c r="L31" s="3730">
        <v>0</v>
      </c>
      <c r="M31" s="3735">
        <v>5000</v>
      </c>
      <c r="N31" s="3464">
        <v>5000</v>
      </c>
      <c r="O31" s="3763">
        <v>0</v>
      </c>
      <c r="P31" s="4329">
        <f t="shared" si="2"/>
        <v>5000</v>
      </c>
      <c r="Q31" s="6">
        <v>0</v>
      </c>
      <c r="R31" s="3735">
        <v>0</v>
      </c>
      <c r="S31" s="3755">
        <v>0</v>
      </c>
      <c r="T31" s="3730">
        <v>0</v>
      </c>
      <c r="U31" s="3446">
        <v>0</v>
      </c>
      <c r="V31" s="3732">
        <v>0</v>
      </c>
      <c r="W31" s="3765">
        <v>0</v>
      </c>
      <c r="X31" s="3721">
        <v>0</v>
      </c>
      <c r="Y31" s="3721">
        <v>0</v>
      </c>
      <c r="Z31" s="3765">
        <v>0</v>
      </c>
      <c r="AA31" s="3737">
        <v>0</v>
      </c>
      <c r="AB31" s="3461" t="s">
        <v>2858</v>
      </c>
      <c r="AC31" s="193" t="s">
        <v>28</v>
      </c>
      <c r="AD31" s="2617" t="s">
        <v>2831</v>
      </c>
      <c r="AE31" s="1430" t="s">
        <v>1282</v>
      </c>
      <c r="AF31" s="1430" t="s">
        <v>1282</v>
      </c>
      <c r="AG31" s="2617" t="s">
        <v>1452</v>
      </c>
      <c r="AH31" s="3713" t="s">
        <v>1230</v>
      </c>
    </row>
    <row r="32" spans="1:34" s="3647" customFormat="1" ht="15.75" outlineLevel="1" thickBot="1" x14ac:dyDescent="0.3">
      <c r="A32" s="327" t="s">
        <v>1361</v>
      </c>
      <c r="B32" s="328" t="s">
        <v>1361</v>
      </c>
      <c r="C32" s="3460" t="s">
        <v>1361</v>
      </c>
      <c r="D32" s="3728" t="s">
        <v>1361</v>
      </c>
      <c r="E32" s="3728" t="s">
        <v>1361</v>
      </c>
      <c r="F32" s="3098" t="s">
        <v>1361</v>
      </c>
      <c r="G32" s="3419" t="s">
        <v>1361</v>
      </c>
      <c r="H32" s="3418" t="s">
        <v>1361</v>
      </c>
      <c r="I32" s="3707" t="s">
        <v>1361</v>
      </c>
      <c r="J32" s="3054" t="s">
        <v>1361</v>
      </c>
      <c r="K32" s="2824" t="s">
        <v>1361</v>
      </c>
      <c r="L32" s="2824" t="s">
        <v>1361</v>
      </c>
      <c r="M32" s="2624" t="s">
        <v>1361</v>
      </c>
      <c r="N32" s="2624" t="s">
        <v>1361</v>
      </c>
      <c r="O32" s="2624" t="s">
        <v>1361</v>
      </c>
      <c r="P32" s="2822" t="s">
        <v>1361</v>
      </c>
      <c r="Q32" s="1243" t="s">
        <v>1361</v>
      </c>
      <c r="R32" s="2624" t="s">
        <v>1361</v>
      </c>
      <c r="S32" s="3054" t="s">
        <v>1361</v>
      </c>
      <c r="T32" s="2824" t="s">
        <v>1361</v>
      </c>
      <c r="U32" s="2822" t="s">
        <v>1361</v>
      </c>
      <c r="V32" s="3054" t="s">
        <v>1361</v>
      </c>
      <c r="W32" s="2828" t="s">
        <v>1361</v>
      </c>
      <c r="X32" s="2823" t="s">
        <v>1361</v>
      </c>
      <c r="Y32" s="2823" t="s">
        <v>1361</v>
      </c>
      <c r="Z32" s="2828" t="s">
        <v>1361</v>
      </c>
      <c r="AA32" s="2624" t="s">
        <v>1361</v>
      </c>
      <c r="AB32" s="2624" t="s">
        <v>1361</v>
      </c>
      <c r="AC32" s="258" t="s">
        <v>1361</v>
      </c>
      <c r="AD32" s="2329" t="s">
        <v>1361</v>
      </c>
      <c r="AE32" s="2329" t="s">
        <v>1361</v>
      </c>
      <c r="AF32" s="2329" t="s">
        <v>1361</v>
      </c>
      <c r="AG32" s="486" t="s">
        <v>1361</v>
      </c>
      <c r="AH32" s="3738" t="s">
        <v>1361</v>
      </c>
    </row>
    <row r="33" spans="1:34" ht="16.5" thickBot="1" x14ac:dyDescent="0.3">
      <c r="A33" s="2310" t="s">
        <v>1209</v>
      </c>
      <c r="B33" s="3627" t="s">
        <v>1209</v>
      </c>
      <c r="C33" s="140" t="s">
        <v>1209</v>
      </c>
      <c r="D33" s="140" t="s">
        <v>1209</v>
      </c>
      <c r="E33" s="140" t="s">
        <v>1209</v>
      </c>
      <c r="F33" s="3096" t="s">
        <v>1466</v>
      </c>
      <c r="G33" s="3741">
        <f>SUM(G22:G32)</f>
        <v>111155.64416000001</v>
      </c>
      <c r="H33" s="3741">
        <f t="shared" ref="H33:AA33" si="3">SUM(H22:H32)</f>
        <v>75661.721810000003</v>
      </c>
      <c r="I33" s="2814">
        <f t="shared" si="3"/>
        <v>0</v>
      </c>
      <c r="J33" s="2814">
        <f t="shared" si="3"/>
        <v>200.11</v>
      </c>
      <c r="K33" s="2815">
        <f t="shared" si="3"/>
        <v>8471.2811099999999</v>
      </c>
      <c r="L33" s="2815">
        <f t="shared" si="3"/>
        <v>0</v>
      </c>
      <c r="M33" s="3453">
        <f t="shared" si="3"/>
        <v>16185.557359999999</v>
      </c>
      <c r="N33" s="3741">
        <f t="shared" si="3"/>
        <v>28019.30919</v>
      </c>
      <c r="O33" s="3741">
        <f t="shared" si="3"/>
        <v>-3162.3607200000001</v>
      </c>
      <c r="P33" s="3454">
        <f t="shared" si="3"/>
        <v>24856.948469999999</v>
      </c>
      <c r="Q33" s="3741">
        <f t="shared" si="3"/>
        <v>10636.973880000001</v>
      </c>
      <c r="R33" s="3453">
        <f t="shared" si="3"/>
        <v>0</v>
      </c>
      <c r="S33" s="2814">
        <f t="shared" si="3"/>
        <v>0</v>
      </c>
      <c r="T33" s="2815">
        <f t="shared" si="3"/>
        <v>0</v>
      </c>
      <c r="U33" s="3453">
        <f t="shared" si="3"/>
        <v>0</v>
      </c>
      <c r="V33" s="2814">
        <f t="shared" si="3"/>
        <v>0</v>
      </c>
      <c r="W33" s="2815">
        <f t="shared" si="3"/>
        <v>0</v>
      </c>
      <c r="X33" s="2815">
        <f t="shared" si="3"/>
        <v>0</v>
      </c>
      <c r="Y33" s="2815">
        <f t="shared" si="3"/>
        <v>0</v>
      </c>
      <c r="Z33" s="2815">
        <f t="shared" si="3"/>
        <v>0</v>
      </c>
      <c r="AA33" s="3453">
        <f t="shared" si="3"/>
        <v>0</v>
      </c>
      <c r="AB33" s="165" t="s">
        <v>3142</v>
      </c>
      <c r="AC33" s="140" t="s">
        <v>1209</v>
      </c>
      <c r="AD33" s="1506" t="s">
        <v>1209</v>
      </c>
      <c r="AE33" s="1506" t="s">
        <v>1209</v>
      </c>
      <c r="AF33" s="1506" t="s">
        <v>1209</v>
      </c>
      <c r="AG33" s="140" t="s">
        <v>1209</v>
      </c>
      <c r="AH33" s="140" t="s">
        <v>1209</v>
      </c>
    </row>
    <row r="34" spans="1:34" ht="25.5" outlineLevel="1" x14ac:dyDescent="0.25">
      <c r="A34" s="3064" t="s">
        <v>3065</v>
      </c>
      <c r="B34" s="3065" t="s">
        <v>73</v>
      </c>
      <c r="C34" s="1273" t="s">
        <v>1718</v>
      </c>
      <c r="D34" s="1273" t="s">
        <v>26</v>
      </c>
      <c r="E34" s="2989" t="s">
        <v>26</v>
      </c>
      <c r="F34" s="3099" t="s">
        <v>2819</v>
      </c>
      <c r="G34" s="2736">
        <f>219905+250000</f>
        <v>469905</v>
      </c>
      <c r="H34" s="3256">
        <v>164689.81994000007</v>
      </c>
      <c r="I34" s="4297">
        <v>0</v>
      </c>
      <c r="J34" s="3834">
        <v>25000</v>
      </c>
      <c r="K34" s="3835">
        <v>5000</v>
      </c>
      <c r="L34" s="3835">
        <v>5000</v>
      </c>
      <c r="M34" s="3836">
        <v>10215.180060000001</v>
      </c>
      <c r="N34" s="3029">
        <v>85215.180060000013</v>
      </c>
      <c r="O34" s="3837">
        <v>-40000</v>
      </c>
      <c r="P34" s="4343">
        <f t="shared" ref="P34:P97" si="4">N34+O34</f>
        <v>45215.180060000013</v>
      </c>
      <c r="Q34" s="4150">
        <v>40000</v>
      </c>
      <c r="R34" s="3839">
        <v>220000</v>
      </c>
      <c r="S34" s="4365">
        <v>0</v>
      </c>
      <c r="T34" s="3838">
        <v>0</v>
      </c>
      <c r="U34" s="3839">
        <v>0</v>
      </c>
      <c r="V34" s="3840">
        <v>0</v>
      </c>
      <c r="W34" s="3841">
        <v>0</v>
      </c>
      <c r="X34" s="3841">
        <v>0</v>
      </c>
      <c r="Y34" s="3841">
        <v>0</v>
      </c>
      <c r="Z34" s="3842">
        <v>0</v>
      </c>
      <c r="AA34" s="3029">
        <v>0</v>
      </c>
      <c r="AB34" s="939" t="s">
        <v>3169</v>
      </c>
      <c r="AC34" s="1576" t="s">
        <v>43</v>
      </c>
      <c r="AD34" s="2990" t="s">
        <v>1280</v>
      </c>
      <c r="AE34" s="2990" t="s">
        <v>1280</v>
      </c>
      <c r="AF34" s="2990" t="s">
        <v>1283</v>
      </c>
      <c r="AG34" s="2965" t="s">
        <v>1447</v>
      </c>
      <c r="AH34" s="2988" t="s">
        <v>2921</v>
      </c>
    </row>
    <row r="35" spans="1:34" ht="30" outlineLevel="1" x14ac:dyDescent="0.25">
      <c r="A35" s="3034" t="s">
        <v>3066</v>
      </c>
      <c r="B35" s="3035" t="s">
        <v>75</v>
      </c>
      <c r="C35" s="650" t="s">
        <v>1717</v>
      </c>
      <c r="D35" s="650" t="s">
        <v>26</v>
      </c>
      <c r="E35" s="1125" t="s">
        <v>26</v>
      </c>
      <c r="F35" s="2953" t="s">
        <v>76</v>
      </c>
      <c r="G35" s="970">
        <f>393116.17+102000+10000+18000+140000</f>
        <v>663116.16999999993</v>
      </c>
      <c r="H35" s="2731">
        <v>450329.51653999992</v>
      </c>
      <c r="I35" s="4384">
        <v>0</v>
      </c>
      <c r="J35" s="3793">
        <v>13072.46332000001</v>
      </c>
      <c r="K35" s="4385">
        <v>5000</v>
      </c>
      <c r="L35" s="4385">
        <v>15000</v>
      </c>
      <c r="M35" s="3796">
        <v>39714.190139999999</v>
      </c>
      <c r="N35" s="4388">
        <v>52786.653460000009</v>
      </c>
      <c r="O35" s="4387">
        <v>20000</v>
      </c>
      <c r="P35" s="4331">
        <f t="shared" si="4"/>
        <v>72786.653460000001</v>
      </c>
      <c r="Q35" s="4386">
        <v>70000</v>
      </c>
      <c r="R35" s="3796">
        <v>70000</v>
      </c>
      <c r="S35" s="3793">
        <v>0</v>
      </c>
      <c r="T35" s="4385">
        <v>0</v>
      </c>
      <c r="U35" s="3796">
        <v>0</v>
      </c>
      <c r="V35" s="4081">
        <v>0</v>
      </c>
      <c r="W35" s="4385">
        <v>0</v>
      </c>
      <c r="X35" s="3794">
        <v>0</v>
      </c>
      <c r="Y35" s="3794">
        <v>0</v>
      </c>
      <c r="Z35" s="3795">
        <v>0</v>
      </c>
      <c r="AA35" s="3796">
        <v>0</v>
      </c>
      <c r="AB35" s="568" t="s">
        <v>3170</v>
      </c>
      <c r="AC35" s="650" t="s">
        <v>43</v>
      </c>
      <c r="AD35" s="2931" t="s">
        <v>1280</v>
      </c>
      <c r="AE35" s="2931" t="s">
        <v>1280</v>
      </c>
      <c r="AF35" s="2983" t="s">
        <v>1283</v>
      </c>
      <c r="AG35" s="2932" t="s">
        <v>1447</v>
      </c>
      <c r="AH35" s="1125" t="s">
        <v>2921</v>
      </c>
    </row>
    <row r="36" spans="1:34" ht="30" outlineLevel="1" x14ac:dyDescent="0.25">
      <c r="A36" s="80" t="s">
        <v>3067</v>
      </c>
      <c r="B36" s="106" t="s">
        <v>1230</v>
      </c>
      <c r="C36" s="93" t="s">
        <v>101</v>
      </c>
      <c r="D36" s="92" t="s">
        <v>80</v>
      </c>
      <c r="E36" s="92" t="s">
        <v>80</v>
      </c>
      <c r="F36" s="3743" t="s">
        <v>128</v>
      </c>
      <c r="G36" s="822">
        <v>13323</v>
      </c>
      <c r="H36" s="2611">
        <v>0</v>
      </c>
      <c r="I36" s="4146">
        <v>0</v>
      </c>
      <c r="J36" s="3407">
        <v>0</v>
      </c>
      <c r="K36" s="3334">
        <v>0</v>
      </c>
      <c r="L36" s="3334">
        <v>0</v>
      </c>
      <c r="M36" s="2606">
        <v>13323</v>
      </c>
      <c r="N36" s="3464">
        <v>13323</v>
      </c>
      <c r="O36" s="3763">
        <v>0</v>
      </c>
      <c r="P36" s="4329">
        <f t="shared" si="4"/>
        <v>13323</v>
      </c>
      <c r="Q36" s="3283">
        <v>0</v>
      </c>
      <c r="R36" s="2606">
        <v>0</v>
      </c>
      <c r="S36" s="3407">
        <v>0</v>
      </c>
      <c r="T36" s="3334">
        <v>0</v>
      </c>
      <c r="U36" s="2606">
        <v>0</v>
      </c>
      <c r="V36" s="3341">
        <v>0</v>
      </c>
      <c r="W36" s="3765">
        <v>0</v>
      </c>
      <c r="X36" s="3724">
        <v>0</v>
      </c>
      <c r="Y36" s="3724">
        <v>0</v>
      </c>
      <c r="Z36" s="3765">
        <v>0</v>
      </c>
      <c r="AA36" s="3737">
        <v>0</v>
      </c>
      <c r="AB36" s="57" t="s">
        <v>1209</v>
      </c>
      <c r="AC36" s="3747" t="s">
        <v>28</v>
      </c>
      <c r="AD36" s="3462" t="s">
        <v>2833</v>
      </c>
      <c r="AE36" s="3462" t="s">
        <v>1283</v>
      </c>
      <c r="AF36" s="3462" t="s">
        <v>1282</v>
      </c>
      <c r="AG36" s="3753" t="s">
        <v>1447</v>
      </c>
      <c r="AH36" s="3751" t="s">
        <v>2925</v>
      </c>
    </row>
    <row r="37" spans="1:34" ht="25.5" outlineLevel="1" x14ac:dyDescent="0.25">
      <c r="A37" s="3727" t="s">
        <v>3068</v>
      </c>
      <c r="B37" s="3752" t="s">
        <v>1230</v>
      </c>
      <c r="C37" s="3747" t="s">
        <v>101</v>
      </c>
      <c r="D37" s="3751" t="s">
        <v>80</v>
      </c>
      <c r="E37" s="3751" t="s">
        <v>80</v>
      </c>
      <c r="F37" s="3743" t="s">
        <v>137</v>
      </c>
      <c r="G37" s="3445">
        <v>350</v>
      </c>
      <c r="H37" s="2611">
        <v>0</v>
      </c>
      <c r="I37" s="4146">
        <v>0</v>
      </c>
      <c r="J37" s="3731">
        <v>0</v>
      </c>
      <c r="K37" s="3724">
        <v>0</v>
      </c>
      <c r="L37" s="3724">
        <v>0</v>
      </c>
      <c r="M37" s="3750">
        <v>0</v>
      </c>
      <c r="N37" s="3465">
        <v>0</v>
      </c>
      <c r="O37" s="3543">
        <v>0</v>
      </c>
      <c r="P37" s="4339">
        <f t="shared" si="4"/>
        <v>0</v>
      </c>
      <c r="Q37" s="3757">
        <v>0</v>
      </c>
      <c r="R37" s="3456">
        <v>350</v>
      </c>
      <c r="S37" s="3731">
        <v>0</v>
      </c>
      <c r="T37" s="3724">
        <v>0</v>
      </c>
      <c r="U37" s="3750">
        <v>0</v>
      </c>
      <c r="V37" s="3342">
        <v>0</v>
      </c>
      <c r="W37" s="3733">
        <v>0</v>
      </c>
      <c r="X37" s="3721">
        <v>0</v>
      </c>
      <c r="Y37" s="3721">
        <v>0</v>
      </c>
      <c r="Z37" s="3733">
        <v>0</v>
      </c>
      <c r="AA37" s="3750">
        <v>0</v>
      </c>
      <c r="AB37" s="3563" t="s">
        <v>1209</v>
      </c>
      <c r="AC37" s="3747" t="s">
        <v>33</v>
      </c>
      <c r="AD37" s="3462" t="s">
        <v>2695</v>
      </c>
      <c r="AE37" s="3462" t="s">
        <v>1282</v>
      </c>
      <c r="AF37" s="3462" t="s">
        <v>1282</v>
      </c>
      <c r="AG37" s="3753" t="s">
        <v>1452</v>
      </c>
      <c r="AH37" s="3751" t="s">
        <v>2944</v>
      </c>
    </row>
    <row r="38" spans="1:34" ht="26.25" outlineLevel="1" thickBot="1" x14ac:dyDescent="0.3">
      <c r="A38" s="3848" t="s">
        <v>3069</v>
      </c>
      <c r="B38" s="3849" t="s">
        <v>1301</v>
      </c>
      <c r="C38" s="1620" t="s">
        <v>3324</v>
      </c>
      <c r="D38" s="3023" t="s">
        <v>80</v>
      </c>
      <c r="E38" s="3023" t="s">
        <v>80</v>
      </c>
      <c r="F38" s="3827" t="s">
        <v>160</v>
      </c>
      <c r="G38" s="2945">
        <v>10317.778849999999</v>
      </c>
      <c r="H38" s="3258">
        <v>10039.2469</v>
      </c>
      <c r="I38" s="4283">
        <v>0</v>
      </c>
      <c r="J38" s="3829">
        <v>0</v>
      </c>
      <c r="K38" s="3830">
        <v>0</v>
      </c>
      <c r="L38" s="3830">
        <v>0</v>
      </c>
      <c r="M38" s="3026">
        <v>0</v>
      </c>
      <c r="N38" s="3825">
        <v>278.53194999999999</v>
      </c>
      <c r="O38" s="3850">
        <v>-278.53194999999999</v>
      </c>
      <c r="P38" s="4340">
        <f t="shared" si="4"/>
        <v>0</v>
      </c>
      <c r="Q38" s="3851">
        <v>278.53194999999999</v>
      </c>
      <c r="R38" s="3026">
        <v>0</v>
      </c>
      <c r="S38" s="3829">
        <v>0</v>
      </c>
      <c r="T38" s="3830">
        <v>0</v>
      </c>
      <c r="U38" s="3026">
        <v>0</v>
      </c>
      <c r="V38" s="3852">
        <v>0</v>
      </c>
      <c r="W38" s="3830">
        <v>0</v>
      </c>
      <c r="X38" s="3830">
        <v>0</v>
      </c>
      <c r="Y38" s="3830">
        <v>0</v>
      </c>
      <c r="Z38" s="3831">
        <v>0</v>
      </c>
      <c r="AA38" s="3026">
        <v>0</v>
      </c>
      <c r="AB38" s="1767" t="s">
        <v>3171</v>
      </c>
      <c r="AC38" s="1620" t="s">
        <v>2820</v>
      </c>
      <c r="AD38" s="2946" t="s">
        <v>2795</v>
      </c>
      <c r="AE38" s="2946" t="s">
        <v>1283</v>
      </c>
      <c r="AF38" s="2946" t="s">
        <v>1283</v>
      </c>
      <c r="AG38" s="2947" t="s">
        <v>1446</v>
      </c>
      <c r="AH38" s="3023" t="s">
        <v>2927</v>
      </c>
    </row>
    <row r="39" spans="1:34" ht="30" outlineLevel="1" x14ac:dyDescent="0.25">
      <c r="A39" s="2602" t="s">
        <v>976</v>
      </c>
      <c r="B39" s="2603" t="s">
        <v>2524</v>
      </c>
      <c r="C39" s="3736" t="s">
        <v>3172</v>
      </c>
      <c r="D39" s="3713" t="s">
        <v>80</v>
      </c>
      <c r="E39" s="3713" t="s">
        <v>80</v>
      </c>
      <c r="F39" s="3742" t="s">
        <v>1384</v>
      </c>
      <c r="G39" s="3746">
        <v>71855</v>
      </c>
      <c r="H39" s="2799">
        <v>32599.591049999999</v>
      </c>
      <c r="I39" s="4148">
        <v>0</v>
      </c>
      <c r="J39" s="3732">
        <v>1211.489959999999</v>
      </c>
      <c r="K39" s="3721">
        <v>0</v>
      </c>
      <c r="L39" s="3721">
        <f>3000-3000</f>
        <v>0</v>
      </c>
      <c r="M39" s="3737">
        <v>10000</v>
      </c>
      <c r="N39" s="3464">
        <v>11211.489959999999</v>
      </c>
      <c r="O39" s="3763">
        <v>0</v>
      </c>
      <c r="P39" s="4329">
        <f t="shared" si="4"/>
        <v>11211.489959999999</v>
      </c>
      <c r="Q39" s="3745">
        <v>28043.918989999998</v>
      </c>
      <c r="R39" s="3737">
        <v>0</v>
      </c>
      <c r="S39" s="3732">
        <v>0</v>
      </c>
      <c r="T39" s="3721">
        <v>0</v>
      </c>
      <c r="U39" s="3737">
        <v>0</v>
      </c>
      <c r="V39" s="3341">
        <v>0</v>
      </c>
      <c r="W39" s="3765">
        <v>0</v>
      </c>
      <c r="X39" s="3721">
        <v>0</v>
      </c>
      <c r="Y39" s="3721">
        <v>0</v>
      </c>
      <c r="Z39" s="3765">
        <v>0</v>
      </c>
      <c r="AA39" s="3737">
        <v>0</v>
      </c>
      <c r="AB39" s="3461" t="s">
        <v>2952</v>
      </c>
      <c r="AC39" s="3736" t="s">
        <v>43</v>
      </c>
      <c r="AD39" s="3397" t="s">
        <v>2837</v>
      </c>
      <c r="AE39" s="3397" t="s">
        <v>1283</v>
      </c>
      <c r="AF39" s="3397" t="s">
        <v>1283</v>
      </c>
      <c r="AG39" s="3729" t="s">
        <v>1447</v>
      </c>
      <c r="AH39" s="3713" t="s">
        <v>2921</v>
      </c>
    </row>
    <row r="40" spans="1:34" ht="25.5" outlineLevel="1" x14ac:dyDescent="0.25">
      <c r="A40" s="2602" t="s">
        <v>978</v>
      </c>
      <c r="B40" s="2603" t="s">
        <v>2281</v>
      </c>
      <c r="C40" s="3747" t="s">
        <v>3172</v>
      </c>
      <c r="D40" s="3713" t="s">
        <v>80</v>
      </c>
      <c r="E40" s="3713" t="s">
        <v>80</v>
      </c>
      <c r="F40" s="3742" t="s">
        <v>914</v>
      </c>
      <c r="G40" s="3746">
        <v>7500</v>
      </c>
      <c r="H40" s="2611">
        <v>6982.3255100000006</v>
      </c>
      <c r="I40" s="4146">
        <v>0</v>
      </c>
      <c r="J40" s="3732">
        <v>0</v>
      </c>
      <c r="K40" s="3721">
        <v>0</v>
      </c>
      <c r="L40" s="3721">
        <v>0</v>
      </c>
      <c r="M40" s="3737">
        <v>517.67448999999999</v>
      </c>
      <c r="N40" s="3464">
        <v>517.67448999999999</v>
      </c>
      <c r="O40" s="3763">
        <v>0</v>
      </c>
      <c r="P40" s="4339">
        <f t="shared" si="4"/>
        <v>517.67448999999999</v>
      </c>
      <c r="Q40" s="3745">
        <v>0</v>
      </c>
      <c r="R40" s="3737">
        <v>0</v>
      </c>
      <c r="S40" s="3732">
        <v>0</v>
      </c>
      <c r="T40" s="3721">
        <v>0</v>
      </c>
      <c r="U40" s="3737">
        <v>0</v>
      </c>
      <c r="V40" s="3341">
        <v>0</v>
      </c>
      <c r="W40" s="3765">
        <v>0</v>
      </c>
      <c r="X40" s="3721">
        <v>0</v>
      </c>
      <c r="Y40" s="3721">
        <v>0</v>
      </c>
      <c r="Z40" s="3765">
        <v>0</v>
      </c>
      <c r="AA40" s="3737">
        <v>0</v>
      </c>
      <c r="AB40" s="3461" t="s">
        <v>2866</v>
      </c>
      <c r="AC40" s="3736" t="s">
        <v>2820</v>
      </c>
      <c r="AD40" s="3462" t="s">
        <v>2709</v>
      </c>
      <c r="AE40" s="3462" t="s">
        <v>1283</v>
      </c>
      <c r="AF40" s="3462" t="s">
        <v>1283</v>
      </c>
      <c r="AG40" s="3753" t="s">
        <v>1448</v>
      </c>
      <c r="AH40" s="3751" t="s">
        <v>2926</v>
      </c>
    </row>
    <row r="41" spans="1:34" ht="25.5" outlineLevel="1" x14ac:dyDescent="0.25">
      <c r="A41" s="1534" t="s">
        <v>979</v>
      </c>
      <c r="B41" s="1248" t="s">
        <v>2851</v>
      </c>
      <c r="C41" s="979" t="s">
        <v>3172</v>
      </c>
      <c r="D41" s="1536" t="s">
        <v>80</v>
      </c>
      <c r="E41" s="1536" t="s">
        <v>80</v>
      </c>
      <c r="F41" s="1754" t="s">
        <v>915</v>
      </c>
      <c r="G41" s="980">
        <f>5735-419.10863</f>
        <v>5315.8913700000003</v>
      </c>
      <c r="H41" s="3282">
        <v>5315.8913700000003</v>
      </c>
      <c r="I41" s="4298">
        <v>0</v>
      </c>
      <c r="J41" s="3477">
        <v>0</v>
      </c>
      <c r="K41" s="3340">
        <v>0</v>
      </c>
      <c r="L41" s="3340">
        <v>0</v>
      </c>
      <c r="M41" s="1262">
        <v>0</v>
      </c>
      <c r="N41" s="3478">
        <v>419.10863000000001</v>
      </c>
      <c r="O41" s="3542">
        <f>-419-0.10863</f>
        <v>-419.10863000000001</v>
      </c>
      <c r="P41" s="4344">
        <f t="shared" si="4"/>
        <v>0</v>
      </c>
      <c r="Q41" s="3326">
        <v>0</v>
      </c>
      <c r="R41" s="1810">
        <v>0</v>
      </c>
      <c r="S41" s="3815">
        <v>0</v>
      </c>
      <c r="T41" s="3353">
        <v>0</v>
      </c>
      <c r="U41" s="1262">
        <v>0</v>
      </c>
      <c r="V41" s="3338">
        <v>0</v>
      </c>
      <c r="W41" s="3339">
        <v>0</v>
      </c>
      <c r="X41" s="3353">
        <v>0</v>
      </c>
      <c r="Y41" s="3353">
        <v>0</v>
      </c>
      <c r="Z41" s="3339">
        <v>0</v>
      </c>
      <c r="AA41" s="1262">
        <v>0</v>
      </c>
      <c r="AB41" s="982" t="s">
        <v>3173</v>
      </c>
      <c r="AC41" s="1523" t="s">
        <v>1329</v>
      </c>
      <c r="AD41" s="1590" t="s">
        <v>2070</v>
      </c>
      <c r="AE41" s="1590" t="s">
        <v>1283</v>
      </c>
      <c r="AF41" s="1590" t="s">
        <v>1283</v>
      </c>
      <c r="AG41" s="1589" t="s">
        <v>1447</v>
      </c>
      <c r="AH41" s="1536" t="s">
        <v>2928</v>
      </c>
    </row>
    <row r="42" spans="1:34" ht="38.25" outlineLevel="1" x14ac:dyDescent="0.25">
      <c r="A42" s="1534" t="s">
        <v>980</v>
      </c>
      <c r="B42" s="1248" t="s">
        <v>2852</v>
      </c>
      <c r="C42" s="979" t="s">
        <v>3174</v>
      </c>
      <c r="D42" s="1536" t="s">
        <v>80</v>
      </c>
      <c r="E42" s="1536" t="s">
        <v>80</v>
      </c>
      <c r="F42" s="1754" t="s">
        <v>916</v>
      </c>
      <c r="G42" s="980">
        <f>13310-3875+0.21148</f>
        <v>9435.2114799999999</v>
      </c>
      <c r="H42" s="3327">
        <v>9435.2114799999999</v>
      </c>
      <c r="I42" s="4299">
        <v>0</v>
      </c>
      <c r="J42" s="3477">
        <v>0</v>
      </c>
      <c r="K42" s="3340">
        <v>0</v>
      </c>
      <c r="L42" s="3340">
        <v>0</v>
      </c>
      <c r="M42" s="1262">
        <v>0</v>
      </c>
      <c r="N42" s="3853">
        <v>3874.7885199999996</v>
      </c>
      <c r="O42" s="3854">
        <f>-3875+0.21148</f>
        <v>-3874.7885200000001</v>
      </c>
      <c r="P42" s="4344">
        <f t="shared" si="4"/>
        <v>0</v>
      </c>
      <c r="Q42" s="3326">
        <v>0</v>
      </c>
      <c r="R42" s="1262">
        <v>0</v>
      </c>
      <c r="S42" s="3477">
        <v>0</v>
      </c>
      <c r="T42" s="3340">
        <v>0</v>
      </c>
      <c r="U42" s="1262">
        <v>0</v>
      </c>
      <c r="V42" s="3338">
        <v>0</v>
      </c>
      <c r="W42" s="3339">
        <v>0</v>
      </c>
      <c r="X42" s="3353">
        <v>0</v>
      </c>
      <c r="Y42" s="3353">
        <v>0</v>
      </c>
      <c r="Z42" s="3339">
        <v>0</v>
      </c>
      <c r="AA42" s="1262">
        <v>0</v>
      </c>
      <c r="AB42" s="982" t="s">
        <v>3175</v>
      </c>
      <c r="AC42" s="979" t="s">
        <v>1329</v>
      </c>
      <c r="AD42" s="1590" t="s">
        <v>2607</v>
      </c>
      <c r="AE42" s="1590" t="s">
        <v>1283</v>
      </c>
      <c r="AF42" s="1590" t="s">
        <v>1283</v>
      </c>
      <c r="AG42" s="1589" t="s">
        <v>1447</v>
      </c>
      <c r="AH42" s="1536" t="s">
        <v>2929</v>
      </c>
    </row>
    <row r="43" spans="1:34" ht="26.25" outlineLevel="1" thickBot="1" x14ac:dyDescent="0.3">
      <c r="A43" s="169" t="s">
        <v>983</v>
      </c>
      <c r="B43" s="171" t="s">
        <v>1230</v>
      </c>
      <c r="C43" s="3450" t="s">
        <v>3172</v>
      </c>
      <c r="D43" s="3738" t="s">
        <v>80</v>
      </c>
      <c r="E43" s="3738" t="s">
        <v>80</v>
      </c>
      <c r="F43" s="1412" t="s">
        <v>919</v>
      </c>
      <c r="G43" s="50">
        <v>10599.735420000001</v>
      </c>
      <c r="H43" s="2796">
        <v>0</v>
      </c>
      <c r="I43" s="4300">
        <v>0</v>
      </c>
      <c r="J43" s="3408">
        <v>0</v>
      </c>
      <c r="K43" s="3355">
        <v>0</v>
      </c>
      <c r="L43" s="3355">
        <v>0</v>
      </c>
      <c r="M43" s="1267">
        <v>0</v>
      </c>
      <c r="N43" s="3372">
        <v>0</v>
      </c>
      <c r="O43" s="3538">
        <v>0</v>
      </c>
      <c r="P43" s="4334">
        <f t="shared" si="4"/>
        <v>0</v>
      </c>
      <c r="Q43" s="3086">
        <v>10599.735420000001</v>
      </c>
      <c r="R43" s="3056">
        <v>0</v>
      </c>
      <c r="S43" s="3612">
        <v>0</v>
      </c>
      <c r="T43" s="3350">
        <v>0</v>
      </c>
      <c r="U43" s="1267">
        <v>0</v>
      </c>
      <c r="V43" s="3349">
        <v>0</v>
      </c>
      <c r="W43" s="3679">
        <v>0</v>
      </c>
      <c r="X43" s="3365">
        <v>0</v>
      </c>
      <c r="Y43" s="3365">
        <v>0</v>
      </c>
      <c r="Z43" s="3679">
        <v>0</v>
      </c>
      <c r="AA43" s="3396">
        <v>0</v>
      </c>
      <c r="AB43" s="3395" t="s">
        <v>1209</v>
      </c>
      <c r="AC43" s="3450" t="s">
        <v>33</v>
      </c>
      <c r="AD43" s="349" t="s">
        <v>2833</v>
      </c>
      <c r="AE43" s="349" t="s">
        <v>1282</v>
      </c>
      <c r="AF43" s="349" t="s">
        <v>1282</v>
      </c>
      <c r="AG43" s="174" t="s">
        <v>1447</v>
      </c>
      <c r="AH43" s="3738" t="s">
        <v>2931</v>
      </c>
    </row>
    <row r="44" spans="1:34" ht="25.5" outlineLevel="1" x14ac:dyDescent="0.25">
      <c r="A44" s="3712" t="s">
        <v>1918</v>
      </c>
      <c r="B44" s="3715" t="s">
        <v>1230</v>
      </c>
      <c r="C44" s="3736" t="s">
        <v>3176</v>
      </c>
      <c r="D44" s="3713" t="s">
        <v>80</v>
      </c>
      <c r="E44" s="3751" t="s">
        <v>80</v>
      </c>
      <c r="F44" s="3742" t="s">
        <v>1891</v>
      </c>
      <c r="G44" s="3451">
        <v>16180</v>
      </c>
      <c r="H44" s="2799">
        <v>0</v>
      </c>
      <c r="I44" s="4148">
        <v>0</v>
      </c>
      <c r="J44" s="3732">
        <v>0</v>
      </c>
      <c r="K44" s="3721">
        <v>0</v>
      </c>
      <c r="L44" s="3721">
        <v>0</v>
      </c>
      <c r="M44" s="3737">
        <v>0</v>
      </c>
      <c r="N44" s="3464">
        <v>0</v>
      </c>
      <c r="O44" s="3763">
        <v>0</v>
      </c>
      <c r="P44" s="3759">
        <f t="shared" si="4"/>
        <v>0</v>
      </c>
      <c r="Q44" s="3288">
        <v>16180</v>
      </c>
      <c r="R44" s="3745">
        <v>0</v>
      </c>
      <c r="S44" s="3732">
        <v>0</v>
      </c>
      <c r="T44" s="3721">
        <v>0</v>
      </c>
      <c r="U44" s="3362">
        <v>0</v>
      </c>
      <c r="V44" s="3364">
        <v>0</v>
      </c>
      <c r="W44" s="3677">
        <v>0</v>
      </c>
      <c r="X44" s="3458">
        <v>0</v>
      </c>
      <c r="Y44" s="3458">
        <v>0</v>
      </c>
      <c r="Z44" s="3765">
        <v>0</v>
      </c>
      <c r="AA44" s="3737">
        <v>0</v>
      </c>
      <c r="AB44" s="3461" t="s">
        <v>1209</v>
      </c>
      <c r="AC44" s="3736" t="s">
        <v>28</v>
      </c>
      <c r="AD44" s="487" t="s">
        <v>2610</v>
      </c>
      <c r="AE44" s="3397" t="s">
        <v>1282</v>
      </c>
      <c r="AF44" s="3397" t="s">
        <v>1282</v>
      </c>
      <c r="AG44" s="3729" t="s">
        <v>1452</v>
      </c>
      <c r="AH44" s="3713" t="s">
        <v>2921</v>
      </c>
    </row>
    <row r="45" spans="1:34" ht="45" outlineLevel="1" x14ac:dyDescent="0.25">
      <c r="A45" s="3727" t="s">
        <v>1921</v>
      </c>
      <c r="B45" s="3752" t="s">
        <v>2811</v>
      </c>
      <c r="C45" s="3736" t="s">
        <v>3177</v>
      </c>
      <c r="D45" s="3751" t="s">
        <v>80</v>
      </c>
      <c r="E45" s="3751" t="s">
        <v>80</v>
      </c>
      <c r="F45" s="3743" t="s">
        <v>1894</v>
      </c>
      <c r="G45" s="3445">
        <v>37406</v>
      </c>
      <c r="H45" s="2799">
        <v>35595.609339999995</v>
      </c>
      <c r="I45" s="4148">
        <v>0</v>
      </c>
      <c r="J45" s="3731">
        <v>0.39066000000002532</v>
      </c>
      <c r="K45" s="3733">
        <v>0</v>
      </c>
      <c r="L45" s="3724">
        <v>0</v>
      </c>
      <c r="M45" s="3415">
        <v>900</v>
      </c>
      <c r="N45" s="3464">
        <v>900.39066000000003</v>
      </c>
      <c r="O45" s="3763">
        <v>0</v>
      </c>
      <c r="P45" s="3760">
        <f t="shared" si="4"/>
        <v>900.39066000000003</v>
      </c>
      <c r="Q45" s="3757">
        <v>910</v>
      </c>
      <c r="R45" s="3757">
        <v>0</v>
      </c>
      <c r="S45" s="3731">
        <v>0</v>
      </c>
      <c r="T45" s="3724">
        <v>0</v>
      </c>
      <c r="U45" s="3750">
        <v>0</v>
      </c>
      <c r="V45" s="3342">
        <v>0</v>
      </c>
      <c r="W45" s="3733">
        <v>0</v>
      </c>
      <c r="X45" s="3721">
        <v>0</v>
      </c>
      <c r="Y45" s="3721">
        <v>0</v>
      </c>
      <c r="Z45" s="3733">
        <v>0</v>
      </c>
      <c r="AA45" s="3750">
        <v>0</v>
      </c>
      <c r="AB45" s="57" t="s">
        <v>2868</v>
      </c>
      <c r="AC45" s="3747" t="s">
        <v>43</v>
      </c>
      <c r="AD45" s="488" t="s">
        <v>2834</v>
      </c>
      <c r="AE45" s="3462" t="s">
        <v>1283</v>
      </c>
      <c r="AF45" s="3462" t="s">
        <v>1283</v>
      </c>
      <c r="AG45" s="3753" t="s">
        <v>1447</v>
      </c>
      <c r="AH45" s="3751" t="s">
        <v>2931</v>
      </c>
    </row>
    <row r="46" spans="1:34" ht="30" outlineLevel="1" x14ac:dyDescent="0.25">
      <c r="A46" s="3727" t="s">
        <v>1922</v>
      </c>
      <c r="B46" s="3752" t="s">
        <v>2810</v>
      </c>
      <c r="C46" s="3736" t="s">
        <v>3177</v>
      </c>
      <c r="D46" s="3751" t="s">
        <v>80</v>
      </c>
      <c r="E46" s="3751" t="s">
        <v>80</v>
      </c>
      <c r="F46" s="3743" t="s">
        <v>1895</v>
      </c>
      <c r="G46" s="3445">
        <f>83000+5000+1544</f>
        <v>89544</v>
      </c>
      <c r="H46" s="2799">
        <v>18480.697840000001</v>
      </c>
      <c r="I46" s="4148">
        <v>0</v>
      </c>
      <c r="J46" s="3731">
        <v>13.302159999999276</v>
      </c>
      <c r="K46" s="3724">
        <v>0</v>
      </c>
      <c r="L46" s="3724">
        <v>0</v>
      </c>
      <c r="M46" s="3750">
        <v>20000</v>
      </c>
      <c r="N46" s="3464">
        <v>20013.302159999999</v>
      </c>
      <c r="O46" s="3763">
        <v>0</v>
      </c>
      <c r="P46" s="3760">
        <f t="shared" si="4"/>
        <v>20013.302159999999</v>
      </c>
      <c r="Q46" s="3757">
        <v>51050</v>
      </c>
      <c r="R46" s="3757">
        <v>0</v>
      </c>
      <c r="S46" s="3731">
        <v>0</v>
      </c>
      <c r="T46" s="3724">
        <v>0</v>
      </c>
      <c r="U46" s="3750">
        <v>0</v>
      </c>
      <c r="V46" s="3341">
        <v>0</v>
      </c>
      <c r="W46" s="3765">
        <v>0</v>
      </c>
      <c r="X46" s="3721">
        <v>0</v>
      </c>
      <c r="Y46" s="3721">
        <v>0</v>
      </c>
      <c r="Z46" s="3765">
        <v>0</v>
      </c>
      <c r="AA46" s="3737">
        <v>0</v>
      </c>
      <c r="AB46" s="3461" t="s">
        <v>1209</v>
      </c>
      <c r="AC46" s="3747" t="s">
        <v>43</v>
      </c>
      <c r="AD46" s="488" t="s">
        <v>2838</v>
      </c>
      <c r="AE46" s="3462" t="s">
        <v>1283</v>
      </c>
      <c r="AF46" s="3462" t="s">
        <v>1283</v>
      </c>
      <c r="AG46" s="3753" t="s">
        <v>1447</v>
      </c>
      <c r="AH46" s="3751" t="s">
        <v>2921</v>
      </c>
    </row>
    <row r="47" spans="1:34" ht="38.25" outlineLevel="1" x14ac:dyDescent="0.25">
      <c r="A47" s="1534" t="s">
        <v>1923</v>
      </c>
      <c r="B47" s="1248" t="s">
        <v>2807</v>
      </c>
      <c r="C47" s="1523" t="s">
        <v>3177</v>
      </c>
      <c r="D47" s="1536" t="s">
        <v>80</v>
      </c>
      <c r="E47" s="1536" t="s">
        <v>80</v>
      </c>
      <c r="F47" s="1754" t="s">
        <v>1896</v>
      </c>
      <c r="G47" s="984">
        <f>6897-1545-0.09853</f>
        <v>5351.9014699999998</v>
      </c>
      <c r="H47" s="3282">
        <v>5351.9014699999998</v>
      </c>
      <c r="I47" s="4298">
        <v>0</v>
      </c>
      <c r="J47" s="3477">
        <v>0</v>
      </c>
      <c r="K47" s="3340">
        <v>0</v>
      </c>
      <c r="L47" s="3340">
        <v>0</v>
      </c>
      <c r="M47" s="3855">
        <v>0</v>
      </c>
      <c r="N47" s="3478">
        <v>1545.09853</v>
      </c>
      <c r="O47" s="3542">
        <f>-1545-0.09853</f>
        <v>-1545.09853</v>
      </c>
      <c r="P47" s="3489">
        <f t="shared" si="4"/>
        <v>0</v>
      </c>
      <c r="Q47" s="3326">
        <v>0</v>
      </c>
      <c r="R47" s="3326">
        <v>0</v>
      </c>
      <c r="S47" s="3477">
        <v>0</v>
      </c>
      <c r="T47" s="3340">
        <v>0</v>
      </c>
      <c r="U47" s="1262">
        <v>0</v>
      </c>
      <c r="V47" s="3351">
        <v>0</v>
      </c>
      <c r="W47" s="3352">
        <v>0</v>
      </c>
      <c r="X47" s="3353">
        <v>0</v>
      </c>
      <c r="Y47" s="3353">
        <v>0</v>
      </c>
      <c r="Z47" s="3352">
        <v>0</v>
      </c>
      <c r="AA47" s="1810">
        <v>0</v>
      </c>
      <c r="AB47" s="982" t="s">
        <v>3178</v>
      </c>
      <c r="AC47" s="979" t="s">
        <v>1329</v>
      </c>
      <c r="AD47" s="1638" t="s">
        <v>2070</v>
      </c>
      <c r="AE47" s="1590" t="s">
        <v>1283</v>
      </c>
      <c r="AF47" s="1590" t="s">
        <v>1283</v>
      </c>
      <c r="AG47" s="1589" t="s">
        <v>1447</v>
      </c>
      <c r="AH47" s="1536" t="s">
        <v>2932</v>
      </c>
    </row>
    <row r="48" spans="1:34" ht="25.5" outlineLevel="1" x14ac:dyDescent="0.25">
      <c r="A48" s="173" t="s">
        <v>1924</v>
      </c>
      <c r="B48" s="144" t="s">
        <v>1230</v>
      </c>
      <c r="C48" s="83" t="s">
        <v>3177</v>
      </c>
      <c r="D48" s="76" t="s">
        <v>80</v>
      </c>
      <c r="E48" s="76" t="s">
        <v>80</v>
      </c>
      <c r="F48" s="221" t="s">
        <v>1897</v>
      </c>
      <c r="G48" s="655">
        <v>0</v>
      </c>
      <c r="H48" s="3236">
        <v>0</v>
      </c>
      <c r="I48" s="4301">
        <v>0</v>
      </c>
      <c r="J48" s="3434">
        <v>0</v>
      </c>
      <c r="K48" s="1470">
        <v>0</v>
      </c>
      <c r="L48" s="1470">
        <v>0</v>
      </c>
      <c r="M48" s="378">
        <v>0</v>
      </c>
      <c r="N48" s="3405">
        <v>0</v>
      </c>
      <c r="O48" s="3544">
        <v>0</v>
      </c>
      <c r="P48" s="3488">
        <f t="shared" si="4"/>
        <v>0</v>
      </c>
      <c r="Q48" s="377">
        <v>0</v>
      </c>
      <c r="R48" s="377">
        <v>0</v>
      </c>
      <c r="S48" s="4366">
        <v>0</v>
      </c>
      <c r="T48" s="1470">
        <v>0</v>
      </c>
      <c r="U48" s="378">
        <v>0</v>
      </c>
      <c r="V48" s="3856">
        <v>0</v>
      </c>
      <c r="W48" s="3693">
        <v>0</v>
      </c>
      <c r="X48" s="1470">
        <v>0</v>
      </c>
      <c r="Y48" s="1470">
        <v>0</v>
      </c>
      <c r="Z48" s="1470">
        <v>0</v>
      </c>
      <c r="AA48" s="378">
        <v>0</v>
      </c>
      <c r="AB48" s="150" t="s">
        <v>3179</v>
      </c>
      <c r="AC48" s="75" t="s">
        <v>1300</v>
      </c>
      <c r="AD48" s="713" t="s">
        <v>2070</v>
      </c>
      <c r="AE48" s="379" t="s">
        <v>1283</v>
      </c>
      <c r="AF48" s="379" t="s">
        <v>1283</v>
      </c>
      <c r="AG48" s="74" t="s">
        <v>1446</v>
      </c>
      <c r="AH48" s="76" t="s">
        <v>2929</v>
      </c>
    </row>
    <row r="49" spans="1:34" ht="25.5" outlineLevel="1" x14ac:dyDescent="0.25">
      <c r="A49" s="3727" t="s">
        <v>1925</v>
      </c>
      <c r="B49" s="3752" t="s">
        <v>2853</v>
      </c>
      <c r="C49" s="3736" t="s">
        <v>3177</v>
      </c>
      <c r="D49" s="3751" t="s">
        <v>80</v>
      </c>
      <c r="E49" s="3751" t="s">
        <v>80</v>
      </c>
      <c r="F49" s="3743" t="s">
        <v>2370</v>
      </c>
      <c r="G49" s="3445">
        <v>21000</v>
      </c>
      <c r="H49" s="2799">
        <v>5072.9997599999997</v>
      </c>
      <c r="I49" s="4148">
        <v>0</v>
      </c>
      <c r="J49" s="3731">
        <v>2000</v>
      </c>
      <c r="K49" s="3724">
        <f>13927+0.00024</f>
        <v>13927.000239999999</v>
      </c>
      <c r="L49" s="3724">
        <v>0</v>
      </c>
      <c r="M49" s="3750">
        <v>0</v>
      </c>
      <c r="N49" s="3464">
        <v>15927.000239999999</v>
      </c>
      <c r="O49" s="3763">
        <v>0</v>
      </c>
      <c r="P49" s="3760">
        <f t="shared" si="4"/>
        <v>15927.000239999999</v>
      </c>
      <c r="Q49" s="3757">
        <v>0</v>
      </c>
      <c r="R49" s="3757">
        <v>0</v>
      </c>
      <c r="S49" s="3731">
        <v>0</v>
      </c>
      <c r="T49" s="3724">
        <v>0</v>
      </c>
      <c r="U49" s="3750">
        <v>0</v>
      </c>
      <c r="V49" s="3342">
        <v>0</v>
      </c>
      <c r="W49" s="3733">
        <v>0</v>
      </c>
      <c r="X49" s="3721">
        <v>0</v>
      </c>
      <c r="Y49" s="3721">
        <v>0</v>
      </c>
      <c r="Z49" s="3765">
        <v>0</v>
      </c>
      <c r="AA49" s="3737">
        <v>0</v>
      </c>
      <c r="AB49" s="3461" t="s">
        <v>1209</v>
      </c>
      <c r="AC49" s="3747" t="s">
        <v>43</v>
      </c>
      <c r="AD49" s="488" t="s">
        <v>2796</v>
      </c>
      <c r="AE49" s="3462" t="s">
        <v>1283</v>
      </c>
      <c r="AF49" s="3462" t="s">
        <v>1283</v>
      </c>
      <c r="AG49" s="3753" t="s">
        <v>1447</v>
      </c>
      <c r="AH49" s="3751" t="s">
        <v>2933</v>
      </c>
    </row>
    <row r="50" spans="1:34" ht="25.5" outlineLevel="1" x14ac:dyDescent="0.25">
      <c r="A50" s="173" t="s">
        <v>1926</v>
      </c>
      <c r="B50" s="144" t="s">
        <v>1230</v>
      </c>
      <c r="C50" s="83" t="s">
        <v>3177</v>
      </c>
      <c r="D50" s="76" t="s">
        <v>80</v>
      </c>
      <c r="E50" s="76" t="s">
        <v>80</v>
      </c>
      <c r="F50" s="221" t="s">
        <v>1898</v>
      </c>
      <c r="G50" s="655">
        <v>0</v>
      </c>
      <c r="H50" s="3236">
        <v>0</v>
      </c>
      <c r="I50" s="4301">
        <v>0</v>
      </c>
      <c r="J50" s="3434">
        <v>0</v>
      </c>
      <c r="K50" s="1470">
        <v>0</v>
      </c>
      <c r="L50" s="1470">
        <v>0</v>
      </c>
      <c r="M50" s="3858">
        <v>0</v>
      </c>
      <c r="N50" s="3405">
        <v>0</v>
      </c>
      <c r="O50" s="3544">
        <v>0</v>
      </c>
      <c r="P50" s="3488">
        <f t="shared" si="4"/>
        <v>0</v>
      </c>
      <c r="Q50" s="3859">
        <v>0</v>
      </c>
      <c r="R50" s="3859">
        <v>0</v>
      </c>
      <c r="S50" s="3434">
        <v>0</v>
      </c>
      <c r="T50" s="1470">
        <v>0</v>
      </c>
      <c r="U50" s="378">
        <v>0</v>
      </c>
      <c r="V50" s="3336">
        <v>0</v>
      </c>
      <c r="W50" s="3337">
        <v>0</v>
      </c>
      <c r="X50" s="3345">
        <v>0</v>
      </c>
      <c r="Y50" s="3345">
        <v>0</v>
      </c>
      <c r="Z50" s="3337">
        <v>0</v>
      </c>
      <c r="AA50" s="378">
        <v>0</v>
      </c>
      <c r="AB50" s="143" t="s">
        <v>3180</v>
      </c>
      <c r="AC50" s="75" t="s">
        <v>1300</v>
      </c>
      <c r="AD50" s="713" t="s">
        <v>2070</v>
      </c>
      <c r="AE50" s="379" t="s">
        <v>1283</v>
      </c>
      <c r="AF50" s="379" t="s">
        <v>1283</v>
      </c>
      <c r="AG50" s="74" t="s">
        <v>1446</v>
      </c>
      <c r="AH50" s="76" t="s">
        <v>2935</v>
      </c>
    </row>
    <row r="51" spans="1:34" ht="25.5" outlineLevel="1" x14ac:dyDescent="0.25">
      <c r="A51" s="3727" t="s">
        <v>1927</v>
      </c>
      <c r="B51" s="3752" t="s">
        <v>1230</v>
      </c>
      <c r="C51" s="3736" t="s">
        <v>3177</v>
      </c>
      <c r="D51" s="3751" t="s">
        <v>80</v>
      </c>
      <c r="E51" s="3751" t="s">
        <v>80</v>
      </c>
      <c r="F51" s="3743" t="s">
        <v>1899</v>
      </c>
      <c r="G51" s="3445">
        <v>12100</v>
      </c>
      <c r="H51" s="2611">
        <v>0</v>
      </c>
      <c r="I51" s="4146">
        <v>0</v>
      </c>
      <c r="J51" s="3731">
        <v>0</v>
      </c>
      <c r="K51" s="3724">
        <v>0</v>
      </c>
      <c r="L51" s="3724">
        <v>0</v>
      </c>
      <c r="M51" s="3750">
        <v>12100</v>
      </c>
      <c r="N51" s="3464">
        <v>12100</v>
      </c>
      <c r="O51" s="3763">
        <v>0</v>
      </c>
      <c r="P51" s="3760">
        <f t="shared" si="4"/>
        <v>12100</v>
      </c>
      <c r="Q51" s="3757">
        <v>0</v>
      </c>
      <c r="R51" s="3757">
        <v>0</v>
      </c>
      <c r="S51" s="3731">
        <v>0</v>
      </c>
      <c r="T51" s="3724">
        <v>0</v>
      </c>
      <c r="U51" s="3750">
        <v>0</v>
      </c>
      <c r="V51" s="3341">
        <v>0</v>
      </c>
      <c r="W51" s="3765">
        <v>0</v>
      </c>
      <c r="X51" s="3721">
        <v>0</v>
      </c>
      <c r="Y51" s="3721">
        <v>0</v>
      </c>
      <c r="Z51" s="3765">
        <v>0</v>
      </c>
      <c r="AA51" s="3737">
        <v>0</v>
      </c>
      <c r="AB51" s="3461" t="s">
        <v>1209</v>
      </c>
      <c r="AC51" s="3747" t="s">
        <v>28</v>
      </c>
      <c r="AD51" s="488" t="s">
        <v>2833</v>
      </c>
      <c r="AE51" s="3462" t="s">
        <v>1283</v>
      </c>
      <c r="AF51" s="3462" t="s">
        <v>1282</v>
      </c>
      <c r="AG51" s="3753" t="s">
        <v>1447</v>
      </c>
      <c r="AH51" s="3751" t="s">
        <v>2930</v>
      </c>
    </row>
    <row r="52" spans="1:34" ht="25.5" outlineLevel="1" x14ac:dyDescent="0.25">
      <c r="A52" s="3727" t="s">
        <v>1928</v>
      </c>
      <c r="B52" s="3752" t="s">
        <v>1230</v>
      </c>
      <c r="C52" s="3736" t="s">
        <v>2578</v>
      </c>
      <c r="D52" s="3751" t="s">
        <v>80</v>
      </c>
      <c r="E52" s="3751" t="s">
        <v>80</v>
      </c>
      <c r="F52" s="3743" t="s">
        <v>1900</v>
      </c>
      <c r="G52" s="3445">
        <v>6338.78</v>
      </c>
      <c r="H52" s="2799">
        <v>0</v>
      </c>
      <c r="I52" s="4148">
        <v>0</v>
      </c>
      <c r="J52" s="3731">
        <v>0</v>
      </c>
      <c r="K52" s="3724">
        <v>0</v>
      </c>
      <c r="L52" s="3724">
        <v>0</v>
      </c>
      <c r="M52" s="3410">
        <v>6338.78</v>
      </c>
      <c r="N52" s="3464">
        <v>6338.78</v>
      </c>
      <c r="O52" s="3763">
        <v>0</v>
      </c>
      <c r="P52" s="3760">
        <f t="shared" si="4"/>
        <v>6338.78</v>
      </c>
      <c r="Q52" s="3412">
        <v>0</v>
      </c>
      <c r="R52" s="3412">
        <v>0</v>
      </c>
      <c r="S52" s="3731">
        <v>0</v>
      </c>
      <c r="T52" s="3724">
        <v>0</v>
      </c>
      <c r="U52" s="3750">
        <v>0</v>
      </c>
      <c r="V52" s="3342">
        <v>0</v>
      </c>
      <c r="W52" s="3733">
        <v>0</v>
      </c>
      <c r="X52" s="3721">
        <v>0</v>
      </c>
      <c r="Y52" s="3721">
        <v>0</v>
      </c>
      <c r="Z52" s="3733">
        <v>0</v>
      </c>
      <c r="AA52" s="3750">
        <v>0</v>
      </c>
      <c r="AB52" s="57" t="s">
        <v>1209</v>
      </c>
      <c r="AC52" s="3747" t="s">
        <v>33</v>
      </c>
      <c r="AD52" s="488" t="s">
        <v>2796</v>
      </c>
      <c r="AE52" s="3462" t="s">
        <v>1282</v>
      </c>
      <c r="AF52" s="3462" t="s">
        <v>1282</v>
      </c>
      <c r="AG52" s="3753" t="s">
        <v>1447</v>
      </c>
      <c r="AH52" s="3751" t="s">
        <v>3001</v>
      </c>
    </row>
    <row r="53" spans="1:34" ht="26.25" outlineLevel="1" thickBot="1" x14ac:dyDescent="0.3">
      <c r="A53" s="169" t="s">
        <v>1929</v>
      </c>
      <c r="B53" s="171" t="s">
        <v>3126</v>
      </c>
      <c r="C53" s="3450" t="s">
        <v>2578</v>
      </c>
      <c r="D53" s="3738" t="s">
        <v>80</v>
      </c>
      <c r="E53" s="3738" t="s">
        <v>80</v>
      </c>
      <c r="F53" s="1412" t="s">
        <v>1901</v>
      </c>
      <c r="G53" s="825">
        <v>55161</v>
      </c>
      <c r="H53" s="2796">
        <v>5161</v>
      </c>
      <c r="I53" s="4147">
        <v>0</v>
      </c>
      <c r="J53" s="3408">
        <v>2831</v>
      </c>
      <c r="K53" s="3355">
        <v>19426</v>
      </c>
      <c r="L53" s="3355">
        <v>6643</v>
      </c>
      <c r="M53" s="1267">
        <v>21100</v>
      </c>
      <c r="N53" s="3372">
        <v>50000</v>
      </c>
      <c r="O53" s="3540"/>
      <c r="P53" s="3484">
        <f t="shared" si="4"/>
        <v>50000</v>
      </c>
      <c r="Q53" s="3086">
        <v>0</v>
      </c>
      <c r="R53" s="3086">
        <v>0</v>
      </c>
      <c r="S53" s="3408">
        <v>0</v>
      </c>
      <c r="T53" s="3355">
        <v>0</v>
      </c>
      <c r="U53" s="1267">
        <v>0</v>
      </c>
      <c r="V53" s="3354">
        <v>55161</v>
      </c>
      <c r="W53" s="3594">
        <v>5161</v>
      </c>
      <c r="X53" s="3355">
        <v>0</v>
      </c>
      <c r="Y53" s="3355">
        <v>50000</v>
      </c>
      <c r="Z53" s="3594">
        <v>0</v>
      </c>
      <c r="AA53" s="1267">
        <v>0</v>
      </c>
      <c r="AB53" s="3450" t="s">
        <v>1209</v>
      </c>
      <c r="AC53" s="3450" t="s">
        <v>43</v>
      </c>
      <c r="AD53" s="1235" t="s">
        <v>2435</v>
      </c>
      <c r="AE53" s="349" t="s">
        <v>1283</v>
      </c>
      <c r="AF53" s="349" t="s">
        <v>1283</v>
      </c>
      <c r="AG53" s="174" t="s">
        <v>1447</v>
      </c>
      <c r="AH53" s="3738" t="s">
        <v>2944</v>
      </c>
    </row>
    <row r="54" spans="1:34" ht="25.5" outlineLevel="1" x14ac:dyDescent="0.25">
      <c r="A54" s="2938" t="s">
        <v>1970</v>
      </c>
      <c r="B54" s="3028" t="s">
        <v>2661</v>
      </c>
      <c r="C54" s="1273" t="s">
        <v>2506</v>
      </c>
      <c r="D54" s="3012" t="s">
        <v>80</v>
      </c>
      <c r="E54" s="3012" t="s">
        <v>80</v>
      </c>
      <c r="F54" s="3099" t="s">
        <v>1971</v>
      </c>
      <c r="G54" s="2736">
        <v>52400</v>
      </c>
      <c r="H54" s="3256">
        <v>913.55</v>
      </c>
      <c r="I54" s="4297">
        <v>0</v>
      </c>
      <c r="J54" s="3860">
        <v>0</v>
      </c>
      <c r="K54" s="3861">
        <v>0</v>
      </c>
      <c r="L54" s="3861">
        <v>0</v>
      </c>
      <c r="M54" s="3862">
        <v>0</v>
      </c>
      <c r="N54" s="3029">
        <v>1486.45</v>
      </c>
      <c r="O54" s="3837">
        <v>-1486.45</v>
      </c>
      <c r="P54" s="3837">
        <f t="shared" si="4"/>
        <v>0</v>
      </c>
      <c r="Q54" s="3333">
        <v>1486.45</v>
      </c>
      <c r="R54" s="3333">
        <v>50000</v>
      </c>
      <c r="S54" s="3860">
        <v>0</v>
      </c>
      <c r="T54" s="3861">
        <v>0</v>
      </c>
      <c r="U54" s="3029">
        <v>0</v>
      </c>
      <c r="V54" s="3863">
        <v>0</v>
      </c>
      <c r="W54" s="3861">
        <v>0</v>
      </c>
      <c r="X54" s="3861">
        <v>0</v>
      </c>
      <c r="Y54" s="3861">
        <v>0</v>
      </c>
      <c r="Z54" s="3842">
        <v>0</v>
      </c>
      <c r="AA54" s="3029">
        <v>0</v>
      </c>
      <c r="AB54" s="1605" t="s">
        <v>3181</v>
      </c>
      <c r="AC54" s="1273" t="s">
        <v>33</v>
      </c>
      <c r="AD54" s="3864" t="s">
        <v>3182</v>
      </c>
      <c r="AE54" s="2964" t="s">
        <v>1282</v>
      </c>
      <c r="AF54" s="2964" t="s">
        <v>1282</v>
      </c>
      <c r="AG54" s="2965" t="s">
        <v>1447</v>
      </c>
      <c r="AH54" s="3012" t="s">
        <v>2929</v>
      </c>
    </row>
    <row r="55" spans="1:34" ht="25.5" outlineLevel="1" x14ac:dyDescent="0.25">
      <c r="A55" s="173" t="s">
        <v>1972</v>
      </c>
      <c r="B55" s="144" t="s">
        <v>2660</v>
      </c>
      <c r="C55" s="75" t="s">
        <v>2506</v>
      </c>
      <c r="D55" s="76" t="s">
        <v>80</v>
      </c>
      <c r="E55" s="76" t="s">
        <v>80</v>
      </c>
      <c r="F55" s="221" t="s">
        <v>1973</v>
      </c>
      <c r="G55" s="655">
        <f>26732.39747+874.38353-0.00012</f>
        <v>27606.780879999998</v>
      </c>
      <c r="H55" s="3236">
        <v>27606.780879999998</v>
      </c>
      <c r="I55" s="4301">
        <v>0</v>
      </c>
      <c r="J55" s="3434">
        <v>0</v>
      </c>
      <c r="K55" s="1470">
        <v>0</v>
      </c>
      <c r="L55" s="1470">
        <v>0</v>
      </c>
      <c r="M55" s="3865">
        <v>0</v>
      </c>
      <c r="N55" s="3405">
        <v>1.2E-4</v>
      </c>
      <c r="O55" s="3544">
        <v>-1.2E-4</v>
      </c>
      <c r="P55" s="3488">
        <f t="shared" si="4"/>
        <v>0</v>
      </c>
      <c r="Q55" s="3476">
        <v>0</v>
      </c>
      <c r="R55" s="377">
        <v>0</v>
      </c>
      <c r="S55" s="3434">
        <v>0</v>
      </c>
      <c r="T55" s="1470">
        <v>0</v>
      </c>
      <c r="U55" s="378">
        <v>0</v>
      </c>
      <c r="V55" s="3343">
        <v>0</v>
      </c>
      <c r="W55" s="3344">
        <v>0</v>
      </c>
      <c r="X55" s="3345">
        <v>0</v>
      </c>
      <c r="Y55" s="3345">
        <v>0</v>
      </c>
      <c r="Z55" s="3344">
        <v>0</v>
      </c>
      <c r="AA55" s="1763">
        <v>0</v>
      </c>
      <c r="AB55" s="150" t="s">
        <v>1209</v>
      </c>
      <c r="AC55" s="83" t="s">
        <v>1329</v>
      </c>
      <c r="AD55" s="713" t="s">
        <v>2607</v>
      </c>
      <c r="AE55" s="379" t="s">
        <v>1283</v>
      </c>
      <c r="AF55" s="1815" t="s">
        <v>1283</v>
      </c>
      <c r="AG55" s="74" t="s">
        <v>1447</v>
      </c>
      <c r="AH55" s="76" t="s">
        <v>2929</v>
      </c>
    </row>
    <row r="56" spans="1:34" ht="25.5" outlineLevel="1" x14ac:dyDescent="0.25">
      <c r="A56" s="3727" t="s">
        <v>2004</v>
      </c>
      <c r="B56" s="3752" t="s">
        <v>2947</v>
      </c>
      <c r="C56" s="3747" t="s">
        <v>2506</v>
      </c>
      <c r="D56" s="3751" t="s">
        <v>80</v>
      </c>
      <c r="E56" s="3751" t="s">
        <v>80</v>
      </c>
      <c r="F56" s="3743" t="s">
        <v>2614</v>
      </c>
      <c r="G56" s="3445">
        <v>9043</v>
      </c>
      <c r="H56" s="2799">
        <v>6542.3272200000001</v>
      </c>
      <c r="I56" s="4148">
        <v>0</v>
      </c>
      <c r="J56" s="3731">
        <v>0</v>
      </c>
      <c r="K56" s="3733">
        <v>2500.6727799999999</v>
      </c>
      <c r="L56" s="3724">
        <v>0</v>
      </c>
      <c r="M56" s="3415">
        <v>0</v>
      </c>
      <c r="N56" s="3464">
        <v>2500.6727799999999</v>
      </c>
      <c r="O56" s="3763">
        <v>0</v>
      </c>
      <c r="P56" s="3760">
        <f t="shared" si="4"/>
        <v>2500.6727799999999</v>
      </c>
      <c r="Q56" s="3367">
        <v>0</v>
      </c>
      <c r="R56" s="3757">
        <v>0</v>
      </c>
      <c r="S56" s="3731">
        <v>0</v>
      </c>
      <c r="T56" s="3724">
        <v>0</v>
      </c>
      <c r="U56" s="3750">
        <v>0</v>
      </c>
      <c r="V56" s="3341">
        <v>0</v>
      </c>
      <c r="W56" s="3765">
        <v>0</v>
      </c>
      <c r="X56" s="3721">
        <v>0</v>
      </c>
      <c r="Y56" s="3721">
        <v>0</v>
      </c>
      <c r="Z56" s="3765">
        <v>0</v>
      </c>
      <c r="AA56" s="3737">
        <v>0</v>
      </c>
      <c r="AB56" s="3461" t="s">
        <v>2869</v>
      </c>
      <c r="AC56" s="3747" t="s">
        <v>43</v>
      </c>
      <c r="AD56" s="488" t="s">
        <v>1565</v>
      </c>
      <c r="AE56" s="3462" t="s">
        <v>1283</v>
      </c>
      <c r="AF56" s="3462" t="s">
        <v>1283</v>
      </c>
      <c r="AG56" s="3753" t="s">
        <v>1447</v>
      </c>
      <c r="AH56" s="3751" t="s">
        <v>2922</v>
      </c>
    </row>
    <row r="57" spans="1:34" ht="25.5" outlineLevel="1" x14ac:dyDescent="0.25">
      <c r="A57" s="2437" t="s">
        <v>2008</v>
      </c>
      <c r="B57" s="2438" t="s">
        <v>2532</v>
      </c>
      <c r="C57" s="3747" t="s">
        <v>2506</v>
      </c>
      <c r="D57" s="3751" t="s">
        <v>80</v>
      </c>
      <c r="E57" s="3751" t="s">
        <v>80</v>
      </c>
      <c r="F57" s="3743" t="s">
        <v>2009</v>
      </c>
      <c r="G57" s="3445">
        <f>4631.13222+130</f>
        <v>4761.1322200000004</v>
      </c>
      <c r="H57" s="2799">
        <v>4631.1322200000004</v>
      </c>
      <c r="I57" s="4148">
        <v>0</v>
      </c>
      <c r="J57" s="3731">
        <v>0</v>
      </c>
      <c r="K57" s="3724">
        <v>70</v>
      </c>
      <c r="L57" s="3724">
        <v>0</v>
      </c>
      <c r="M57" s="3750">
        <v>60</v>
      </c>
      <c r="N57" s="3464">
        <v>130</v>
      </c>
      <c r="O57" s="3763">
        <v>0</v>
      </c>
      <c r="P57" s="3760">
        <f t="shared" si="4"/>
        <v>130</v>
      </c>
      <c r="Q57" s="3367">
        <v>0</v>
      </c>
      <c r="R57" s="3757">
        <v>0</v>
      </c>
      <c r="S57" s="3731">
        <v>0</v>
      </c>
      <c r="T57" s="3724">
        <v>0</v>
      </c>
      <c r="U57" s="3750">
        <v>0</v>
      </c>
      <c r="V57" s="3342">
        <v>0</v>
      </c>
      <c r="W57" s="3733">
        <v>0</v>
      </c>
      <c r="X57" s="3721">
        <v>0</v>
      </c>
      <c r="Y57" s="3721">
        <v>0</v>
      </c>
      <c r="Z57" s="3724">
        <v>0</v>
      </c>
      <c r="AA57" s="3750">
        <v>0</v>
      </c>
      <c r="AB57" s="57" t="s">
        <v>2953</v>
      </c>
      <c r="AC57" s="3747" t="s">
        <v>43</v>
      </c>
      <c r="AD57" s="488" t="s">
        <v>2797</v>
      </c>
      <c r="AE57" s="3462" t="s">
        <v>1283</v>
      </c>
      <c r="AF57" s="3462" t="s">
        <v>1283</v>
      </c>
      <c r="AG57" s="3753" t="s">
        <v>1447</v>
      </c>
      <c r="AH57" s="3751" t="s">
        <v>2936</v>
      </c>
    </row>
    <row r="58" spans="1:34" ht="25.5" outlineLevel="1" x14ac:dyDescent="0.25">
      <c r="A58" s="1534" t="s">
        <v>2040</v>
      </c>
      <c r="B58" s="1248" t="s">
        <v>2854</v>
      </c>
      <c r="C58" s="979" t="s">
        <v>2506</v>
      </c>
      <c r="D58" s="1536" t="s">
        <v>80</v>
      </c>
      <c r="E58" s="1536" t="s">
        <v>80</v>
      </c>
      <c r="F58" s="2397" t="s">
        <v>2041</v>
      </c>
      <c r="G58" s="984">
        <f>3681.58835-193.95819</f>
        <v>3487.6301600000002</v>
      </c>
      <c r="H58" s="3282">
        <v>3487.6301600000002</v>
      </c>
      <c r="I58" s="4298">
        <v>0</v>
      </c>
      <c r="J58" s="3477">
        <v>0</v>
      </c>
      <c r="K58" s="3340">
        <v>0</v>
      </c>
      <c r="L58" s="3340">
        <v>0</v>
      </c>
      <c r="M58" s="1262">
        <v>0</v>
      </c>
      <c r="N58" s="3478">
        <v>193.95819</v>
      </c>
      <c r="O58" s="3542">
        <v>-193.95819</v>
      </c>
      <c r="P58" s="3489">
        <f t="shared" si="4"/>
        <v>0</v>
      </c>
      <c r="Q58" s="3479">
        <v>0</v>
      </c>
      <c r="R58" s="3326">
        <v>0</v>
      </c>
      <c r="S58" s="3477">
        <v>0</v>
      </c>
      <c r="T58" s="3340">
        <v>0</v>
      </c>
      <c r="U58" s="1262">
        <v>0</v>
      </c>
      <c r="V58" s="3351">
        <v>0</v>
      </c>
      <c r="W58" s="3352">
        <v>0</v>
      </c>
      <c r="X58" s="3353">
        <v>0</v>
      </c>
      <c r="Y58" s="3353">
        <v>0</v>
      </c>
      <c r="Z58" s="3352">
        <v>0</v>
      </c>
      <c r="AA58" s="1810">
        <v>0</v>
      </c>
      <c r="AB58" s="570" t="s">
        <v>3183</v>
      </c>
      <c r="AC58" s="979" t="s">
        <v>1329</v>
      </c>
      <c r="AD58" s="1638" t="s">
        <v>2607</v>
      </c>
      <c r="AE58" s="1590" t="s">
        <v>1283</v>
      </c>
      <c r="AF58" s="1590" t="s">
        <v>1283</v>
      </c>
      <c r="AG58" s="1589" t="s">
        <v>1447</v>
      </c>
      <c r="AH58" s="1536" t="s">
        <v>2926</v>
      </c>
    </row>
    <row r="59" spans="1:34" ht="25.5" outlineLevel="1" x14ac:dyDescent="0.25">
      <c r="A59" s="173" t="s">
        <v>2056</v>
      </c>
      <c r="B59" s="144" t="s">
        <v>2949</v>
      </c>
      <c r="C59" s="75" t="s">
        <v>2506</v>
      </c>
      <c r="D59" s="90" t="s">
        <v>80</v>
      </c>
      <c r="E59" s="76" t="s">
        <v>80</v>
      </c>
      <c r="F59" s="221" t="s">
        <v>2713</v>
      </c>
      <c r="G59" s="655">
        <f>17000+364.015-0.00062</f>
        <v>17364.014380000001</v>
      </c>
      <c r="H59" s="3236">
        <v>17364.014380000001</v>
      </c>
      <c r="I59" s="4301">
        <v>0</v>
      </c>
      <c r="J59" s="3434">
        <v>0</v>
      </c>
      <c r="K59" s="1470">
        <v>0</v>
      </c>
      <c r="L59" s="1470">
        <v>0</v>
      </c>
      <c r="M59" s="378">
        <v>0</v>
      </c>
      <c r="N59" s="3405">
        <v>6.2E-4</v>
      </c>
      <c r="O59" s="3544">
        <v>-6.2E-4</v>
      </c>
      <c r="P59" s="3488">
        <f t="shared" si="4"/>
        <v>0</v>
      </c>
      <c r="Q59" s="3476">
        <v>0</v>
      </c>
      <c r="R59" s="377">
        <v>0</v>
      </c>
      <c r="S59" s="3434">
        <v>0</v>
      </c>
      <c r="T59" s="1470">
        <v>0</v>
      </c>
      <c r="U59" s="378">
        <v>0</v>
      </c>
      <c r="V59" s="3343">
        <v>0</v>
      </c>
      <c r="W59" s="3344">
        <v>0</v>
      </c>
      <c r="X59" s="3345">
        <v>0</v>
      </c>
      <c r="Y59" s="3345">
        <v>0</v>
      </c>
      <c r="Z59" s="3344">
        <v>0</v>
      </c>
      <c r="AA59" s="1763">
        <v>0</v>
      </c>
      <c r="AB59" s="150" t="s">
        <v>1209</v>
      </c>
      <c r="AC59" s="75" t="s">
        <v>1329</v>
      </c>
      <c r="AD59" s="713" t="s">
        <v>2607</v>
      </c>
      <c r="AE59" s="379" t="s">
        <v>1283</v>
      </c>
      <c r="AF59" s="379" t="s">
        <v>1283</v>
      </c>
      <c r="AG59" s="74" t="s">
        <v>1447</v>
      </c>
      <c r="AH59" s="76" t="s">
        <v>2929</v>
      </c>
    </row>
    <row r="60" spans="1:34" ht="25.5" outlineLevel="1" x14ac:dyDescent="0.25">
      <c r="A60" s="173" t="s">
        <v>2063</v>
      </c>
      <c r="B60" s="144" t="s">
        <v>1230</v>
      </c>
      <c r="C60" s="75" t="s">
        <v>2506</v>
      </c>
      <c r="D60" s="76" t="s">
        <v>80</v>
      </c>
      <c r="E60" s="76" t="s">
        <v>80</v>
      </c>
      <c r="F60" s="221" t="s">
        <v>2064</v>
      </c>
      <c r="G60" s="655">
        <v>0</v>
      </c>
      <c r="H60" s="3236">
        <v>0</v>
      </c>
      <c r="I60" s="4301">
        <v>0</v>
      </c>
      <c r="J60" s="3434">
        <v>0</v>
      </c>
      <c r="K60" s="1470">
        <v>0</v>
      </c>
      <c r="L60" s="1470">
        <v>0</v>
      </c>
      <c r="M60" s="378">
        <v>0</v>
      </c>
      <c r="N60" s="3405">
        <v>6054.4479600000004</v>
      </c>
      <c r="O60" s="3544">
        <f>-6054-0.44796</f>
        <v>-6054.4479600000004</v>
      </c>
      <c r="P60" s="3488">
        <f t="shared" si="4"/>
        <v>0</v>
      </c>
      <c r="Q60" s="3866">
        <v>0</v>
      </c>
      <c r="R60" s="377">
        <v>0</v>
      </c>
      <c r="S60" s="3434">
        <v>0</v>
      </c>
      <c r="T60" s="1470">
        <v>0</v>
      </c>
      <c r="U60" s="378">
        <v>0</v>
      </c>
      <c r="V60" s="3336">
        <v>0</v>
      </c>
      <c r="W60" s="3337">
        <v>0</v>
      </c>
      <c r="X60" s="3345">
        <v>0</v>
      </c>
      <c r="Y60" s="3345">
        <v>0</v>
      </c>
      <c r="Z60" s="3344">
        <v>0</v>
      </c>
      <c r="AA60" s="1763">
        <v>0</v>
      </c>
      <c r="AB60" s="150" t="s">
        <v>3184</v>
      </c>
      <c r="AC60" s="75" t="s">
        <v>1300</v>
      </c>
      <c r="AD60" s="379" t="s">
        <v>2607</v>
      </c>
      <c r="AE60" s="379" t="s">
        <v>1283</v>
      </c>
      <c r="AF60" s="379" t="s">
        <v>1283</v>
      </c>
      <c r="AG60" s="74" t="s">
        <v>1447</v>
      </c>
      <c r="AH60" s="76" t="s">
        <v>2937</v>
      </c>
    </row>
    <row r="61" spans="1:34" ht="25.5" outlineLevel="1" x14ac:dyDescent="0.25">
      <c r="A61" s="3727" t="s">
        <v>2065</v>
      </c>
      <c r="B61" s="3752" t="s">
        <v>1230</v>
      </c>
      <c r="C61" s="3747" t="s">
        <v>2506</v>
      </c>
      <c r="D61" s="3751" t="s">
        <v>80</v>
      </c>
      <c r="E61" s="3751" t="s">
        <v>80</v>
      </c>
      <c r="F61" s="3743" t="s">
        <v>2066</v>
      </c>
      <c r="G61" s="3445">
        <v>3541.7646199999999</v>
      </c>
      <c r="H61" s="2799">
        <v>0</v>
      </c>
      <c r="I61" s="4148">
        <v>0</v>
      </c>
      <c r="J61" s="3731">
        <v>0</v>
      </c>
      <c r="K61" s="3724">
        <v>3541.7646199999999</v>
      </c>
      <c r="L61" s="3724">
        <v>0</v>
      </c>
      <c r="M61" s="3750">
        <v>0</v>
      </c>
      <c r="N61" s="3464">
        <v>3541.7646199999999</v>
      </c>
      <c r="O61" s="3763">
        <v>0</v>
      </c>
      <c r="P61" s="3760">
        <f t="shared" si="4"/>
        <v>3541.7646199999999</v>
      </c>
      <c r="Q61" s="3367">
        <v>0</v>
      </c>
      <c r="R61" s="3757">
        <v>0</v>
      </c>
      <c r="S61" s="3731">
        <v>0</v>
      </c>
      <c r="T61" s="3724">
        <v>0</v>
      </c>
      <c r="U61" s="3750">
        <v>0</v>
      </c>
      <c r="V61" s="3341">
        <v>0</v>
      </c>
      <c r="W61" s="3765">
        <v>0</v>
      </c>
      <c r="X61" s="3721">
        <v>0</v>
      </c>
      <c r="Y61" s="3721">
        <v>0</v>
      </c>
      <c r="Z61" s="3765">
        <v>0</v>
      </c>
      <c r="AA61" s="3737">
        <v>0</v>
      </c>
      <c r="AB61" s="3461" t="s">
        <v>2867</v>
      </c>
      <c r="AC61" s="3747" t="s">
        <v>28</v>
      </c>
      <c r="AD61" s="3462" t="s">
        <v>1565</v>
      </c>
      <c r="AE61" s="3462" t="s">
        <v>1282</v>
      </c>
      <c r="AF61" s="3462" t="s">
        <v>1282</v>
      </c>
      <c r="AG61" s="3753" t="s">
        <v>1448</v>
      </c>
      <c r="AH61" s="3751" t="s">
        <v>2937</v>
      </c>
    </row>
    <row r="62" spans="1:34" ht="39" outlineLevel="1" thickBot="1" x14ac:dyDescent="0.3">
      <c r="A62" s="3587" t="s">
        <v>2067</v>
      </c>
      <c r="B62" s="3588" t="s">
        <v>3127</v>
      </c>
      <c r="C62" s="3526" t="s">
        <v>2506</v>
      </c>
      <c r="D62" s="3589" t="s">
        <v>80</v>
      </c>
      <c r="E62" s="3589" t="s">
        <v>80</v>
      </c>
      <c r="F62" s="3867" t="s">
        <v>2068</v>
      </c>
      <c r="G62" s="3512">
        <v>3464</v>
      </c>
      <c r="H62" s="3513">
        <v>1779.40372</v>
      </c>
      <c r="I62" s="4302">
        <v>0</v>
      </c>
      <c r="J62" s="3595">
        <v>0</v>
      </c>
      <c r="K62" s="3603">
        <v>0</v>
      </c>
      <c r="L62" s="3603">
        <v>0</v>
      </c>
      <c r="M62" s="3511">
        <v>0</v>
      </c>
      <c r="N62" s="3511">
        <v>1684.59628</v>
      </c>
      <c r="O62" s="3525">
        <f>-1685+0.40372</f>
        <v>-1684.59628</v>
      </c>
      <c r="P62" s="3525">
        <f t="shared" si="4"/>
        <v>0</v>
      </c>
      <c r="Q62" s="3868">
        <v>0</v>
      </c>
      <c r="R62" s="3510">
        <v>0</v>
      </c>
      <c r="S62" s="3595">
        <v>0</v>
      </c>
      <c r="T62" s="3603">
        <v>1684.59628</v>
      </c>
      <c r="U62" s="3511">
        <v>0</v>
      </c>
      <c r="V62" s="3869">
        <v>0</v>
      </c>
      <c r="W62" s="3603">
        <v>0</v>
      </c>
      <c r="X62" s="3603">
        <v>0</v>
      </c>
      <c r="Y62" s="3603">
        <v>0</v>
      </c>
      <c r="Z62" s="3870">
        <v>0</v>
      </c>
      <c r="AA62" s="3511">
        <v>0</v>
      </c>
      <c r="AB62" s="3281" t="s">
        <v>3185</v>
      </c>
      <c r="AC62" s="3526" t="s">
        <v>1329</v>
      </c>
      <c r="AD62" s="3590" t="s">
        <v>2610</v>
      </c>
      <c r="AE62" s="3591" t="s">
        <v>1283</v>
      </c>
      <c r="AF62" s="3591" t="s">
        <v>1283</v>
      </c>
      <c r="AG62" s="3590" t="s">
        <v>1447</v>
      </c>
      <c r="AH62" s="3589" t="s">
        <v>2933</v>
      </c>
    </row>
    <row r="63" spans="1:34" ht="25.5" outlineLevel="1" x14ac:dyDescent="0.25">
      <c r="A63" s="2933" t="s">
        <v>2398</v>
      </c>
      <c r="B63" s="2907" t="s">
        <v>2948</v>
      </c>
      <c r="C63" s="1275" t="s">
        <v>2579</v>
      </c>
      <c r="D63" s="1611" t="s">
        <v>80</v>
      </c>
      <c r="E63" s="1611" t="s">
        <v>80</v>
      </c>
      <c r="F63" s="2956" t="s">
        <v>2399</v>
      </c>
      <c r="G63" s="1577">
        <v>200000</v>
      </c>
      <c r="H63" s="3256">
        <v>2023.3123900000001</v>
      </c>
      <c r="I63" s="4297">
        <v>0</v>
      </c>
      <c r="J63" s="3834">
        <v>1000</v>
      </c>
      <c r="K63" s="3841">
        <v>0</v>
      </c>
      <c r="L63" s="3841">
        <v>1000</v>
      </c>
      <c r="M63" s="3871">
        <v>8000</v>
      </c>
      <c r="N63" s="3029">
        <v>20000</v>
      </c>
      <c r="O63" s="3837">
        <v>-10000</v>
      </c>
      <c r="P63" s="3872">
        <f t="shared" si="4"/>
        <v>10000</v>
      </c>
      <c r="Q63" s="3873">
        <v>25000</v>
      </c>
      <c r="R63" s="3873">
        <v>162976.68760999999</v>
      </c>
      <c r="S63" s="3888">
        <v>0</v>
      </c>
      <c r="T63" s="3874">
        <v>0</v>
      </c>
      <c r="U63" s="3010">
        <v>0</v>
      </c>
      <c r="V63" s="3863">
        <v>0</v>
      </c>
      <c r="W63" s="3861">
        <v>0</v>
      </c>
      <c r="X63" s="3861">
        <v>0</v>
      </c>
      <c r="Y63" s="3861">
        <v>0</v>
      </c>
      <c r="Z63" s="3842">
        <v>0</v>
      </c>
      <c r="AA63" s="3029">
        <v>0</v>
      </c>
      <c r="AB63" s="939" t="s">
        <v>3186</v>
      </c>
      <c r="AC63" s="1275" t="s">
        <v>33</v>
      </c>
      <c r="AD63" s="3041" t="s">
        <v>2366</v>
      </c>
      <c r="AE63" s="2936" t="s">
        <v>1283</v>
      </c>
      <c r="AF63" s="2936" t="s">
        <v>1282</v>
      </c>
      <c r="AG63" s="2965" t="s">
        <v>1447</v>
      </c>
      <c r="AH63" s="3012" t="s">
        <v>2921</v>
      </c>
    </row>
    <row r="64" spans="1:34" ht="25.5" outlineLevel="1" x14ac:dyDescent="0.25">
      <c r="A64" s="2951" t="s">
        <v>2400</v>
      </c>
      <c r="B64" s="2939" t="s">
        <v>1230</v>
      </c>
      <c r="C64" s="1599" t="s">
        <v>2579</v>
      </c>
      <c r="D64" s="2940" t="s">
        <v>80</v>
      </c>
      <c r="E64" s="2940" t="s">
        <v>80</v>
      </c>
      <c r="F64" s="3875" t="s">
        <v>3187</v>
      </c>
      <c r="G64" s="1640">
        <v>20000</v>
      </c>
      <c r="H64" s="3876">
        <v>0</v>
      </c>
      <c r="I64" s="4303">
        <v>0</v>
      </c>
      <c r="J64" s="3877">
        <v>0</v>
      </c>
      <c r="K64" s="3878">
        <v>0</v>
      </c>
      <c r="L64" s="3878">
        <v>0</v>
      </c>
      <c r="M64" s="3879">
        <v>7500</v>
      </c>
      <c r="N64" s="3880">
        <v>0</v>
      </c>
      <c r="O64" s="3881">
        <v>7500</v>
      </c>
      <c r="P64" s="3882">
        <f t="shared" si="4"/>
        <v>7500</v>
      </c>
      <c r="Q64" s="3883">
        <v>7500</v>
      </c>
      <c r="R64" s="3883">
        <v>5000</v>
      </c>
      <c r="S64" s="3877">
        <v>0</v>
      </c>
      <c r="T64" s="3878">
        <v>0</v>
      </c>
      <c r="U64" s="3879">
        <v>0</v>
      </c>
      <c r="V64" s="3884">
        <v>0</v>
      </c>
      <c r="W64" s="3885">
        <v>0</v>
      </c>
      <c r="X64" s="3885">
        <v>0</v>
      </c>
      <c r="Y64" s="3885">
        <v>0</v>
      </c>
      <c r="Z64" s="3886">
        <v>0</v>
      </c>
      <c r="AA64" s="3880">
        <v>0</v>
      </c>
      <c r="AB64" s="1598" t="s">
        <v>3188</v>
      </c>
      <c r="AC64" s="1599" t="s">
        <v>33</v>
      </c>
      <c r="AD64" s="3060" t="s">
        <v>2797</v>
      </c>
      <c r="AE64" s="2942" t="s">
        <v>1282</v>
      </c>
      <c r="AF64" s="2942" t="s">
        <v>1282</v>
      </c>
      <c r="AG64" s="2941" t="s">
        <v>1447</v>
      </c>
      <c r="AH64" s="2940" t="s">
        <v>2921</v>
      </c>
    </row>
    <row r="65" spans="1:34" ht="25.5" outlineLevel="1" x14ac:dyDescent="0.25">
      <c r="A65" s="2933" t="s">
        <v>2401</v>
      </c>
      <c r="B65" s="2907" t="s">
        <v>3117</v>
      </c>
      <c r="C65" s="1275" t="s">
        <v>2579</v>
      </c>
      <c r="D65" s="1611" t="s">
        <v>80</v>
      </c>
      <c r="E65" s="1611" t="s">
        <v>80</v>
      </c>
      <c r="F65" s="2956" t="s">
        <v>2611</v>
      </c>
      <c r="G65" s="1577">
        <v>110000</v>
      </c>
      <c r="H65" s="3256">
        <v>1041.7688599999999</v>
      </c>
      <c r="I65" s="4297">
        <v>0</v>
      </c>
      <c r="J65" s="3860">
        <v>0</v>
      </c>
      <c r="K65" s="3861">
        <v>0</v>
      </c>
      <c r="L65" s="3861">
        <v>0</v>
      </c>
      <c r="M65" s="3029">
        <v>2958.2311399999999</v>
      </c>
      <c r="N65" s="3029">
        <v>17958.23114</v>
      </c>
      <c r="O65" s="3837">
        <v>-15000</v>
      </c>
      <c r="P65" s="3872">
        <f t="shared" si="4"/>
        <v>2958.2311399999999</v>
      </c>
      <c r="Q65" s="3887">
        <v>10000</v>
      </c>
      <c r="R65" s="3887">
        <v>96000</v>
      </c>
      <c r="S65" s="3888">
        <v>0</v>
      </c>
      <c r="T65" s="3874">
        <v>0</v>
      </c>
      <c r="U65" s="3010">
        <v>0</v>
      </c>
      <c r="V65" s="3863">
        <v>0</v>
      </c>
      <c r="W65" s="3861">
        <v>0</v>
      </c>
      <c r="X65" s="3861">
        <v>0</v>
      </c>
      <c r="Y65" s="3861">
        <v>0</v>
      </c>
      <c r="Z65" s="3842">
        <v>0</v>
      </c>
      <c r="AA65" s="3029">
        <v>0</v>
      </c>
      <c r="AB65" s="1605" t="s">
        <v>3189</v>
      </c>
      <c r="AC65" s="1275" t="s">
        <v>43</v>
      </c>
      <c r="AD65" s="3041" t="s">
        <v>2803</v>
      </c>
      <c r="AE65" s="2936" t="s">
        <v>1283</v>
      </c>
      <c r="AF65" s="2936" t="s">
        <v>1283</v>
      </c>
      <c r="AG65" s="1578" t="s">
        <v>1447</v>
      </c>
      <c r="AH65" s="1611" t="s">
        <v>2921</v>
      </c>
    </row>
    <row r="66" spans="1:34" ht="25.5" outlineLevel="1" x14ac:dyDescent="0.25">
      <c r="A66" s="2933" t="s">
        <v>2402</v>
      </c>
      <c r="B66" s="2907" t="s">
        <v>2748</v>
      </c>
      <c r="C66" s="1275" t="s">
        <v>2579</v>
      </c>
      <c r="D66" s="1611" t="s">
        <v>80</v>
      </c>
      <c r="E66" s="1611" t="s">
        <v>80</v>
      </c>
      <c r="F66" s="2956" t="s">
        <v>2403</v>
      </c>
      <c r="G66" s="1577">
        <v>54000</v>
      </c>
      <c r="H66" s="3256">
        <v>8748.482</v>
      </c>
      <c r="I66" s="4297">
        <v>0</v>
      </c>
      <c r="J66" s="3888">
        <v>2.2999999999228748E-2</v>
      </c>
      <c r="K66" s="3874">
        <v>0</v>
      </c>
      <c r="L66" s="3874">
        <v>0</v>
      </c>
      <c r="M66" s="3010">
        <v>2000</v>
      </c>
      <c r="N66" s="3029">
        <v>10000.022999999999</v>
      </c>
      <c r="O66" s="3837">
        <v>-8000</v>
      </c>
      <c r="P66" s="3872">
        <f t="shared" si="4"/>
        <v>2000.0229999999992</v>
      </c>
      <c r="Q66" s="3887">
        <v>6000</v>
      </c>
      <c r="R66" s="3887">
        <v>37251.495000000003</v>
      </c>
      <c r="S66" s="3888">
        <v>0</v>
      </c>
      <c r="T66" s="3874">
        <v>0</v>
      </c>
      <c r="U66" s="3010">
        <v>0</v>
      </c>
      <c r="V66" s="3863">
        <v>0</v>
      </c>
      <c r="W66" s="3861">
        <v>0</v>
      </c>
      <c r="X66" s="3861">
        <v>0</v>
      </c>
      <c r="Y66" s="3861">
        <v>0</v>
      </c>
      <c r="Z66" s="3842">
        <v>0</v>
      </c>
      <c r="AA66" s="3029">
        <v>0</v>
      </c>
      <c r="AB66" s="1605" t="s">
        <v>3190</v>
      </c>
      <c r="AC66" s="3040" t="s">
        <v>43</v>
      </c>
      <c r="AD66" s="3041" t="s">
        <v>2837</v>
      </c>
      <c r="AE66" s="2936" t="s">
        <v>1283</v>
      </c>
      <c r="AF66" s="2936" t="s">
        <v>1283</v>
      </c>
      <c r="AG66" s="1578" t="s">
        <v>1447</v>
      </c>
      <c r="AH66" s="1611" t="s">
        <v>2921</v>
      </c>
    </row>
    <row r="67" spans="1:34" ht="25.5" outlineLevel="1" x14ac:dyDescent="0.25">
      <c r="A67" s="2933" t="s">
        <v>2404</v>
      </c>
      <c r="B67" s="2907" t="s">
        <v>2855</v>
      </c>
      <c r="C67" s="1275" t="s">
        <v>2579</v>
      </c>
      <c r="D67" s="1611" t="s">
        <v>80</v>
      </c>
      <c r="E67" s="1611" t="s">
        <v>80</v>
      </c>
      <c r="F67" s="2956" t="s">
        <v>2880</v>
      </c>
      <c r="G67" s="1577">
        <v>1819</v>
      </c>
      <c r="H67" s="3256">
        <v>1646.0530000000001</v>
      </c>
      <c r="I67" s="4304">
        <v>0</v>
      </c>
      <c r="J67" s="3888">
        <v>0</v>
      </c>
      <c r="K67" s="3889">
        <v>0</v>
      </c>
      <c r="L67" s="3874">
        <v>0</v>
      </c>
      <c r="M67" s="3890">
        <v>0</v>
      </c>
      <c r="N67" s="3029">
        <v>172.94699999999989</v>
      </c>
      <c r="O67" s="3837">
        <v>-172.947</v>
      </c>
      <c r="P67" s="3872">
        <f t="shared" si="4"/>
        <v>0</v>
      </c>
      <c r="Q67" s="3887">
        <v>172.94699999999989</v>
      </c>
      <c r="R67" s="3891">
        <v>0</v>
      </c>
      <c r="S67" s="3888">
        <v>0</v>
      </c>
      <c r="T67" s="3874">
        <v>0</v>
      </c>
      <c r="U67" s="3010">
        <v>0</v>
      </c>
      <c r="V67" s="3892">
        <v>0</v>
      </c>
      <c r="W67" s="3874">
        <v>0</v>
      </c>
      <c r="X67" s="3861">
        <v>0</v>
      </c>
      <c r="Y67" s="3861">
        <v>0</v>
      </c>
      <c r="Z67" s="3889">
        <v>0</v>
      </c>
      <c r="AA67" s="3010">
        <v>0</v>
      </c>
      <c r="AB67" s="939" t="s">
        <v>3191</v>
      </c>
      <c r="AC67" s="1275" t="s">
        <v>2820</v>
      </c>
      <c r="AD67" s="3041" t="s">
        <v>2709</v>
      </c>
      <c r="AE67" s="2936" t="s">
        <v>1283</v>
      </c>
      <c r="AF67" s="2936" t="s">
        <v>1283</v>
      </c>
      <c r="AG67" s="1578" t="s">
        <v>1447</v>
      </c>
      <c r="AH67" s="1611" t="s">
        <v>2926</v>
      </c>
    </row>
    <row r="68" spans="1:34" ht="25.5" outlineLevel="1" x14ac:dyDescent="0.25">
      <c r="A68" s="3727" t="s">
        <v>2405</v>
      </c>
      <c r="B68" s="3752" t="s">
        <v>3120</v>
      </c>
      <c r="C68" s="3747" t="s">
        <v>2579</v>
      </c>
      <c r="D68" s="3751" t="s">
        <v>80</v>
      </c>
      <c r="E68" s="3751" t="s">
        <v>80</v>
      </c>
      <c r="F68" s="3743" t="s">
        <v>2406</v>
      </c>
      <c r="G68" s="3748">
        <v>71624</v>
      </c>
      <c r="H68" s="2799">
        <v>2987.1112499999999</v>
      </c>
      <c r="I68" s="4148">
        <v>0</v>
      </c>
      <c r="J68" s="3732">
        <v>1012.88875</v>
      </c>
      <c r="K68" s="3721">
        <v>15000</v>
      </c>
      <c r="L68" s="3721">
        <v>52624</v>
      </c>
      <c r="M68" s="3737">
        <v>0</v>
      </c>
      <c r="N68" s="3464">
        <v>68636.888749999998</v>
      </c>
      <c r="O68" s="3763"/>
      <c r="P68" s="3760">
        <f t="shared" si="4"/>
        <v>68636.888749999998</v>
      </c>
      <c r="Q68" s="3411">
        <v>0</v>
      </c>
      <c r="R68" s="3412">
        <v>0</v>
      </c>
      <c r="S68" s="3731">
        <v>0</v>
      </c>
      <c r="T68" s="3724">
        <v>0</v>
      </c>
      <c r="U68" s="3750">
        <v>0</v>
      </c>
      <c r="V68" s="3342">
        <v>71624</v>
      </c>
      <c r="W68" s="3733">
        <v>2987.1112499999999</v>
      </c>
      <c r="X68" s="3721">
        <v>0</v>
      </c>
      <c r="Y68" s="3721">
        <v>68636.888749999998</v>
      </c>
      <c r="Z68" s="3733">
        <v>0</v>
      </c>
      <c r="AA68" s="3750">
        <v>0</v>
      </c>
      <c r="AB68" s="57" t="s">
        <v>1209</v>
      </c>
      <c r="AC68" s="3747" t="s">
        <v>43</v>
      </c>
      <c r="AD68" s="488" t="s">
        <v>2797</v>
      </c>
      <c r="AE68" s="3462" t="s">
        <v>1283</v>
      </c>
      <c r="AF68" s="3462" t="s">
        <v>1283</v>
      </c>
      <c r="AG68" s="3753" t="s">
        <v>1447</v>
      </c>
      <c r="AH68" s="3751" t="s">
        <v>2930</v>
      </c>
    </row>
    <row r="69" spans="1:34" ht="25.5" outlineLevel="1" x14ac:dyDescent="0.25">
      <c r="A69" s="3727" t="s">
        <v>2407</v>
      </c>
      <c r="B69" s="3752" t="s">
        <v>3114</v>
      </c>
      <c r="C69" s="3747" t="s">
        <v>2579</v>
      </c>
      <c r="D69" s="3751" t="s">
        <v>80</v>
      </c>
      <c r="E69" s="3751" t="s">
        <v>80</v>
      </c>
      <c r="F69" s="3743" t="s">
        <v>2840</v>
      </c>
      <c r="G69" s="3748">
        <v>66262</v>
      </c>
      <c r="H69" s="2799">
        <v>9835.635690000001</v>
      </c>
      <c r="I69" s="4148">
        <v>0</v>
      </c>
      <c r="J69" s="3731">
        <v>1064.3643099999999</v>
      </c>
      <c r="K69" s="3724">
        <v>20000</v>
      </c>
      <c r="L69" s="3724">
        <v>35362</v>
      </c>
      <c r="M69" s="3750">
        <v>0</v>
      </c>
      <c r="N69" s="3464">
        <v>56426.364309999997</v>
      </c>
      <c r="O69" s="3763"/>
      <c r="P69" s="3760">
        <f t="shared" si="4"/>
        <v>56426.364309999997</v>
      </c>
      <c r="Q69" s="3411">
        <v>0</v>
      </c>
      <c r="R69" s="3412">
        <v>0</v>
      </c>
      <c r="S69" s="3731">
        <v>0</v>
      </c>
      <c r="T69" s="3724">
        <v>0</v>
      </c>
      <c r="U69" s="3750">
        <v>0</v>
      </c>
      <c r="V69" s="3342">
        <v>63198</v>
      </c>
      <c r="W69" s="3733">
        <v>9835.635690000001</v>
      </c>
      <c r="X69" s="3721">
        <v>0</v>
      </c>
      <c r="Y69" s="3721">
        <v>53362.364309999997</v>
      </c>
      <c r="Z69" s="3733">
        <v>0</v>
      </c>
      <c r="AA69" s="3750">
        <v>0</v>
      </c>
      <c r="AB69" s="57" t="s">
        <v>1209</v>
      </c>
      <c r="AC69" s="3747" t="s">
        <v>43</v>
      </c>
      <c r="AD69" s="488" t="s">
        <v>2797</v>
      </c>
      <c r="AE69" s="3462" t="s">
        <v>1283</v>
      </c>
      <c r="AF69" s="3753" t="s">
        <v>1283</v>
      </c>
      <c r="AG69" s="3753" t="s">
        <v>1447</v>
      </c>
      <c r="AH69" s="3751" t="s">
        <v>2930</v>
      </c>
    </row>
    <row r="70" spans="1:34" ht="25.5" outlineLevel="1" x14ac:dyDescent="0.25">
      <c r="A70" s="3727" t="s">
        <v>2408</v>
      </c>
      <c r="B70" s="3752" t="s">
        <v>1230</v>
      </c>
      <c r="C70" s="3747" t="s">
        <v>2579</v>
      </c>
      <c r="D70" s="3751" t="s">
        <v>80</v>
      </c>
      <c r="E70" s="3751" t="s">
        <v>80</v>
      </c>
      <c r="F70" s="3743" t="s">
        <v>2409</v>
      </c>
      <c r="G70" s="3748">
        <v>30250</v>
      </c>
      <c r="H70" s="2799">
        <v>0</v>
      </c>
      <c r="I70" s="4148">
        <v>0</v>
      </c>
      <c r="J70" s="3731">
        <v>0</v>
      </c>
      <c r="K70" s="3724">
        <v>0</v>
      </c>
      <c r="L70" s="3724">
        <v>0</v>
      </c>
      <c r="M70" s="3750">
        <v>25250</v>
      </c>
      <c r="N70" s="3464">
        <v>25250</v>
      </c>
      <c r="O70" s="3763">
        <v>0</v>
      </c>
      <c r="P70" s="3760">
        <f t="shared" si="4"/>
        <v>25250</v>
      </c>
      <c r="Q70" s="3411">
        <v>0</v>
      </c>
      <c r="R70" s="3412">
        <v>0</v>
      </c>
      <c r="S70" s="3731">
        <v>5000</v>
      </c>
      <c r="T70" s="3724">
        <v>0</v>
      </c>
      <c r="U70" s="3750">
        <v>0</v>
      </c>
      <c r="V70" s="3342">
        <v>0</v>
      </c>
      <c r="W70" s="3733">
        <v>0</v>
      </c>
      <c r="X70" s="3721">
        <v>0</v>
      </c>
      <c r="Y70" s="3721">
        <v>0</v>
      </c>
      <c r="Z70" s="3765">
        <v>0</v>
      </c>
      <c r="AA70" s="3737">
        <v>0</v>
      </c>
      <c r="AB70" s="3461" t="s">
        <v>1209</v>
      </c>
      <c r="AC70" s="3747" t="s">
        <v>33</v>
      </c>
      <c r="AD70" s="488" t="s">
        <v>2803</v>
      </c>
      <c r="AE70" s="3462" t="s">
        <v>1282</v>
      </c>
      <c r="AF70" s="3462" t="s">
        <v>1282</v>
      </c>
      <c r="AG70" s="3753" t="s">
        <v>1448</v>
      </c>
      <c r="AH70" s="3751" t="s">
        <v>2938</v>
      </c>
    </row>
    <row r="71" spans="1:34" ht="25.5" outlineLevel="1" x14ac:dyDescent="0.25">
      <c r="A71" s="2933" t="s">
        <v>2410</v>
      </c>
      <c r="B71" s="2907" t="s">
        <v>3125</v>
      </c>
      <c r="C71" s="1275" t="s">
        <v>2579</v>
      </c>
      <c r="D71" s="1611" t="s">
        <v>80</v>
      </c>
      <c r="E71" s="1611" t="s">
        <v>80</v>
      </c>
      <c r="F71" s="2956" t="s">
        <v>2411</v>
      </c>
      <c r="G71" s="1577">
        <v>2000</v>
      </c>
      <c r="H71" s="3256">
        <v>218.19192000000021</v>
      </c>
      <c r="I71" s="4297">
        <v>0</v>
      </c>
      <c r="J71" s="3860">
        <v>0</v>
      </c>
      <c r="K71" s="3861">
        <v>0</v>
      </c>
      <c r="L71" s="3861">
        <v>0</v>
      </c>
      <c r="M71" s="3029">
        <v>0</v>
      </c>
      <c r="N71" s="3029">
        <v>631.80807999999979</v>
      </c>
      <c r="O71" s="3837">
        <f>-632+0.19192</f>
        <v>-631.80808000000002</v>
      </c>
      <c r="P71" s="3872">
        <f t="shared" si="4"/>
        <v>0</v>
      </c>
      <c r="Q71" s="3873">
        <f>632-0.19192</f>
        <v>631.80808000000002</v>
      </c>
      <c r="R71" s="3873">
        <v>1150</v>
      </c>
      <c r="S71" s="3888">
        <v>0</v>
      </c>
      <c r="T71" s="3874">
        <v>0</v>
      </c>
      <c r="U71" s="3010">
        <v>0</v>
      </c>
      <c r="V71" s="3892">
        <v>0</v>
      </c>
      <c r="W71" s="3874">
        <v>0</v>
      </c>
      <c r="X71" s="3861">
        <v>0</v>
      </c>
      <c r="Y71" s="3861">
        <v>0</v>
      </c>
      <c r="Z71" s="3842">
        <v>0</v>
      </c>
      <c r="AA71" s="3029">
        <v>0</v>
      </c>
      <c r="AB71" s="1605" t="s">
        <v>3192</v>
      </c>
      <c r="AC71" s="1275" t="s">
        <v>43</v>
      </c>
      <c r="AD71" s="3041" t="s">
        <v>2462</v>
      </c>
      <c r="AE71" s="2936" t="s">
        <v>1283</v>
      </c>
      <c r="AF71" s="2936" t="s">
        <v>1283</v>
      </c>
      <c r="AG71" s="1578" t="s">
        <v>1448</v>
      </c>
      <c r="AH71" s="1611" t="s">
        <v>2921</v>
      </c>
    </row>
    <row r="72" spans="1:34" ht="25.5" outlineLevel="1" x14ac:dyDescent="0.25">
      <c r="A72" s="2951" t="s">
        <v>2412</v>
      </c>
      <c r="B72" s="2939" t="s">
        <v>1230</v>
      </c>
      <c r="C72" s="1599" t="s">
        <v>2579</v>
      </c>
      <c r="D72" s="2940" t="s">
        <v>80</v>
      </c>
      <c r="E72" s="2940" t="s">
        <v>80</v>
      </c>
      <c r="F72" s="2952" t="s">
        <v>3193</v>
      </c>
      <c r="G72" s="1640">
        <v>800</v>
      </c>
      <c r="H72" s="3876">
        <v>0</v>
      </c>
      <c r="I72" s="4303">
        <v>0</v>
      </c>
      <c r="J72" s="3877">
        <v>0</v>
      </c>
      <c r="K72" s="3878">
        <v>0</v>
      </c>
      <c r="L72" s="3878">
        <v>0</v>
      </c>
      <c r="M72" s="3879">
        <v>800</v>
      </c>
      <c r="N72" s="3880">
        <v>3200</v>
      </c>
      <c r="O72" s="3881">
        <v>-2400</v>
      </c>
      <c r="P72" s="3882">
        <f t="shared" si="4"/>
        <v>800</v>
      </c>
      <c r="Q72" s="3883">
        <v>0</v>
      </c>
      <c r="R72" s="3893">
        <v>0</v>
      </c>
      <c r="S72" s="3877">
        <v>0</v>
      </c>
      <c r="T72" s="3878">
        <v>0</v>
      </c>
      <c r="U72" s="3879">
        <v>0</v>
      </c>
      <c r="V72" s="3884">
        <v>0</v>
      </c>
      <c r="W72" s="3885">
        <v>0</v>
      </c>
      <c r="X72" s="3885">
        <v>0</v>
      </c>
      <c r="Y72" s="3885">
        <v>0</v>
      </c>
      <c r="Z72" s="3886">
        <v>0</v>
      </c>
      <c r="AA72" s="3880">
        <v>0</v>
      </c>
      <c r="AB72" s="1598" t="s">
        <v>3194</v>
      </c>
      <c r="AC72" s="1599" t="s">
        <v>33</v>
      </c>
      <c r="AD72" s="3060" t="s">
        <v>2610</v>
      </c>
      <c r="AE72" s="2942" t="s">
        <v>1282</v>
      </c>
      <c r="AF72" s="2942" t="s">
        <v>1282</v>
      </c>
      <c r="AG72" s="2941" t="s">
        <v>1448</v>
      </c>
      <c r="AH72" s="2940" t="s">
        <v>2940</v>
      </c>
    </row>
    <row r="73" spans="1:34" ht="26.25" outlineLevel="1" thickBot="1" x14ac:dyDescent="0.3">
      <c r="A73" s="289" t="s">
        <v>2413</v>
      </c>
      <c r="B73" s="1112" t="s">
        <v>1230</v>
      </c>
      <c r="C73" s="275" t="s">
        <v>2579</v>
      </c>
      <c r="D73" s="664" t="s">
        <v>80</v>
      </c>
      <c r="E73" s="664" t="s">
        <v>80</v>
      </c>
      <c r="F73" s="1434" t="s">
        <v>2414</v>
      </c>
      <c r="G73" s="293">
        <v>0</v>
      </c>
      <c r="H73" s="3240">
        <v>0</v>
      </c>
      <c r="I73" s="4305">
        <v>0</v>
      </c>
      <c r="J73" s="3506">
        <v>0</v>
      </c>
      <c r="K73" s="3348">
        <v>0</v>
      </c>
      <c r="L73" s="3348">
        <v>0</v>
      </c>
      <c r="M73" s="1115">
        <v>0</v>
      </c>
      <c r="N73" s="3403">
        <v>4500</v>
      </c>
      <c r="O73" s="3539">
        <v>-4500</v>
      </c>
      <c r="P73" s="3485">
        <f t="shared" si="4"/>
        <v>0</v>
      </c>
      <c r="Q73" s="3507">
        <v>0</v>
      </c>
      <c r="R73" s="3284">
        <v>0</v>
      </c>
      <c r="S73" s="3506">
        <v>0</v>
      </c>
      <c r="T73" s="3348">
        <v>0</v>
      </c>
      <c r="U73" s="1115">
        <v>0</v>
      </c>
      <c r="V73" s="3346">
        <v>0</v>
      </c>
      <c r="W73" s="3347">
        <v>0</v>
      </c>
      <c r="X73" s="3348">
        <v>0</v>
      </c>
      <c r="Y73" s="3348">
        <v>0</v>
      </c>
      <c r="Z73" s="3347">
        <v>0</v>
      </c>
      <c r="AA73" s="1115">
        <v>0</v>
      </c>
      <c r="AB73" s="275" t="s">
        <v>3195</v>
      </c>
      <c r="AC73" s="275" t="s">
        <v>1300</v>
      </c>
      <c r="AD73" s="2382" t="s">
        <v>2607</v>
      </c>
      <c r="AE73" s="671" t="s">
        <v>1282</v>
      </c>
      <c r="AF73" s="671" t="s">
        <v>1282</v>
      </c>
      <c r="AG73" s="297" t="s">
        <v>1448</v>
      </c>
      <c r="AH73" s="664" t="s">
        <v>2940</v>
      </c>
    </row>
    <row r="74" spans="1:34" ht="25.5" outlineLevel="1" x14ac:dyDescent="0.25">
      <c r="A74" s="3727" t="s">
        <v>2612</v>
      </c>
      <c r="B74" s="3752" t="s">
        <v>1230</v>
      </c>
      <c r="C74" s="3747" t="s">
        <v>3196</v>
      </c>
      <c r="D74" s="3751" t="s">
        <v>80</v>
      </c>
      <c r="E74" s="3751" t="s">
        <v>80</v>
      </c>
      <c r="F74" s="2605" t="s">
        <v>2613</v>
      </c>
      <c r="G74" s="3748">
        <v>578.17700000000002</v>
      </c>
      <c r="H74" s="2799">
        <v>0</v>
      </c>
      <c r="I74" s="4148">
        <v>0</v>
      </c>
      <c r="J74" s="3732">
        <v>0</v>
      </c>
      <c r="K74" s="3721">
        <v>0</v>
      </c>
      <c r="L74" s="3721">
        <v>0</v>
      </c>
      <c r="M74" s="3737">
        <v>0</v>
      </c>
      <c r="N74" s="3464">
        <v>0</v>
      </c>
      <c r="O74" s="3763">
        <v>0</v>
      </c>
      <c r="P74" s="3759">
        <f t="shared" si="4"/>
        <v>0</v>
      </c>
      <c r="Q74" s="3411">
        <v>578.17700000000002</v>
      </c>
      <c r="R74" s="3412">
        <v>0</v>
      </c>
      <c r="S74" s="3731">
        <v>0</v>
      </c>
      <c r="T74" s="3724">
        <v>0</v>
      </c>
      <c r="U74" s="3750">
        <v>0</v>
      </c>
      <c r="V74" s="3342">
        <v>0</v>
      </c>
      <c r="W74" s="3733">
        <v>0</v>
      </c>
      <c r="X74" s="3721">
        <v>0</v>
      </c>
      <c r="Y74" s="3721">
        <v>0</v>
      </c>
      <c r="Z74" s="3733">
        <v>0</v>
      </c>
      <c r="AA74" s="3750">
        <v>0</v>
      </c>
      <c r="AB74" s="3461" t="s">
        <v>2954</v>
      </c>
      <c r="AC74" s="3747" t="s">
        <v>33</v>
      </c>
      <c r="AD74" s="488" t="s">
        <v>2610</v>
      </c>
      <c r="AE74" s="3462" t="s">
        <v>1282</v>
      </c>
      <c r="AF74" s="3462" t="s">
        <v>1282</v>
      </c>
      <c r="AG74" s="3729" t="s">
        <v>1448</v>
      </c>
      <c r="AH74" s="3713" t="s">
        <v>2944</v>
      </c>
    </row>
    <row r="75" spans="1:34" ht="30" outlineLevel="1" x14ac:dyDescent="0.25">
      <c r="A75" s="1534" t="s">
        <v>2714</v>
      </c>
      <c r="B75" s="1248" t="s">
        <v>2809</v>
      </c>
      <c r="C75" s="3894" t="s">
        <v>2750</v>
      </c>
      <c r="D75" s="979" t="s">
        <v>80</v>
      </c>
      <c r="E75" s="1536" t="s">
        <v>80</v>
      </c>
      <c r="F75" s="3895" t="s">
        <v>2808</v>
      </c>
      <c r="G75" s="980">
        <f>1051-20</f>
        <v>1031</v>
      </c>
      <c r="H75" s="3282">
        <v>1031</v>
      </c>
      <c r="I75" s="4298">
        <v>0</v>
      </c>
      <c r="J75" s="3477">
        <v>0</v>
      </c>
      <c r="K75" s="3340">
        <v>0</v>
      </c>
      <c r="L75" s="3340">
        <v>0</v>
      </c>
      <c r="M75" s="3855">
        <v>0</v>
      </c>
      <c r="N75" s="3478">
        <v>20</v>
      </c>
      <c r="O75" s="3542">
        <v>-20</v>
      </c>
      <c r="P75" s="3489">
        <f t="shared" si="4"/>
        <v>0</v>
      </c>
      <c r="Q75" s="3896">
        <v>0</v>
      </c>
      <c r="R75" s="3897">
        <v>0</v>
      </c>
      <c r="S75" s="3477">
        <v>0</v>
      </c>
      <c r="T75" s="3340">
        <v>0</v>
      </c>
      <c r="U75" s="1262">
        <v>0</v>
      </c>
      <c r="V75" s="3338">
        <v>0</v>
      </c>
      <c r="W75" s="3339">
        <v>0</v>
      </c>
      <c r="X75" s="3353">
        <v>0</v>
      </c>
      <c r="Y75" s="3353">
        <v>0</v>
      </c>
      <c r="Z75" s="3352">
        <v>0</v>
      </c>
      <c r="AA75" s="1810">
        <v>0</v>
      </c>
      <c r="AB75" s="570" t="s">
        <v>3197</v>
      </c>
      <c r="AC75" s="1523" t="s">
        <v>1329</v>
      </c>
      <c r="AD75" s="1638" t="s">
        <v>2070</v>
      </c>
      <c r="AE75" s="1589" t="s">
        <v>1283</v>
      </c>
      <c r="AF75" s="1590" t="s">
        <v>1283</v>
      </c>
      <c r="AG75" s="1870" t="s">
        <v>1447</v>
      </c>
      <c r="AH75" s="1791" t="s">
        <v>2939</v>
      </c>
    </row>
    <row r="76" spans="1:34" ht="30" outlineLevel="1" x14ac:dyDescent="0.25">
      <c r="A76" s="3727" t="s">
        <v>2715</v>
      </c>
      <c r="B76" s="3752" t="s">
        <v>1230</v>
      </c>
      <c r="C76" s="3508" t="s">
        <v>2750</v>
      </c>
      <c r="D76" s="3747" t="s">
        <v>80</v>
      </c>
      <c r="E76" s="3751" t="s">
        <v>80</v>
      </c>
      <c r="F76" s="242" t="s">
        <v>3002</v>
      </c>
      <c r="G76" s="3748">
        <v>65000</v>
      </c>
      <c r="H76" s="2799">
        <v>0</v>
      </c>
      <c r="I76" s="4148">
        <v>0</v>
      </c>
      <c r="J76" s="3731">
        <v>0</v>
      </c>
      <c r="K76" s="3724">
        <v>0</v>
      </c>
      <c r="L76" s="3724">
        <v>0</v>
      </c>
      <c r="M76" s="3415">
        <v>0</v>
      </c>
      <c r="N76" s="3464">
        <v>0</v>
      </c>
      <c r="O76" s="3763">
        <v>0</v>
      </c>
      <c r="P76" s="3760">
        <f t="shared" si="4"/>
        <v>0</v>
      </c>
      <c r="Q76" s="3414">
        <v>65000</v>
      </c>
      <c r="R76" s="3412">
        <v>0</v>
      </c>
      <c r="S76" s="3731">
        <v>0</v>
      </c>
      <c r="T76" s="3724">
        <v>0</v>
      </c>
      <c r="U76" s="3750">
        <v>0</v>
      </c>
      <c r="V76" s="3342">
        <v>0</v>
      </c>
      <c r="W76" s="3733">
        <v>0</v>
      </c>
      <c r="X76" s="3721">
        <v>0</v>
      </c>
      <c r="Y76" s="3721">
        <v>0</v>
      </c>
      <c r="Z76" s="3733">
        <v>0</v>
      </c>
      <c r="AA76" s="3750">
        <v>0</v>
      </c>
      <c r="AB76" s="57" t="s">
        <v>1209</v>
      </c>
      <c r="AC76" s="3747" t="s">
        <v>33</v>
      </c>
      <c r="AD76" s="3462" t="s">
        <v>2695</v>
      </c>
      <c r="AE76" s="3753" t="s">
        <v>1282</v>
      </c>
      <c r="AF76" s="3462" t="s">
        <v>1282</v>
      </c>
      <c r="AG76" s="3753" t="s">
        <v>1452</v>
      </c>
      <c r="AH76" s="3751" t="s">
        <v>2930</v>
      </c>
    </row>
    <row r="77" spans="1:34" ht="30" outlineLevel="1" x14ac:dyDescent="0.25">
      <c r="A77" s="173" t="s">
        <v>2716</v>
      </c>
      <c r="B77" s="144" t="s">
        <v>1230</v>
      </c>
      <c r="C77" s="3898" t="s">
        <v>2750</v>
      </c>
      <c r="D77" s="75" t="s">
        <v>80</v>
      </c>
      <c r="E77" s="76" t="s">
        <v>80</v>
      </c>
      <c r="F77" s="243" t="s">
        <v>2717</v>
      </c>
      <c r="G77" s="25">
        <v>0</v>
      </c>
      <c r="H77" s="3236">
        <v>0</v>
      </c>
      <c r="I77" s="4301">
        <v>0</v>
      </c>
      <c r="J77" s="3434">
        <v>0</v>
      </c>
      <c r="K77" s="1470">
        <v>0</v>
      </c>
      <c r="L77" s="1470">
        <v>0</v>
      </c>
      <c r="M77" s="3865">
        <v>0</v>
      </c>
      <c r="N77" s="3405">
        <v>3602</v>
      </c>
      <c r="O77" s="3544">
        <v>-3602</v>
      </c>
      <c r="P77" s="3488">
        <f t="shared" si="4"/>
        <v>0</v>
      </c>
      <c r="Q77" s="943">
        <v>0</v>
      </c>
      <c r="R77" s="377">
        <v>0</v>
      </c>
      <c r="S77" s="3434">
        <v>0</v>
      </c>
      <c r="T77" s="1470">
        <v>0</v>
      </c>
      <c r="U77" s="378">
        <v>0</v>
      </c>
      <c r="V77" s="3343">
        <v>0</v>
      </c>
      <c r="W77" s="3344">
        <v>0</v>
      </c>
      <c r="X77" s="3345">
        <v>0</v>
      </c>
      <c r="Y77" s="3345">
        <v>0</v>
      </c>
      <c r="Z77" s="3344">
        <v>0</v>
      </c>
      <c r="AA77" s="1763">
        <v>0</v>
      </c>
      <c r="AB77" s="150" t="s">
        <v>3198</v>
      </c>
      <c r="AC77" s="75" t="s">
        <v>1300</v>
      </c>
      <c r="AD77" s="864" t="s">
        <v>2607</v>
      </c>
      <c r="AE77" s="1424" t="s">
        <v>1283</v>
      </c>
      <c r="AF77" s="1815" t="s">
        <v>1283</v>
      </c>
      <c r="AG77" s="74" t="s">
        <v>1447</v>
      </c>
      <c r="AH77" s="76" t="s">
        <v>2937</v>
      </c>
    </row>
    <row r="78" spans="1:34" ht="30" outlineLevel="1" x14ac:dyDescent="0.25">
      <c r="A78" s="3727" t="s">
        <v>2718</v>
      </c>
      <c r="B78" s="3752" t="s">
        <v>1230</v>
      </c>
      <c r="C78" s="3508" t="s">
        <v>2750</v>
      </c>
      <c r="D78" s="3747" t="s">
        <v>80</v>
      </c>
      <c r="E78" s="3751" t="s">
        <v>80</v>
      </c>
      <c r="F78" s="242" t="s">
        <v>2719</v>
      </c>
      <c r="G78" s="3748">
        <v>2735</v>
      </c>
      <c r="H78" s="2799">
        <v>0</v>
      </c>
      <c r="I78" s="4148">
        <v>0</v>
      </c>
      <c r="J78" s="3731">
        <v>0</v>
      </c>
      <c r="K78" s="3724">
        <v>2735</v>
      </c>
      <c r="L78" s="3724">
        <v>0</v>
      </c>
      <c r="M78" s="3415">
        <v>0</v>
      </c>
      <c r="N78" s="3464">
        <v>2735</v>
      </c>
      <c r="O78" s="3763">
        <v>0</v>
      </c>
      <c r="P78" s="3760">
        <f t="shared" si="4"/>
        <v>2735</v>
      </c>
      <c r="Q78" s="3367">
        <v>0</v>
      </c>
      <c r="R78" s="3757">
        <v>0</v>
      </c>
      <c r="S78" s="3731">
        <v>0</v>
      </c>
      <c r="T78" s="3724">
        <v>0</v>
      </c>
      <c r="U78" s="3750">
        <v>0</v>
      </c>
      <c r="V78" s="3341">
        <v>0</v>
      </c>
      <c r="W78" s="3765">
        <v>0</v>
      </c>
      <c r="X78" s="3721">
        <v>0</v>
      </c>
      <c r="Y78" s="3721">
        <v>0</v>
      </c>
      <c r="Z78" s="3765">
        <v>0</v>
      </c>
      <c r="AA78" s="3737">
        <v>0</v>
      </c>
      <c r="AB78" s="3461" t="s">
        <v>3132</v>
      </c>
      <c r="AC78" s="3747" t="s">
        <v>28</v>
      </c>
      <c r="AD78" s="488" t="s">
        <v>2610</v>
      </c>
      <c r="AE78" s="3753" t="s">
        <v>1283</v>
      </c>
      <c r="AF78" s="3462" t="s">
        <v>1283</v>
      </c>
      <c r="AG78" s="3753" t="s">
        <v>1448</v>
      </c>
      <c r="AH78" s="3751" t="s">
        <v>2935</v>
      </c>
    </row>
    <row r="79" spans="1:34" ht="30" outlineLevel="1" x14ac:dyDescent="0.25">
      <c r="A79" s="3727" t="s">
        <v>2720</v>
      </c>
      <c r="B79" s="3752" t="s">
        <v>1230</v>
      </c>
      <c r="C79" s="3508" t="s">
        <v>2750</v>
      </c>
      <c r="D79" s="3747" t="s">
        <v>80</v>
      </c>
      <c r="E79" s="3751" t="s">
        <v>80</v>
      </c>
      <c r="F79" s="242" t="s">
        <v>2721</v>
      </c>
      <c r="G79" s="3748">
        <v>2498</v>
      </c>
      <c r="H79" s="2799">
        <v>0</v>
      </c>
      <c r="I79" s="4148">
        <v>0</v>
      </c>
      <c r="J79" s="3731">
        <v>0</v>
      </c>
      <c r="K79" s="3724">
        <v>2498</v>
      </c>
      <c r="L79" s="3724">
        <v>0</v>
      </c>
      <c r="M79" s="3415">
        <v>0</v>
      </c>
      <c r="N79" s="3464">
        <v>2498</v>
      </c>
      <c r="O79" s="3763">
        <v>0</v>
      </c>
      <c r="P79" s="3760">
        <f t="shared" si="4"/>
        <v>2498</v>
      </c>
      <c r="Q79" s="3367">
        <v>0</v>
      </c>
      <c r="R79" s="3757">
        <v>0</v>
      </c>
      <c r="S79" s="3731">
        <v>0</v>
      </c>
      <c r="T79" s="3724">
        <v>0</v>
      </c>
      <c r="U79" s="3750">
        <v>0</v>
      </c>
      <c r="V79" s="3341">
        <v>0</v>
      </c>
      <c r="W79" s="3765">
        <v>0</v>
      </c>
      <c r="X79" s="3721">
        <v>0</v>
      </c>
      <c r="Y79" s="3721">
        <v>0</v>
      </c>
      <c r="Z79" s="3765">
        <v>0</v>
      </c>
      <c r="AA79" s="3737">
        <v>0</v>
      </c>
      <c r="AB79" s="3461" t="s">
        <v>3133</v>
      </c>
      <c r="AC79" s="3747" t="s">
        <v>28</v>
      </c>
      <c r="AD79" s="488" t="s">
        <v>2610</v>
      </c>
      <c r="AE79" s="3753" t="s">
        <v>1282</v>
      </c>
      <c r="AF79" s="3462" t="s">
        <v>1282</v>
      </c>
      <c r="AG79" s="3753" t="s">
        <v>1448</v>
      </c>
      <c r="AH79" s="3751" t="s">
        <v>2941</v>
      </c>
    </row>
    <row r="80" spans="1:34" ht="30" outlineLevel="1" x14ac:dyDescent="0.25">
      <c r="A80" s="173" t="s">
        <v>2722</v>
      </c>
      <c r="B80" s="144" t="s">
        <v>1230</v>
      </c>
      <c r="C80" s="3898" t="s">
        <v>2750</v>
      </c>
      <c r="D80" s="75" t="s">
        <v>80</v>
      </c>
      <c r="E80" s="76" t="s">
        <v>80</v>
      </c>
      <c r="F80" s="243" t="s">
        <v>2799</v>
      </c>
      <c r="G80" s="25">
        <v>0</v>
      </c>
      <c r="H80" s="3236">
        <v>0</v>
      </c>
      <c r="I80" s="4301">
        <v>0</v>
      </c>
      <c r="J80" s="3434">
        <v>0</v>
      </c>
      <c r="K80" s="1470">
        <v>0</v>
      </c>
      <c r="L80" s="1470">
        <v>0</v>
      </c>
      <c r="M80" s="3865">
        <v>0</v>
      </c>
      <c r="N80" s="3405">
        <v>4988</v>
      </c>
      <c r="O80" s="3544">
        <v>-4988</v>
      </c>
      <c r="P80" s="3488">
        <f t="shared" si="4"/>
        <v>0</v>
      </c>
      <c r="Q80" s="3476">
        <v>0</v>
      </c>
      <c r="R80" s="377">
        <v>0</v>
      </c>
      <c r="S80" s="3434">
        <v>0</v>
      </c>
      <c r="T80" s="1470">
        <v>0</v>
      </c>
      <c r="U80" s="378">
        <v>0</v>
      </c>
      <c r="V80" s="3343">
        <v>0</v>
      </c>
      <c r="W80" s="3344">
        <v>0</v>
      </c>
      <c r="X80" s="3345">
        <v>0</v>
      </c>
      <c r="Y80" s="3345">
        <v>0</v>
      </c>
      <c r="Z80" s="3344">
        <v>0</v>
      </c>
      <c r="AA80" s="1763">
        <v>0</v>
      </c>
      <c r="AB80" s="150" t="s">
        <v>3199</v>
      </c>
      <c r="AC80" s="75" t="s">
        <v>1300</v>
      </c>
      <c r="AD80" s="713" t="s">
        <v>2607</v>
      </c>
      <c r="AE80" s="74" t="s">
        <v>1282</v>
      </c>
      <c r="AF80" s="379" t="s">
        <v>1282</v>
      </c>
      <c r="AG80" s="74" t="s">
        <v>1447</v>
      </c>
      <c r="AH80" s="76" t="s">
        <v>2934</v>
      </c>
    </row>
    <row r="81" spans="1:34" ht="30" outlineLevel="1" x14ac:dyDescent="0.25">
      <c r="A81" s="3727" t="s">
        <v>2723</v>
      </c>
      <c r="B81" s="3752" t="s">
        <v>1230</v>
      </c>
      <c r="C81" s="3508" t="s">
        <v>2750</v>
      </c>
      <c r="D81" s="3747" t="s">
        <v>80</v>
      </c>
      <c r="E81" s="3751" t="s">
        <v>80</v>
      </c>
      <c r="F81" s="242" t="s">
        <v>2724</v>
      </c>
      <c r="G81" s="3748">
        <v>893</v>
      </c>
      <c r="H81" s="2799">
        <v>0</v>
      </c>
      <c r="I81" s="4148">
        <v>0</v>
      </c>
      <c r="J81" s="3731">
        <v>0</v>
      </c>
      <c r="K81" s="3724">
        <v>893</v>
      </c>
      <c r="L81" s="3724">
        <v>0</v>
      </c>
      <c r="M81" s="3415">
        <v>0</v>
      </c>
      <c r="N81" s="3464">
        <v>893</v>
      </c>
      <c r="O81" s="3763">
        <v>0</v>
      </c>
      <c r="P81" s="3760">
        <f t="shared" si="4"/>
        <v>893</v>
      </c>
      <c r="Q81" s="3367">
        <v>0</v>
      </c>
      <c r="R81" s="3757">
        <v>0</v>
      </c>
      <c r="S81" s="3731">
        <v>0</v>
      </c>
      <c r="T81" s="3724">
        <v>0</v>
      </c>
      <c r="U81" s="3750">
        <v>0</v>
      </c>
      <c r="V81" s="3341">
        <v>0</v>
      </c>
      <c r="W81" s="3765">
        <v>0</v>
      </c>
      <c r="X81" s="3721">
        <v>0</v>
      </c>
      <c r="Y81" s="3721">
        <v>0</v>
      </c>
      <c r="Z81" s="3765">
        <v>0</v>
      </c>
      <c r="AA81" s="3737">
        <v>0</v>
      </c>
      <c r="AB81" s="3461" t="s">
        <v>3134</v>
      </c>
      <c r="AC81" s="3747" t="s">
        <v>28</v>
      </c>
      <c r="AD81" s="488" t="s">
        <v>2610</v>
      </c>
      <c r="AE81" s="3753" t="s">
        <v>1282</v>
      </c>
      <c r="AF81" s="3462" t="s">
        <v>1282</v>
      </c>
      <c r="AG81" s="3753" t="s">
        <v>1448</v>
      </c>
      <c r="AH81" s="3751" t="s">
        <v>2926</v>
      </c>
    </row>
    <row r="82" spans="1:34" ht="30" outlineLevel="1" x14ac:dyDescent="0.25">
      <c r="A82" s="3727" t="s">
        <v>2725</v>
      </c>
      <c r="B82" s="3752" t="s">
        <v>1230</v>
      </c>
      <c r="C82" s="3508" t="s">
        <v>2750</v>
      </c>
      <c r="D82" s="3747" t="s">
        <v>80</v>
      </c>
      <c r="E82" s="3751" t="s">
        <v>80</v>
      </c>
      <c r="F82" s="242" t="s">
        <v>2726</v>
      </c>
      <c r="G82" s="3748">
        <v>841</v>
      </c>
      <c r="H82" s="2799">
        <v>0</v>
      </c>
      <c r="I82" s="4148">
        <v>0</v>
      </c>
      <c r="J82" s="3731">
        <v>0</v>
      </c>
      <c r="K82" s="3724">
        <v>841</v>
      </c>
      <c r="L82" s="3724">
        <v>0</v>
      </c>
      <c r="M82" s="3415">
        <v>0</v>
      </c>
      <c r="N82" s="3464">
        <v>841</v>
      </c>
      <c r="O82" s="3763">
        <v>0</v>
      </c>
      <c r="P82" s="3760">
        <f t="shared" si="4"/>
        <v>841</v>
      </c>
      <c r="Q82" s="3367">
        <v>0</v>
      </c>
      <c r="R82" s="3757">
        <v>0</v>
      </c>
      <c r="S82" s="3731">
        <v>0</v>
      </c>
      <c r="T82" s="3724">
        <v>0</v>
      </c>
      <c r="U82" s="3750">
        <v>0</v>
      </c>
      <c r="V82" s="3341">
        <v>0</v>
      </c>
      <c r="W82" s="3765">
        <v>0</v>
      </c>
      <c r="X82" s="3721">
        <v>0</v>
      </c>
      <c r="Y82" s="3721">
        <v>0</v>
      </c>
      <c r="Z82" s="3765">
        <v>0</v>
      </c>
      <c r="AA82" s="3737">
        <v>0</v>
      </c>
      <c r="AB82" s="3461" t="s">
        <v>3133</v>
      </c>
      <c r="AC82" s="3747" t="s">
        <v>33</v>
      </c>
      <c r="AD82" s="488" t="s">
        <v>2610</v>
      </c>
      <c r="AE82" s="3753" t="s">
        <v>1282</v>
      </c>
      <c r="AF82" s="3462" t="s">
        <v>1282</v>
      </c>
      <c r="AG82" s="3753" t="s">
        <v>1448</v>
      </c>
      <c r="AH82" s="3751" t="s">
        <v>2929</v>
      </c>
    </row>
    <row r="83" spans="1:34" ht="30" outlineLevel="1" x14ac:dyDescent="0.25">
      <c r="A83" s="1534" t="s">
        <v>2727</v>
      </c>
      <c r="B83" s="1248" t="s">
        <v>3128</v>
      </c>
      <c r="C83" s="3894" t="s">
        <v>2750</v>
      </c>
      <c r="D83" s="979" t="s">
        <v>80</v>
      </c>
      <c r="E83" s="1536" t="s">
        <v>80</v>
      </c>
      <c r="F83" s="3895" t="s">
        <v>2728</v>
      </c>
      <c r="G83" s="980">
        <f>2400-10.9226</f>
        <v>2389.0774000000001</v>
      </c>
      <c r="H83" s="3282">
        <v>2389.0774000000001</v>
      </c>
      <c r="I83" s="4298">
        <v>0</v>
      </c>
      <c r="J83" s="3477">
        <v>0</v>
      </c>
      <c r="K83" s="3340">
        <v>0</v>
      </c>
      <c r="L83" s="3340">
        <v>0</v>
      </c>
      <c r="M83" s="3855">
        <v>0</v>
      </c>
      <c r="N83" s="3478">
        <v>10.922599999999999</v>
      </c>
      <c r="O83" s="3542">
        <v>-10.922599999999999</v>
      </c>
      <c r="P83" s="3489">
        <f t="shared" si="4"/>
        <v>0</v>
      </c>
      <c r="Q83" s="3479">
        <v>0</v>
      </c>
      <c r="R83" s="3326">
        <v>0</v>
      </c>
      <c r="S83" s="3477">
        <v>0</v>
      </c>
      <c r="T83" s="3340">
        <v>0</v>
      </c>
      <c r="U83" s="1262">
        <v>0</v>
      </c>
      <c r="V83" s="3351">
        <v>0</v>
      </c>
      <c r="W83" s="3352">
        <v>0</v>
      </c>
      <c r="X83" s="3353">
        <v>0</v>
      </c>
      <c r="Y83" s="3353">
        <v>0</v>
      </c>
      <c r="Z83" s="3352">
        <v>0</v>
      </c>
      <c r="AA83" s="1810">
        <v>0</v>
      </c>
      <c r="AB83" s="570" t="s">
        <v>3200</v>
      </c>
      <c r="AC83" s="979" t="s">
        <v>1329</v>
      </c>
      <c r="AD83" s="1638" t="s">
        <v>2607</v>
      </c>
      <c r="AE83" s="1589" t="s">
        <v>1283</v>
      </c>
      <c r="AF83" s="1590" t="s">
        <v>1283</v>
      </c>
      <c r="AG83" s="1589" t="s">
        <v>1447</v>
      </c>
      <c r="AH83" s="1536" t="s">
        <v>2940</v>
      </c>
    </row>
    <row r="84" spans="1:34" ht="30" outlineLevel="1" x14ac:dyDescent="0.25">
      <c r="A84" s="173" t="s">
        <v>2729</v>
      </c>
      <c r="B84" s="144" t="s">
        <v>1230</v>
      </c>
      <c r="C84" s="3898" t="s">
        <v>2750</v>
      </c>
      <c r="D84" s="75" t="s">
        <v>80</v>
      </c>
      <c r="E84" s="76" t="s">
        <v>80</v>
      </c>
      <c r="F84" s="243" t="s">
        <v>2730</v>
      </c>
      <c r="G84" s="25">
        <v>0</v>
      </c>
      <c r="H84" s="3236">
        <v>0</v>
      </c>
      <c r="I84" s="4301">
        <v>0</v>
      </c>
      <c r="J84" s="3434">
        <v>0</v>
      </c>
      <c r="K84" s="1470">
        <v>0</v>
      </c>
      <c r="L84" s="1470">
        <v>0</v>
      </c>
      <c r="M84" s="3865">
        <v>0</v>
      </c>
      <c r="N84" s="3405">
        <v>2530</v>
      </c>
      <c r="O84" s="3544">
        <v>-2530</v>
      </c>
      <c r="P84" s="3488">
        <f t="shared" si="4"/>
        <v>0</v>
      </c>
      <c r="Q84" s="3476">
        <v>0</v>
      </c>
      <c r="R84" s="377">
        <v>0</v>
      </c>
      <c r="S84" s="3434">
        <v>0</v>
      </c>
      <c r="T84" s="1470">
        <v>0</v>
      </c>
      <c r="U84" s="378">
        <v>0</v>
      </c>
      <c r="V84" s="3343">
        <v>0</v>
      </c>
      <c r="W84" s="3344">
        <v>0</v>
      </c>
      <c r="X84" s="3345">
        <v>0</v>
      </c>
      <c r="Y84" s="3345">
        <v>0</v>
      </c>
      <c r="Z84" s="3344">
        <v>0</v>
      </c>
      <c r="AA84" s="1763">
        <v>0</v>
      </c>
      <c r="AB84" s="150" t="s">
        <v>3201</v>
      </c>
      <c r="AC84" s="75" t="s">
        <v>1300</v>
      </c>
      <c r="AD84" s="713" t="s">
        <v>2607</v>
      </c>
      <c r="AE84" s="74" t="s">
        <v>1283</v>
      </c>
      <c r="AF84" s="379" t="s">
        <v>1283</v>
      </c>
      <c r="AG84" s="74" t="s">
        <v>1447</v>
      </c>
      <c r="AH84" s="76" t="s">
        <v>2942</v>
      </c>
    </row>
    <row r="85" spans="1:34" ht="30" outlineLevel="1" x14ac:dyDescent="0.25">
      <c r="A85" s="3727" t="s">
        <v>2731</v>
      </c>
      <c r="B85" s="3752" t="s">
        <v>1230</v>
      </c>
      <c r="C85" s="3508" t="s">
        <v>2750</v>
      </c>
      <c r="D85" s="3747" t="s">
        <v>80</v>
      </c>
      <c r="E85" s="3751" t="s">
        <v>80</v>
      </c>
      <c r="F85" s="242" t="s">
        <v>2732</v>
      </c>
      <c r="G85" s="3748">
        <v>3471</v>
      </c>
      <c r="H85" s="2799">
        <v>0</v>
      </c>
      <c r="I85" s="4148">
        <v>0</v>
      </c>
      <c r="J85" s="3731">
        <v>0</v>
      </c>
      <c r="K85" s="3724">
        <v>3471</v>
      </c>
      <c r="L85" s="3724">
        <v>0</v>
      </c>
      <c r="M85" s="3415">
        <v>0</v>
      </c>
      <c r="N85" s="3464">
        <v>3471</v>
      </c>
      <c r="O85" s="3763">
        <v>0</v>
      </c>
      <c r="P85" s="3760">
        <f t="shared" si="4"/>
        <v>3471</v>
      </c>
      <c r="Q85" s="3367">
        <v>0</v>
      </c>
      <c r="R85" s="3757">
        <v>0</v>
      </c>
      <c r="S85" s="3731">
        <v>0</v>
      </c>
      <c r="T85" s="3724">
        <v>0</v>
      </c>
      <c r="U85" s="3750">
        <v>0</v>
      </c>
      <c r="V85" s="3341">
        <v>0</v>
      </c>
      <c r="W85" s="3765">
        <v>0</v>
      </c>
      <c r="X85" s="3721">
        <v>0</v>
      </c>
      <c r="Y85" s="3721">
        <v>0</v>
      </c>
      <c r="Z85" s="3765">
        <v>0</v>
      </c>
      <c r="AA85" s="3737">
        <v>0</v>
      </c>
      <c r="AB85" s="3461" t="s">
        <v>3134</v>
      </c>
      <c r="AC85" s="3747" t="s">
        <v>28</v>
      </c>
      <c r="AD85" s="488" t="s">
        <v>2610</v>
      </c>
      <c r="AE85" s="3753" t="s">
        <v>1282</v>
      </c>
      <c r="AF85" s="3462" t="s">
        <v>1282</v>
      </c>
      <c r="AG85" s="3753" t="s">
        <v>1446</v>
      </c>
      <c r="AH85" s="3751" t="s">
        <v>2938</v>
      </c>
    </row>
    <row r="86" spans="1:34" ht="30" outlineLevel="1" x14ac:dyDescent="0.25">
      <c r="A86" s="3727" t="s">
        <v>2733</v>
      </c>
      <c r="B86" s="3752" t="s">
        <v>1230</v>
      </c>
      <c r="C86" s="3508" t="s">
        <v>2750</v>
      </c>
      <c r="D86" s="3747" t="s">
        <v>80</v>
      </c>
      <c r="E86" s="3751" t="s">
        <v>80</v>
      </c>
      <c r="F86" s="242" t="s">
        <v>2734</v>
      </c>
      <c r="G86" s="3748">
        <v>1378</v>
      </c>
      <c r="H86" s="2799">
        <v>0</v>
      </c>
      <c r="I86" s="4148">
        <v>0</v>
      </c>
      <c r="J86" s="3731">
        <v>0</v>
      </c>
      <c r="K86" s="3724">
        <v>1378</v>
      </c>
      <c r="L86" s="3724">
        <v>0</v>
      </c>
      <c r="M86" s="3415">
        <v>0</v>
      </c>
      <c r="N86" s="3464">
        <v>1378</v>
      </c>
      <c r="O86" s="3763">
        <v>0</v>
      </c>
      <c r="P86" s="3760">
        <f t="shared" si="4"/>
        <v>1378</v>
      </c>
      <c r="Q86" s="3367">
        <v>0</v>
      </c>
      <c r="R86" s="3757">
        <v>0</v>
      </c>
      <c r="S86" s="3731">
        <v>0</v>
      </c>
      <c r="T86" s="3724">
        <v>0</v>
      </c>
      <c r="U86" s="3750">
        <v>0</v>
      </c>
      <c r="V86" s="3341">
        <v>0</v>
      </c>
      <c r="W86" s="3765">
        <v>0</v>
      </c>
      <c r="X86" s="3721">
        <v>0</v>
      </c>
      <c r="Y86" s="3721">
        <v>0</v>
      </c>
      <c r="Z86" s="3765">
        <v>0</v>
      </c>
      <c r="AA86" s="3737">
        <v>0</v>
      </c>
      <c r="AB86" s="3461" t="s">
        <v>3135</v>
      </c>
      <c r="AC86" s="3747" t="s">
        <v>28</v>
      </c>
      <c r="AD86" s="488" t="s">
        <v>2610</v>
      </c>
      <c r="AE86" s="3753" t="s">
        <v>1282</v>
      </c>
      <c r="AF86" s="3462" t="s">
        <v>1282</v>
      </c>
      <c r="AG86" s="3753" t="s">
        <v>1448</v>
      </c>
      <c r="AH86" s="3751" t="s">
        <v>2943</v>
      </c>
    </row>
    <row r="87" spans="1:34" ht="30" outlineLevel="1" x14ac:dyDescent="0.25">
      <c r="A87" s="3727" t="s">
        <v>2745</v>
      </c>
      <c r="B87" s="3752" t="s">
        <v>1230</v>
      </c>
      <c r="C87" s="3508" t="s">
        <v>2750</v>
      </c>
      <c r="D87" s="3747" t="s">
        <v>80</v>
      </c>
      <c r="E87" s="3751" t="s">
        <v>80</v>
      </c>
      <c r="F87" s="242" t="s">
        <v>2735</v>
      </c>
      <c r="G87" s="3748">
        <v>3000</v>
      </c>
      <c r="H87" s="2799">
        <v>0</v>
      </c>
      <c r="I87" s="4148">
        <v>0</v>
      </c>
      <c r="J87" s="3731">
        <v>0</v>
      </c>
      <c r="K87" s="3724">
        <v>0</v>
      </c>
      <c r="L87" s="3724">
        <v>3000</v>
      </c>
      <c r="M87" s="3415">
        <v>0</v>
      </c>
      <c r="N87" s="3464">
        <v>3000</v>
      </c>
      <c r="O87" s="3763">
        <v>0</v>
      </c>
      <c r="P87" s="3760">
        <f t="shared" si="4"/>
        <v>3000</v>
      </c>
      <c r="Q87" s="3367">
        <v>0</v>
      </c>
      <c r="R87" s="3757">
        <v>0</v>
      </c>
      <c r="S87" s="3731">
        <v>0</v>
      </c>
      <c r="T87" s="3724">
        <v>0</v>
      </c>
      <c r="U87" s="3750">
        <v>0</v>
      </c>
      <c r="V87" s="3341">
        <v>0</v>
      </c>
      <c r="W87" s="3765">
        <v>0</v>
      </c>
      <c r="X87" s="3721">
        <v>0</v>
      </c>
      <c r="Y87" s="3721">
        <v>0</v>
      </c>
      <c r="Z87" s="3765">
        <v>0</v>
      </c>
      <c r="AA87" s="3737">
        <v>0</v>
      </c>
      <c r="AB87" s="3461" t="s">
        <v>1209</v>
      </c>
      <c r="AC87" s="3747" t="s">
        <v>2820</v>
      </c>
      <c r="AD87" s="488" t="s">
        <v>2610</v>
      </c>
      <c r="AE87" s="3753" t="s">
        <v>1283</v>
      </c>
      <c r="AF87" s="3462" t="s">
        <v>1283</v>
      </c>
      <c r="AG87" s="3753" t="s">
        <v>1448</v>
      </c>
      <c r="AH87" s="3751" t="s">
        <v>2927</v>
      </c>
    </row>
    <row r="88" spans="1:34" ht="30.75" outlineLevel="1" thickBot="1" x14ac:dyDescent="0.3">
      <c r="A88" s="169" t="s">
        <v>2746</v>
      </c>
      <c r="B88" s="171" t="s">
        <v>1230</v>
      </c>
      <c r="C88" s="3665" t="s">
        <v>2750</v>
      </c>
      <c r="D88" s="3450" t="s">
        <v>80</v>
      </c>
      <c r="E88" s="3738" t="s">
        <v>80</v>
      </c>
      <c r="F88" s="3666" t="s">
        <v>2736</v>
      </c>
      <c r="G88" s="50">
        <v>2032</v>
      </c>
      <c r="H88" s="2796">
        <v>0</v>
      </c>
      <c r="I88" s="4147">
        <v>0</v>
      </c>
      <c r="J88" s="3408">
        <v>0</v>
      </c>
      <c r="K88" s="3355">
        <v>2032</v>
      </c>
      <c r="L88" s="3355">
        <v>0</v>
      </c>
      <c r="M88" s="3662">
        <v>0</v>
      </c>
      <c r="N88" s="3372">
        <v>2032</v>
      </c>
      <c r="O88" s="3540">
        <v>0</v>
      </c>
      <c r="P88" s="3484">
        <f t="shared" si="4"/>
        <v>2032</v>
      </c>
      <c r="Q88" s="3409">
        <v>0</v>
      </c>
      <c r="R88" s="3086">
        <v>0</v>
      </c>
      <c r="S88" s="3408">
        <v>0</v>
      </c>
      <c r="T88" s="3355">
        <v>0</v>
      </c>
      <c r="U88" s="1267">
        <v>0</v>
      </c>
      <c r="V88" s="3354">
        <v>0</v>
      </c>
      <c r="W88" s="3594">
        <v>0</v>
      </c>
      <c r="X88" s="3355">
        <v>0</v>
      </c>
      <c r="Y88" s="3355">
        <v>0</v>
      </c>
      <c r="Z88" s="3594">
        <v>0</v>
      </c>
      <c r="AA88" s="1267">
        <v>0</v>
      </c>
      <c r="AB88" s="3450" t="s">
        <v>3133</v>
      </c>
      <c r="AC88" s="3450" t="s">
        <v>28</v>
      </c>
      <c r="AD88" s="174" t="s">
        <v>2610</v>
      </c>
      <c r="AE88" s="174" t="s">
        <v>1282</v>
      </c>
      <c r="AF88" s="349" t="s">
        <v>1282</v>
      </c>
      <c r="AG88" s="174" t="s">
        <v>1446</v>
      </c>
      <c r="AH88" s="3738" t="s">
        <v>2935</v>
      </c>
    </row>
    <row r="89" spans="1:34" ht="30" outlineLevel="1" x14ac:dyDescent="0.25">
      <c r="A89" s="89" t="s">
        <v>2800</v>
      </c>
      <c r="B89" s="587" t="s">
        <v>1230</v>
      </c>
      <c r="C89" s="3899" t="s">
        <v>2821</v>
      </c>
      <c r="D89" s="588" t="s">
        <v>80</v>
      </c>
      <c r="E89" s="302" t="s">
        <v>80</v>
      </c>
      <c r="F89" s="3900" t="s">
        <v>2801</v>
      </c>
      <c r="G89" s="3956">
        <v>0</v>
      </c>
      <c r="H89" s="3236">
        <v>0</v>
      </c>
      <c r="I89" s="4279">
        <v>0</v>
      </c>
      <c r="J89" s="3434">
        <v>0</v>
      </c>
      <c r="K89" s="1470">
        <v>0</v>
      </c>
      <c r="L89" s="1470">
        <v>0</v>
      </c>
      <c r="M89" s="3865">
        <v>0</v>
      </c>
      <c r="N89" s="3514">
        <v>769</v>
      </c>
      <c r="O89" s="3544">
        <v>-769</v>
      </c>
      <c r="P89" s="3901">
        <f t="shared" si="4"/>
        <v>0</v>
      </c>
      <c r="Q89" s="2574">
        <v>0</v>
      </c>
      <c r="R89" s="3330">
        <v>0</v>
      </c>
      <c r="S89" s="4367">
        <v>0</v>
      </c>
      <c r="T89" s="3857">
        <v>0</v>
      </c>
      <c r="U89" s="2575">
        <v>0</v>
      </c>
      <c r="V89" s="3856">
        <v>0</v>
      </c>
      <c r="W89" s="3693">
        <v>0</v>
      </c>
      <c r="X89" s="3597">
        <v>0</v>
      </c>
      <c r="Y89" s="3597">
        <v>0</v>
      </c>
      <c r="Z89" s="3693">
        <v>0</v>
      </c>
      <c r="AA89" s="2575">
        <v>0</v>
      </c>
      <c r="AB89" s="150" t="s">
        <v>3202</v>
      </c>
      <c r="AC89" s="588" t="s">
        <v>1300</v>
      </c>
      <c r="AD89" s="584" t="s">
        <v>2839</v>
      </c>
      <c r="AE89" s="595" t="s">
        <v>1282</v>
      </c>
      <c r="AF89" s="1035" t="s">
        <v>1282</v>
      </c>
      <c r="AG89" s="1424" t="s">
        <v>1446</v>
      </c>
      <c r="AH89" s="90" t="s">
        <v>2921</v>
      </c>
    </row>
    <row r="90" spans="1:34" ht="45.75" outlineLevel="1" thickBot="1" x14ac:dyDescent="0.3">
      <c r="A90" s="2943" t="s">
        <v>2804</v>
      </c>
      <c r="B90" s="2909" t="s">
        <v>3113</v>
      </c>
      <c r="C90" s="3902" t="s">
        <v>2821</v>
      </c>
      <c r="D90" s="1620" t="s">
        <v>80</v>
      </c>
      <c r="E90" s="3023" t="s">
        <v>80</v>
      </c>
      <c r="F90" s="3903" t="s">
        <v>2802</v>
      </c>
      <c r="G90" s="1621">
        <f>79939-0.73236</f>
        <v>79938.267640000005</v>
      </c>
      <c r="H90" s="3258">
        <v>2806.232</v>
      </c>
      <c r="I90" s="4283">
        <v>0</v>
      </c>
      <c r="J90" s="3829">
        <v>613</v>
      </c>
      <c r="K90" s="3830">
        <v>765</v>
      </c>
      <c r="L90" s="3830">
        <v>9614</v>
      </c>
      <c r="M90" s="3904">
        <v>7587</v>
      </c>
      <c r="N90" s="3825">
        <v>57132.035639999995</v>
      </c>
      <c r="O90" s="3837">
        <f>-38553-0.03564</f>
        <v>-38553.035640000002</v>
      </c>
      <c r="P90" s="2944">
        <f t="shared" si="4"/>
        <v>18578.999999999993</v>
      </c>
      <c r="Q90" s="3905">
        <f>34457+0.03564</f>
        <v>34457.035640000002</v>
      </c>
      <c r="R90" s="3906">
        <v>24096</v>
      </c>
      <c r="S90" s="3829">
        <v>0</v>
      </c>
      <c r="T90" s="3830">
        <v>0</v>
      </c>
      <c r="U90" s="3026">
        <v>0</v>
      </c>
      <c r="V90" s="3852">
        <f>79939-0.73236</f>
        <v>79938.267640000005</v>
      </c>
      <c r="W90" s="3830">
        <v>2806.232</v>
      </c>
      <c r="X90" s="3830">
        <v>0</v>
      </c>
      <c r="Y90" s="3830">
        <f>57132.03564-38553.03564</f>
        <v>18579</v>
      </c>
      <c r="Z90" s="3831">
        <f>20000+38553.03564</f>
        <v>58553.035640000002</v>
      </c>
      <c r="AA90" s="3026">
        <v>0</v>
      </c>
      <c r="AB90" s="1767" t="s">
        <v>3203</v>
      </c>
      <c r="AC90" s="1620" t="s">
        <v>33</v>
      </c>
      <c r="AD90" s="3070" t="s">
        <v>2803</v>
      </c>
      <c r="AE90" s="2947" t="s">
        <v>1282</v>
      </c>
      <c r="AF90" s="2946" t="s">
        <v>1282</v>
      </c>
      <c r="AG90" s="2947" t="s">
        <v>1447</v>
      </c>
      <c r="AH90" s="3023" t="s">
        <v>2934</v>
      </c>
    </row>
    <row r="91" spans="1:34" ht="30.75" outlineLevel="1" thickBot="1" x14ac:dyDescent="0.3">
      <c r="A91" s="2987" t="s">
        <v>2841</v>
      </c>
      <c r="B91" s="3907" t="s">
        <v>1230</v>
      </c>
      <c r="C91" s="3908" t="s">
        <v>2857</v>
      </c>
      <c r="D91" s="1576" t="s">
        <v>80</v>
      </c>
      <c r="E91" s="2988" t="s">
        <v>80</v>
      </c>
      <c r="F91" s="3909" t="s">
        <v>2842</v>
      </c>
      <c r="G91" s="3088">
        <v>7540</v>
      </c>
      <c r="H91" s="3270">
        <v>0</v>
      </c>
      <c r="I91" s="4297">
        <v>0</v>
      </c>
      <c r="J91" s="3822">
        <v>0</v>
      </c>
      <c r="K91" s="3823">
        <v>0</v>
      </c>
      <c r="L91" s="3823">
        <v>0</v>
      </c>
      <c r="M91" s="3910">
        <v>0</v>
      </c>
      <c r="N91" s="3029">
        <v>7540</v>
      </c>
      <c r="O91" s="3779">
        <v>-7540</v>
      </c>
      <c r="P91" s="3837">
        <f t="shared" si="4"/>
        <v>0</v>
      </c>
      <c r="Q91" s="3911">
        <v>7540</v>
      </c>
      <c r="R91" s="3912">
        <v>0</v>
      </c>
      <c r="S91" s="3860">
        <v>0</v>
      </c>
      <c r="T91" s="3861">
        <v>0</v>
      </c>
      <c r="U91" s="3029">
        <v>0</v>
      </c>
      <c r="V91" s="3863">
        <v>0</v>
      </c>
      <c r="W91" s="3861">
        <v>0</v>
      </c>
      <c r="X91" s="3861">
        <v>0</v>
      </c>
      <c r="Y91" s="3861">
        <v>0</v>
      </c>
      <c r="Z91" s="3842">
        <v>0</v>
      </c>
      <c r="AA91" s="3029">
        <v>0</v>
      </c>
      <c r="AB91" s="3913" t="s">
        <v>3204</v>
      </c>
      <c r="AC91" s="1273" t="s">
        <v>33</v>
      </c>
      <c r="AD91" s="3784" t="s">
        <v>2843</v>
      </c>
      <c r="AE91" s="2965" t="s">
        <v>1282</v>
      </c>
      <c r="AF91" s="2964" t="s">
        <v>1282</v>
      </c>
      <c r="AG91" s="3593" t="s">
        <v>1448</v>
      </c>
      <c r="AH91" s="3818" t="s">
        <v>2929</v>
      </c>
    </row>
    <row r="92" spans="1:34" ht="30.75" outlineLevel="1" thickBot="1" x14ac:dyDescent="0.3">
      <c r="A92" s="139" t="s">
        <v>2893</v>
      </c>
      <c r="B92" s="3300" t="s">
        <v>1230</v>
      </c>
      <c r="C92" s="3358" t="s">
        <v>3205</v>
      </c>
      <c r="D92" s="3447" t="s">
        <v>80</v>
      </c>
      <c r="E92" s="3448" t="s">
        <v>80</v>
      </c>
      <c r="F92" s="3369" t="s">
        <v>2919</v>
      </c>
      <c r="G92" s="3386">
        <v>1830</v>
      </c>
      <c r="H92" s="3234">
        <v>0</v>
      </c>
      <c r="I92" s="4306">
        <v>0</v>
      </c>
      <c r="J92" s="3732">
        <v>0</v>
      </c>
      <c r="K92" s="3732">
        <v>1830</v>
      </c>
      <c r="L92" s="3721">
        <v>0</v>
      </c>
      <c r="M92" s="3613">
        <v>0</v>
      </c>
      <c r="N92" s="3375">
        <v>1830</v>
      </c>
      <c r="O92" s="3541">
        <v>0</v>
      </c>
      <c r="P92" s="3487">
        <f t="shared" si="4"/>
        <v>1830</v>
      </c>
      <c r="Q92" s="3417">
        <v>0</v>
      </c>
      <c r="R92" s="3648">
        <v>0</v>
      </c>
      <c r="S92" s="3442">
        <v>0</v>
      </c>
      <c r="T92" s="3458">
        <v>0</v>
      </c>
      <c r="U92" s="3362">
        <v>0</v>
      </c>
      <c r="V92" s="3364">
        <v>0</v>
      </c>
      <c r="W92" s="3677">
        <v>0</v>
      </c>
      <c r="X92" s="3458">
        <v>0</v>
      </c>
      <c r="Y92" s="3458">
        <v>0</v>
      </c>
      <c r="Z92" s="3677">
        <v>0</v>
      </c>
      <c r="AA92" s="3362">
        <v>0</v>
      </c>
      <c r="AB92" s="3461" t="s">
        <v>1209</v>
      </c>
      <c r="AC92" s="3447" t="s">
        <v>43</v>
      </c>
      <c r="AD92" s="3044" t="s">
        <v>2610</v>
      </c>
      <c r="AE92" s="128" t="s">
        <v>1283</v>
      </c>
      <c r="AF92" s="3463" t="s">
        <v>1283</v>
      </c>
      <c r="AG92" s="3044" t="s">
        <v>1447</v>
      </c>
      <c r="AH92" s="3728" t="s">
        <v>2940</v>
      </c>
    </row>
    <row r="93" spans="1:34" ht="30.75" outlineLevel="1" thickBot="1" x14ac:dyDescent="0.3">
      <c r="A93" s="139" t="s">
        <v>3003</v>
      </c>
      <c r="B93" s="3300" t="s">
        <v>3119</v>
      </c>
      <c r="C93" s="3358" t="s">
        <v>3206</v>
      </c>
      <c r="D93" s="3447" t="s">
        <v>80</v>
      </c>
      <c r="E93" s="3448" t="s">
        <v>80</v>
      </c>
      <c r="F93" s="3369" t="s">
        <v>3004</v>
      </c>
      <c r="G93" s="3386">
        <v>26462</v>
      </c>
      <c r="H93" s="3234">
        <v>18412.647010000001</v>
      </c>
      <c r="I93" s="4306">
        <v>0</v>
      </c>
      <c r="J93" s="3442">
        <v>0</v>
      </c>
      <c r="K93" s="3442">
        <v>8049.3529899999994</v>
      </c>
      <c r="L93" s="3458">
        <v>0</v>
      </c>
      <c r="M93" s="3416">
        <v>0</v>
      </c>
      <c r="N93" s="3375">
        <v>8049.3529899999994</v>
      </c>
      <c r="O93" s="3763">
        <v>0</v>
      </c>
      <c r="P93" s="3487">
        <f t="shared" si="4"/>
        <v>8049.3529899999994</v>
      </c>
      <c r="Q93" s="3417">
        <v>0</v>
      </c>
      <c r="R93" s="3648">
        <v>0</v>
      </c>
      <c r="S93" s="3442">
        <v>0</v>
      </c>
      <c r="T93" s="3458">
        <v>0</v>
      </c>
      <c r="U93" s="3362">
        <v>0</v>
      </c>
      <c r="V93" s="3364">
        <v>0</v>
      </c>
      <c r="W93" s="3677">
        <v>0</v>
      </c>
      <c r="X93" s="3458">
        <v>0</v>
      </c>
      <c r="Y93" s="3458">
        <v>0</v>
      </c>
      <c r="Z93" s="3677">
        <v>0</v>
      </c>
      <c r="AA93" s="3362">
        <v>0</v>
      </c>
      <c r="AB93" s="3914" t="s">
        <v>1209</v>
      </c>
      <c r="AC93" s="3447" t="s">
        <v>33</v>
      </c>
      <c r="AD93" s="327" t="s">
        <v>2610</v>
      </c>
      <c r="AE93" s="128" t="s">
        <v>1283</v>
      </c>
      <c r="AF93" s="3463" t="s">
        <v>1283</v>
      </c>
      <c r="AG93" s="3044" t="s">
        <v>1447</v>
      </c>
      <c r="AH93" s="3713" t="s">
        <v>2932</v>
      </c>
    </row>
    <row r="94" spans="1:34" ht="30.75" outlineLevel="1" thickBot="1" x14ac:dyDescent="0.3">
      <c r="A94" s="2386" t="s">
        <v>3005</v>
      </c>
      <c r="B94" s="4322" t="s">
        <v>1230</v>
      </c>
      <c r="C94" s="4323" t="s">
        <v>3206</v>
      </c>
      <c r="D94" s="62" t="s">
        <v>80</v>
      </c>
      <c r="E94" s="656" t="s">
        <v>80</v>
      </c>
      <c r="F94" s="4324" t="s">
        <v>3006</v>
      </c>
      <c r="G94" s="184">
        <v>2000</v>
      </c>
      <c r="H94" s="3234">
        <v>0</v>
      </c>
      <c r="I94" s="4131">
        <v>0</v>
      </c>
      <c r="J94" s="3436">
        <v>0</v>
      </c>
      <c r="K94" s="3437">
        <v>0</v>
      </c>
      <c r="L94" s="3437">
        <v>0</v>
      </c>
      <c r="M94" s="4325">
        <v>2000</v>
      </c>
      <c r="N94" s="3374">
        <v>2000</v>
      </c>
      <c r="O94" s="3541">
        <v>0</v>
      </c>
      <c r="P94" s="3486">
        <f t="shared" si="4"/>
        <v>2000</v>
      </c>
      <c r="Q94" s="3516">
        <v>0</v>
      </c>
      <c r="R94" s="4326">
        <v>0</v>
      </c>
      <c r="S94" s="3436">
        <v>0</v>
      </c>
      <c r="T94" s="3437">
        <v>0</v>
      </c>
      <c r="U94" s="2609">
        <v>0</v>
      </c>
      <c r="V94" s="3615">
        <v>0</v>
      </c>
      <c r="W94" s="3687">
        <v>0</v>
      </c>
      <c r="X94" s="3437">
        <v>0</v>
      </c>
      <c r="Y94" s="3437">
        <v>0</v>
      </c>
      <c r="Z94" s="3687">
        <v>0</v>
      </c>
      <c r="AA94" s="2609">
        <v>0</v>
      </c>
      <c r="AB94" s="3914" t="s">
        <v>1209</v>
      </c>
      <c r="AC94" s="3447" t="s">
        <v>33</v>
      </c>
      <c r="AD94" s="487" t="s">
        <v>2610</v>
      </c>
      <c r="AE94" s="128" t="s">
        <v>1282</v>
      </c>
      <c r="AF94" s="2610" t="s">
        <v>1282</v>
      </c>
      <c r="AG94" s="327" t="s">
        <v>1446</v>
      </c>
      <c r="AH94" s="656" t="s">
        <v>2940</v>
      </c>
    </row>
    <row r="95" spans="1:34" ht="38.25" outlineLevel="1" x14ac:dyDescent="0.25">
      <c r="A95" s="3045" t="s">
        <v>3207</v>
      </c>
      <c r="B95" s="3915" t="s">
        <v>1230</v>
      </c>
      <c r="C95" s="3916" t="s">
        <v>1209</v>
      </c>
      <c r="D95" s="932" t="s">
        <v>80</v>
      </c>
      <c r="E95" s="3049" t="s">
        <v>80</v>
      </c>
      <c r="F95" s="3917" t="s">
        <v>3208</v>
      </c>
      <c r="G95" s="1025">
        <v>4492</v>
      </c>
      <c r="H95" s="3235">
        <v>0</v>
      </c>
      <c r="I95" s="4307">
        <v>0</v>
      </c>
      <c r="J95" s="3918">
        <v>0</v>
      </c>
      <c r="K95" s="3919">
        <v>4492</v>
      </c>
      <c r="L95" s="3919">
        <v>0</v>
      </c>
      <c r="M95" s="3920">
        <v>0</v>
      </c>
      <c r="N95" s="3375">
        <v>0</v>
      </c>
      <c r="O95" s="3921">
        <v>4492</v>
      </c>
      <c r="P95" s="3487">
        <f t="shared" si="4"/>
        <v>4492</v>
      </c>
      <c r="Q95" s="3922">
        <v>0</v>
      </c>
      <c r="R95" s="3923">
        <v>0</v>
      </c>
      <c r="S95" s="3918">
        <v>0</v>
      </c>
      <c r="T95" s="3919">
        <v>0</v>
      </c>
      <c r="U95" s="3925">
        <v>0</v>
      </c>
      <c r="V95" s="3926">
        <v>0</v>
      </c>
      <c r="W95" s="3919">
        <v>0</v>
      </c>
      <c r="X95" s="3919">
        <v>0</v>
      </c>
      <c r="Y95" s="3919">
        <v>0</v>
      </c>
      <c r="Z95" s="3927">
        <v>0</v>
      </c>
      <c r="AA95" s="3925">
        <v>0</v>
      </c>
      <c r="AB95" s="3928" t="s">
        <v>3209</v>
      </c>
      <c r="AC95" s="932" t="s">
        <v>33</v>
      </c>
      <c r="AD95" s="3929" t="s">
        <v>2833</v>
      </c>
      <c r="AE95" s="3094" t="s">
        <v>1283</v>
      </c>
      <c r="AF95" s="3050" t="s">
        <v>1282</v>
      </c>
      <c r="AG95" s="2925" t="s">
        <v>1447</v>
      </c>
      <c r="AH95" s="3047" t="s">
        <v>2927</v>
      </c>
    </row>
    <row r="96" spans="1:34" ht="63.75" outlineLevel="1" x14ac:dyDescent="0.25">
      <c r="A96" s="3042" t="s">
        <v>3210</v>
      </c>
      <c r="B96" s="3930" t="s">
        <v>1230</v>
      </c>
      <c r="C96" s="3931" t="s">
        <v>1209</v>
      </c>
      <c r="D96" s="941" t="s">
        <v>80</v>
      </c>
      <c r="E96" s="3047" t="s">
        <v>80</v>
      </c>
      <c r="F96" s="3932" t="s">
        <v>3211</v>
      </c>
      <c r="G96" s="1222">
        <v>30000</v>
      </c>
      <c r="H96" s="3248">
        <v>0</v>
      </c>
      <c r="I96" s="4308">
        <v>0</v>
      </c>
      <c r="J96" s="3933">
        <v>0</v>
      </c>
      <c r="K96" s="3934">
        <v>0</v>
      </c>
      <c r="L96" s="3934">
        <v>1000</v>
      </c>
      <c r="M96" s="3935">
        <v>2000</v>
      </c>
      <c r="N96" s="3464">
        <v>0</v>
      </c>
      <c r="O96" s="3290">
        <v>3000</v>
      </c>
      <c r="P96" s="3759">
        <f t="shared" si="4"/>
        <v>3000</v>
      </c>
      <c r="Q96" s="3936">
        <v>15000</v>
      </c>
      <c r="R96" s="3937">
        <v>12000</v>
      </c>
      <c r="S96" s="3933">
        <v>0</v>
      </c>
      <c r="T96" s="3934">
        <v>0</v>
      </c>
      <c r="U96" s="3938">
        <v>0</v>
      </c>
      <c r="V96" s="3939">
        <v>0</v>
      </c>
      <c r="W96" s="3934">
        <v>0</v>
      </c>
      <c r="X96" s="3934">
        <v>0</v>
      </c>
      <c r="Y96" s="3934">
        <v>0</v>
      </c>
      <c r="Z96" s="3940">
        <v>0</v>
      </c>
      <c r="AA96" s="3938">
        <v>0</v>
      </c>
      <c r="AB96" s="3928" t="s">
        <v>3212</v>
      </c>
      <c r="AC96" s="941" t="s">
        <v>33</v>
      </c>
      <c r="AD96" s="3941" t="s">
        <v>2797</v>
      </c>
      <c r="AE96" s="2925" t="s">
        <v>1282</v>
      </c>
      <c r="AF96" s="3050" t="s">
        <v>1282</v>
      </c>
      <c r="AG96" s="2925" t="s">
        <v>1447</v>
      </c>
      <c r="AH96" s="3047" t="s">
        <v>2926</v>
      </c>
    </row>
    <row r="97" spans="1:34" outlineLevel="1" x14ac:dyDescent="0.25">
      <c r="A97" s="3043" t="s">
        <v>3213</v>
      </c>
      <c r="B97" s="3942" t="s">
        <v>1230</v>
      </c>
      <c r="C97" s="3943" t="s">
        <v>1209</v>
      </c>
      <c r="D97" s="933" t="s">
        <v>80</v>
      </c>
      <c r="E97" s="2858" t="s">
        <v>80</v>
      </c>
      <c r="F97" s="3944" t="s">
        <v>3214</v>
      </c>
      <c r="G97" s="973">
        <v>67196</v>
      </c>
      <c r="H97" s="3249">
        <v>0</v>
      </c>
      <c r="I97" s="4309">
        <v>0</v>
      </c>
      <c r="J97" s="3945">
        <v>0</v>
      </c>
      <c r="K97" s="3946">
        <v>0</v>
      </c>
      <c r="L97" s="3946">
        <v>0</v>
      </c>
      <c r="M97" s="3947">
        <v>0</v>
      </c>
      <c r="N97" s="3465">
        <v>0</v>
      </c>
      <c r="O97" s="3948">
        <v>0</v>
      </c>
      <c r="P97" s="3760">
        <f t="shared" si="4"/>
        <v>0</v>
      </c>
      <c r="Q97" s="3949">
        <v>67196</v>
      </c>
      <c r="R97" s="3950">
        <v>0</v>
      </c>
      <c r="S97" s="3945">
        <v>0</v>
      </c>
      <c r="T97" s="3946">
        <v>0</v>
      </c>
      <c r="U97" s="3952">
        <v>0</v>
      </c>
      <c r="V97" s="3953">
        <v>0</v>
      </c>
      <c r="W97" s="3946">
        <v>0</v>
      </c>
      <c r="X97" s="3946">
        <v>0</v>
      </c>
      <c r="Y97" s="3946">
        <v>0</v>
      </c>
      <c r="Z97" s="3954">
        <v>0</v>
      </c>
      <c r="AA97" s="3952">
        <v>0</v>
      </c>
      <c r="AB97" s="3277" t="s">
        <v>3215</v>
      </c>
      <c r="AC97" s="933" t="s">
        <v>33</v>
      </c>
      <c r="AD97" s="3955" t="s">
        <v>3216</v>
      </c>
      <c r="AE97" s="2642" t="s">
        <v>1282</v>
      </c>
      <c r="AF97" s="3052" t="s">
        <v>1282</v>
      </c>
      <c r="AG97" s="2642" t="s">
        <v>1448</v>
      </c>
      <c r="AH97" s="2858" t="s">
        <v>2930</v>
      </c>
    </row>
    <row r="98" spans="1:34" ht="30" outlineLevel="1" x14ac:dyDescent="0.25">
      <c r="A98" s="3043" t="s">
        <v>3217</v>
      </c>
      <c r="B98" s="3942" t="s">
        <v>1230</v>
      </c>
      <c r="C98" s="3943" t="s">
        <v>1209</v>
      </c>
      <c r="D98" s="933" t="s">
        <v>80</v>
      </c>
      <c r="E98" s="2858" t="s">
        <v>80</v>
      </c>
      <c r="F98" s="3944" t="s">
        <v>3218</v>
      </c>
      <c r="G98" s="973">
        <v>16284</v>
      </c>
      <c r="H98" s="3249">
        <v>0</v>
      </c>
      <c r="I98" s="4309">
        <v>0</v>
      </c>
      <c r="J98" s="3945">
        <v>0</v>
      </c>
      <c r="K98" s="3946">
        <v>0</v>
      </c>
      <c r="L98" s="3946">
        <v>0</v>
      </c>
      <c r="M98" s="3947">
        <v>16284</v>
      </c>
      <c r="N98" s="3465">
        <v>0</v>
      </c>
      <c r="O98" s="3948">
        <v>16284</v>
      </c>
      <c r="P98" s="3760">
        <f t="shared" ref="P98:P102" si="5">N98+O98</f>
        <v>16284</v>
      </c>
      <c r="Q98" s="3949">
        <v>0</v>
      </c>
      <c r="R98" s="3950">
        <v>0</v>
      </c>
      <c r="S98" s="3945">
        <v>0</v>
      </c>
      <c r="T98" s="3946">
        <v>0</v>
      </c>
      <c r="U98" s="3952">
        <v>0</v>
      </c>
      <c r="V98" s="3953">
        <v>0</v>
      </c>
      <c r="W98" s="3946">
        <v>0</v>
      </c>
      <c r="X98" s="3946">
        <v>0</v>
      </c>
      <c r="Y98" s="3946">
        <v>0</v>
      </c>
      <c r="Z98" s="3954">
        <v>0</v>
      </c>
      <c r="AA98" s="3952">
        <v>0</v>
      </c>
      <c r="AB98" s="3277" t="s">
        <v>3219</v>
      </c>
      <c r="AC98" s="933" t="s">
        <v>33</v>
      </c>
      <c r="AD98" s="3955" t="s">
        <v>2797</v>
      </c>
      <c r="AE98" s="2642" t="s">
        <v>1282</v>
      </c>
      <c r="AF98" s="3052" t="s">
        <v>1282</v>
      </c>
      <c r="AG98" s="2642" t="s">
        <v>1447</v>
      </c>
      <c r="AH98" s="2858" t="s">
        <v>2932</v>
      </c>
    </row>
    <row r="99" spans="1:34" ht="25.5" outlineLevel="1" x14ac:dyDescent="0.25">
      <c r="A99" s="3043" t="s">
        <v>3220</v>
      </c>
      <c r="B99" s="3942" t="s">
        <v>1230</v>
      </c>
      <c r="C99" s="3943" t="s">
        <v>1209</v>
      </c>
      <c r="D99" s="933" t="s">
        <v>80</v>
      </c>
      <c r="E99" s="2858" t="s">
        <v>80</v>
      </c>
      <c r="F99" s="3944" t="s">
        <v>3221</v>
      </c>
      <c r="G99" s="973">
        <v>31249</v>
      </c>
      <c r="H99" s="3249">
        <v>0</v>
      </c>
      <c r="I99" s="4309">
        <v>0</v>
      </c>
      <c r="J99" s="3945">
        <v>0</v>
      </c>
      <c r="K99" s="3946">
        <v>0</v>
      </c>
      <c r="L99" s="3946">
        <v>0</v>
      </c>
      <c r="M99" s="3947">
        <v>0</v>
      </c>
      <c r="N99" s="3465">
        <v>0</v>
      </c>
      <c r="O99" s="3948">
        <v>0</v>
      </c>
      <c r="P99" s="3760">
        <f t="shared" si="5"/>
        <v>0</v>
      </c>
      <c r="Q99" s="3949">
        <v>31249</v>
      </c>
      <c r="R99" s="3950">
        <v>0</v>
      </c>
      <c r="S99" s="3945">
        <v>0</v>
      </c>
      <c r="T99" s="3946">
        <v>0</v>
      </c>
      <c r="U99" s="3952">
        <v>0</v>
      </c>
      <c r="V99" s="3953">
        <v>0</v>
      </c>
      <c r="W99" s="3946">
        <v>0</v>
      </c>
      <c r="X99" s="3946">
        <v>0</v>
      </c>
      <c r="Y99" s="3946">
        <v>0</v>
      </c>
      <c r="Z99" s="3954">
        <v>0</v>
      </c>
      <c r="AA99" s="3952">
        <v>0</v>
      </c>
      <c r="AB99" s="3277" t="s">
        <v>3219</v>
      </c>
      <c r="AC99" s="933" t="s">
        <v>33</v>
      </c>
      <c r="AD99" s="3955" t="s">
        <v>3216</v>
      </c>
      <c r="AE99" s="2642" t="s">
        <v>1282</v>
      </c>
      <c r="AF99" s="3052" t="s">
        <v>1282</v>
      </c>
      <c r="AG99" s="2642" t="s">
        <v>1448</v>
      </c>
      <c r="AH99" s="2858" t="s">
        <v>2938</v>
      </c>
    </row>
    <row r="100" spans="1:34" ht="25.5" outlineLevel="1" x14ac:dyDescent="0.25">
      <c r="A100" s="3043" t="s">
        <v>3222</v>
      </c>
      <c r="B100" s="3942" t="s">
        <v>1230</v>
      </c>
      <c r="C100" s="3943" t="s">
        <v>1209</v>
      </c>
      <c r="D100" s="933" t="s">
        <v>80</v>
      </c>
      <c r="E100" s="2858" t="s">
        <v>80</v>
      </c>
      <c r="F100" s="3944" t="s">
        <v>3223</v>
      </c>
      <c r="G100" s="973">
        <v>30912</v>
      </c>
      <c r="H100" s="3249">
        <v>0</v>
      </c>
      <c r="I100" s="4309">
        <v>0</v>
      </c>
      <c r="J100" s="3945">
        <v>0</v>
      </c>
      <c r="K100" s="3946">
        <v>0</v>
      </c>
      <c r="L100" s="3946">
        <v>0</v>
      </c>
      <c r="M100" s="3947">
        <v>0</v>
      </c>
      <c r="N100" s="3465">
        <v>0</v>
      </c>
      <c r="O100" s="3948">
        <v>0</v>
      </c>
      <c r="P100" s="3760">
        <f t="shared" si="5"/>
        <v>0</v>
      </c>
      <c r="Q100" s="3949">
        <v>30912</v>
      </c>
      <c r="R100" s="3950">
        <v>0</v>
      </c>
      <c r="S100" s="3945">
        <v>0</v>
      </c>
      <c r="T100" s="3946">
        <v>0</v>
      </c>
      <c r="U100" s="3952">
        <v>0</v>
      </c>
      <c r="V100" s="3953">
        <v>0</v>
      </c>
      <c r="W100" s="3946">
        <v>0</v>
      </c>
      <c r="X100" s="3946">
        <v>0</v>
      </c>
      <c r="Y100" s="3946">
        <v>0</v>
      </c>
      <c r="Z100" s="3954">
        <v>0</v>
      </c>
      <c r="AA100" s="3952">
        <v>0</v>
      </c>
      <c r="AB100" s="3277" t="s">
        <v>3224</v>
      </c>
      <c r="AC100" s="933" t="s">
        <v>33</v>
      </c>
      <c r="AD100" s="3955" t="s">
        <v>3216</v>
      </c>
      <c r="AE100" s="2642" t="s">
        <v>1282</v>
      </c>
      <c r="AF100" s="3052" t="s">
        <v>1282</v>
      </c>
      <c r="AG100" s="2642" t="s">
        <v>1448</v>
      </c>
      <c r="AH100" s="2858" t="s">
        <v>3225</v>
      </c>
    </row>
    <row r="101" spans="1:34" ht="25.5" outlineLevel="1" x14ac:dyDescent="0.25">
      <c r="A101" s="3043" t="s">
        <v>3226</v>
      </c>
      <c r="B101" s="3942" t="s">
        <v>1230</v>
      </c>
      <c r="C101" s="3943" t="s">
        <v>1209</v>
      </c>
      <c r="D101" s="933" t="s">
        <v>80</v>
      </c>
      <c r="E101" s="2858" t="s">
        <v>80</v>
      </c>
      <c r="F101" s="3944" t="s">
        <v>3227</v>
      </c>
      <c r="G101" s="973">
        <v>907.5</v>
      </c>
      <c r="H101" s="3249">
        <v>0</v>
      </c>
      <c r="I101" s="4309">
        <v>0</v>
      </c>
      <c r="J101" s="3945">
        <v>0</v>
      </c>
      <c r="K101" s="3946">
        <v>0</v>
      </c>
      <c r="L101" s="3946">
        <v>0</v>
      </c>
      <c r="M101" s="3947">
        <f>908-0.5</f>
        <v>907.5</v>
      </c>
      <c r="N101" s="3465">
        <v>0</v>
      </c>
      <c r="O101" s="3948">
        <f>908-0.5</f>
        <v>907.5</v>
      </c>
      <c r="P101" s="3760">
        <f t="shared" si="5"/>
        <v>907.5</v>
      </c>
      <c r="Q101" s="3949">
        <v>0</v>
      </c>
      <c r="R101" s="3950">
        <v>0</v>
      </c>
      <c r="S101" s="3945">
        <v>0</v>
      </c>
      <c r="T101" s="3946">
        <v>0</v>
      </c>
      <c r="U101" s="3952">
        <v>0</v>
      </c>
      <c r="V101" s="3953">
        <v>0</v>
      </c>
      <c r="W101" s="3946">
        <v>0</v>
      </c>
      <c r="X101" s="3946">
        <v>0</v>
      </c>
      <c r="Y101" s="3946">
        <v>0</v>
      </c>
      <c r="Z101" s="3954">
        <v>0</v>
      </c>
      <c r="AA101" s="3952">
        <v>0</v>
      </c>
      <c r="AB101" s="3277" t="s">
        <v>3228</v>
      </c>
      <c r="AC101" s="933" t="s">
        <v>33</v>
      </c>
      <c r="AD101" s="3955" t="s">
        <v>2797</v>
      </c>
      <c r="AE101" s="2642" t="s">
        <v>1282</v>
      </c>
      <c r="AF101" s="3052" t="s">
        <v>1282</v>
      </c>
      <c r="AG101" s="2642" t="s">
        <v>1447</v>
      </c>
      <c r="AH101" s="2858" t="s">
        <v>2926</v>
      </c>
    </row>
    <row r="102" spans="1:34" ht="30" outlineLevel="1" x14ac:dyDescent="0.25">
      <c r="A102" s="3042" t="s">
        <v>3229</v>
      </c>
      <c r="B102" s="3930" t="s">
        <v>1230</v>
      </c>
      <c r="C102" s="3931" t="s">
        <v>1209</v>
      </c>
      <c r="D102" s="941" t="s">
        <v>80</v>
      </c>
      <c r="E102" s="3047" t="s">
        <v>80</v>
      </c>
      <c r="F102" s="3932" t="s">
        <v>3230</v>
      </c>
      <c r="G102" s="1222">
        <v>5885</v>
      </c>
      <c r="H102" s="3248">
        <v>0</v>
      </c>
      <c r="I102" s="4308">
        <v>0</v>
      </c>
      <c r="J102" s="3933">
        <v>0</v>
      </c>
      <c r="K102" s="3934">
        <v>1000</v>
      </c>
      <c r="L102" s="3934">
        <v>1000</v>
      </c>
      <c r="M102" s="3935">
        <v>3885</v>
      </c>
      <c r="N102" s="3464">
        <v>0</v>
      </c>
      <c r="O102" s="3290">
        <v>5885</v>
      </c>
      <c r="P102" s="3759">
        <f t="shared" si="5"/>
        <v>5885</v>
      </c>
      <c r="Q102" s="3936">
        <v>0</v>
      </c>
      <c r="R102" s="3937">
        <v>0</v>
      </c>
      <c r="S102" s="3933">
        <v>0</v>
      </c>
      <c r="T102" s="3934">
        <v>0</v>
      </c>
      <c r="U102" s="3938">
        <v>0</v>
      </c>
      <c r="V102" s="3939">
        <v>0</v>
      </c>
      <c r="W102" s="3934">
        <v>0</v>
      </c>
      <c r="X102" s="3934">
        <v>0</v>
      </c>
      <c r="Y102" s="3934">
        <v>0</v>
      </c>
      <c r="Z102" s="3940">
        <v>0</v>
      </c>
      <c r="AA102" s="3938">
        <v>0</v>
      </c>
      <c r="AB102" s="3928" t="s">
        <v>3231</v>
      </c>
      <c r="AC102" s="941" t="s">
        <v>33</v>
      </c>
      <c r="AD102" s="3941" t="s">
        <v>2833</v>
      </c>
      <c r="AE102" s="2925" t="s">
        <v>1282</v>
      </c>
      <c r="AF102" s="3050" t="s">
        <v>1282</v>
      </c>
      <c r="AG102" s="2925" t="s">
        <v>1447</v>
      </c>
      <c r="AH102" s="3047" t="s">
        <v>2926</v>
      </c>
    </row>
    <row r="103" spans="1:34" s="3647" customFormat="1" ht="15.75" outlineLevel="1" thickBot="1" x14ac:dyDescent="0.3">
      <c r="A103" s="3420" t="s">
        <v>1361</v>
      </c>
      <c r="B103" s="2440" t="s">
        <v>1361</v>
      </c>
      <c r="C103" s="3460" t="s">
        <v>1361</v>
      </c>
      <c r="D103" s="3728" t="s">
        <v>1361</v>
      </c>
      <c r="E103" s="3728" t="s">
        <v>1361</v>
      </c>
      <c r="F103" s="3098" t="s">
        <v>1361</v>
      </c>
      <c r="G103" s="3419" t="s">
        <v>1361</v>
      </c>
      <c r="H103" s="3418" t="s">
        <v>1361</v>
      </c>
      <c r="I103" s="3707" t="s">
        <v>1361</v>
      </c>
      <c r="J103" s="3054" t="s">
        <v>1361</v>
      </c>
      <c r="K103" s="2824" t="s">
        <v>1361</v>
      </c>
      <c r="L103" s="2824" t="s">
        <v>1361</v>
      </c>
      <c r="M103" s="2624" t="s">
        <v>1361</v>
      </c>
      <c r="N103" s="2624" t="s">
        <v>1361</v>
      </c>
      <c r="O103" s="2827" t="s">
        <v>1361</v>
      </c>
      <c r="P103" s="1243" t="s">
        <v>1361</v>
      </c>
      <c r="Q103" s="3067" t="s">
        <v>1361</v>
      </c>
      <c r="R103" s="1243" t="s">
        <v>1361</v>
      </c>
      <c r="S103" s="3054" t="s">
        <v>1361</v>
      </c>
      <c r="T103" s="2824" t="s">
        <v>1361</v>
      </c>
      <c r="U103" s="2822" t="s">
        <v>1361</v>
      </c>
      <c r="V103" s="3238" t="s">
        <v>1361</v>
      </c>
      <c r="W103" s="2836" t="s">
        <v>1361</v>
      </c>
      <c r="X103" s="2825" t="s">
        <v>1361</v>
      </c>
      <c r="Y103" s="2825" t="s">
        <v>1361</v>
      </c>
      <c r="Z103" s="2828" t="s">
        <v>1361</v>
      </c>
      <c r="AA103" s="2624" t="s">
        <v>1361</v>
      </c>
      <c r="AB103" s="2624" t="s">
        <v>1361</v>
      </c>
      <c r="AC103" s="3460" t="s">
        <v>1361</v>
      </c>
      <c r="AD103" s="350" t="s">
        <v>1361</v>
      </c>
      <c r="AE103" s="350" t="s">
        <v>1361</v>
      </c>
      <c r="AF103" s="350" t="s">
        <v>1361</v>
      </c>
      <c r="AG103" s="174" t="s">
        <v>1361</v>
      </c>
      <c r="AH103" s="3728" t="s">
        <v>1361</v>
      </c>
    </row>
    <row r="104" spans="1:34" ht="26.25" thickBot="1" x14ac:dyDescent="0.3">
      <c r="A104" s="2310" t="s">
        <v>1209</v>
      </c>
      <c r="B104" s="3627" t="s">
        <v>1209</v>
      </c>
      <c r="C104" s="140" t="s">
        <v>1209</v>
      </c>
      <c r="D104" s="3717" t="s">
        <v>1209</v>
      </c>
      <c r="E104" s="3717" t="s">
        <v>1209</v>
      </c>
      <c r="F104" s="2621" t="s">
        <v>1465</v>
      </c>
      <c r="G104" s="3741">
        <f t="shared" ref="G104:AA104" si="6">SUM(G34:G103)</f>
        <v>2573764.8128900002</v>
      </c>
      <c r="H104" s="3741">
        <f t="shared" si="6"/>
        <v>862518.1612999998</v>
      </c>
      <c r="I104" s="2814">
        <f t="shared" si="6"/>
        <v>0</v>
      </c>
      <c r="J104" s="2814">
        <f t="shared" si="6"/>
        <v>47818.922160000002</v>
      </c>
      <c r="K104" s="2815">
        <f t="shared" si="6"/>
        <v>114449.79063</v>
      </c>
      <c r="L104" s="2815">
        <f t="shared" si="6"/>
        <v>130243</v>
      </c>
      <c r="M104" s="3453">
        <f t="shared" si="6"/>
        <v>213440.55583</v>
      </c>
      <c r="N104" s="3741">
        <f t="shared" si="6"/>
        <v>602138.46273999999</v>
      </c>
      <c r="O104" s="3741">
        <f t="shared" si="6"/>
        <v>-96186.19412</v>
      </c>
      <c r="P104" s="3741">
        <f t="shared" si="6"/>
        <v>505952.26861999993</v>
      </c>
      <c r="Q104" s="3741">
        <f t="shared" si="6"/>
        <v>519785.60408000002</v>
      </c>
      <c r="R104" s="3741">
        <f t="shared" si="6"/>
        <v>678824.18261000002</v>
      </c>
      <c r="S104" s="2814">
        <f t="shared" si="6"/>
        <v>5000</v>
      </c>
      <c r="T104" s="2815">
        <f t="shared" si="6"/>
        <v>1684.59628</v>
      </c>
      <c r="U104" s="3453">
        <f t="shared" si="6"/>
        <v>0</v>
      </c>
      <c r="V104" s="2814">
        <f t="shared" si="6"/>
        <v>269921.26763999998</v>
      </c>
      <c r="W104" s="2815">
        <f t="shared" si="6"/>
        <v>20789.978940000001</v>
      </c>
      <c r="X104" s="2815">
        <f t="shared" si="6"/>
        <v>0</v>
      </c>
      <c r="Y104" s="2815">
        <f t="shared" si="6"/>
        <v>190578.25305999999</v>
      </c>
      <c r="Z104" s="2815">
        <f t="shared" si="6"/>
        <v>58553.035640000002</v>
      </c>
      <c r="AA104" s="3453">
        <f t="shared" si="6"/>
        <v>0</v>
      </c>
      <c r="AB104" s="114" t="s">
        <v>3143</v>
      </c>
      <c r="AC104" s="140" t="s">
        <v>1209</v>
      </c>
      <c r="AD104" s="3469" t="s">
        <v>1209</v>
      </c>
      <c r="AE104" s="1506" t="s">
        <v>1209</v>
      </c>
      <c r="AF104" s="3469" t="s">
        <v>1209</v>
      </c>
      <c r="AG104" s="602" t="s">
        <v>1209</v>
      </c>
      <c r="AH104" s="4419" t="s">
        <v>1209</v>
      </c>
    </row>
    <row r="105" spans="1:34" ht="30" outlineLevel="1" x14ac:dyDescent="0.25">
      <c r="A105" s="3712" t="s">
        <v>3070</v>
      </c>
      <c r="B105" s="3391" t="s">
        <v>173</v>
      </c>
      <c r="C105" s="3736" t="s">
        <v>1714</v>
      </c>
      <c r="D105" s="3713" t="s">
        <v>26</v>
      </c>
      <c r="E105" s="101" t="s">
        <v>174</v>
      </c>
      <c r="F105" s="1226" t="s">
        <v>175</v>
      </c>
      <c r="G105" s="3381">
        <v>17735.187600000001</v>
      </c>
      <c r="H105" s="3746">
        <v>17014.405350000001</v>
      </c>
      <c r="I105" s="3785">
        <v>0</v>
      </c>
      <c r="J105" s="3232">
        <v>0</v>
      </c>
      <c r="K105" s="3452">
        <v>0</v>
      </c>
      <c r="L105" s="3452">
        <v>0</v>
      </c>
      <c r="M105" s="17">
        <v>0</v>
      </c>
      <c r="N105" s="3464">
        <v>0</v>
      </c>
      <c r="O105" s="3763">
        <v>0</v>
      </c>
      <c r="P105" s="3759">
        <f t="shared" ref="P105:P162" si="7">N105+O105</f>
        <v>0</v>
      </c>
      <c r="Q105" s="3446">
        <v>720.78224999999998</v>
      </c>
      <c r="R105" s="6">
        <v>0</v>
      </c>
      <c r="S105" s="3232">
        <v>0</v>
      </c>
      <c r="T105" s="3452">
        <v>0</v>
      </c>
      <c r="U105" s="3392">
        <v>0</v>
      </c>
      <c r="V105" s="3442">
        <v>0</v>
      </c>
      <c r="W105" s="3677">
        <v>0</v>
      </c>
      <c r="X105" s="3677">
        <v>0</v>
      </c>
      <c r="Y105" s="3677">
        <v>0</v>
      </c>
      <c r="Z105" s="3765">
        <v>0</v>
      </c>
      <c r="AA105" s="3455">
        <v>0</v>
      </c>
      <c r="AB105" s="3736" t="s">
        <v>2864</v>
      </c>
      <c r="AC105" s="3736" t="s">
        <v>2708</v>
      </c>
      <c r="AD105" s="3397" t="s">
        <v>2462</v>
      </c>
      <c r="AE105" s="3397" t="s">
        <v>1283</v>
      </c>
      <c r="AF105" s="3397" t="s">
        <v>1283</v>
      </c>
      <c r="AG105" s="3729" t="s">
        <v>1452</v>
      </c>
      <c r="AH105" s="3713" t="s">
        <v>2957</v>
      </c>
    </row>
    <row r="106" spans="1:34" ht="25.5" outlineLevel="1" x14ac:dyDescent="0.25">
      <c r="A106" s="3388" t="s">
        <v>3071</v>
      </c>
      <c r="B106" s="106" t="s">
        <v>179</v>
      </c>
      <c r="C106" s="93" t="s">
        <v>1713</v>
      </c>
      <c r="D106" s="92" t="s">
        <v>26</v>
      </c>
      <c r="E106" s="3751" t="s">
        <v>180</v>
      </c>
      <c r="F106" s="3667" t="s">
        <v>181</v>
      </c>
      <c r="G106" s="28">
        <f>104982.385+3149.47155+1989.802</f>
        <v>110121.65854999999</v>
      </c>
      <c r="H106" s="3748">
        <v>3677.77925</v>
      </c>
      <c r="I106" s="3767">
        <v>0</v>
      </c>
      <c r="J106" s="2812">
        <v>10000</v>
      </c>
      <c r="K106" s="1465">
        <v>15000</v>
      </c>
      <c r="L106" s="1465">
        <v>15000</v>
      </c>
      <c r="M106" s="29">
        <v>22377.95103</v>
      </c>
      <c r="N106" s="3464">
        <v>62377.951029999997</v>
      </c>
      <c r="O106" s="3763">
        <v>0</v>
      </c>
      <c r="P106" s="3760">
        <f t="shared" si="7"/>
        <v>62377.951029999997</v>
      </c>
      <c r="Q106" s="35">
        <v>44065.928269999997</v>
      </c>
      <c r="R106" s="30">
        <v>0</v>
      </c>
      <c r="S106" s="2812">
        <v>0</v>
      </c>
      <c r="T106" s="1465">
        <v>0</v>
      </c>
      <c r="U106" s="32">
        <v>0</v>
      </c>
      <c r="V106" s="3407">
        <v>105000</v>
      </c>
      <c r="W106" s="3686">
        <v>1639.57725</v>
      </c>
      <c r="X106" s="3733">
        <v>0</v>
      </c>
      <c r="Y106" s="3733">
        <v>59294.494480000001</v>
      </c>
      <c r="Z106" s="3686">
        <v>44065.928269999997</v>
      </c>
      <c r="AA106" s="3404">
        <v>0</v>
      </c>
      <c r="AB106" s="3753" t="s">
        <v>1209</v>
      </c>
      <c r="AC106" s="93" t="s">
        <v>43</v>
      </c>
      <c r="AD106" s="3664" t="s">
        <v>2435</v>
      </c>
      <c r="AE106" s="3664" t="s">
        <v>1283</v>
      </c>
      <c r="AF106" s="3664" t="s">
        <v>1283</v>
      </c>
      <c r="AG106" s="3753" t="s">
        <v>1447</v>
      </c>
      <c r="AH106" s="3751" t="s">
        <v>2926</v>
      </c>
    </row>
    <row r="107" spans="1:34" ht="30" outlineLevel="1" x14ac:dyDescent="0.25">
      <c r="A107" s="3727" t="s">
        <v>3072</v>
      </c>
      <c r="B107" s="3752" t="s">
        <v>186</v>
      </c>
      <c r="C107" s="3747" t="s">
        <v>1733</v>
      </c>
      <c r="D107" s="3751" t="s">
        <v>26</v>
      </c>
      <c r="E107" s="3747" t="s">
        <v>1834</v>
      </c>
      <c r="F107" s="1228" t="s">
        <v>3129</v>
      </c>
      <c r="G107" s="3748">
        <v>24585.773000000001</v>
      </c>
      <c r="H107" s="1768">
        <v>585.77300000000002</v>
      </c>
      <c r="I107" s="4310">
        <v>0</v>
      </c>
      <c r="J107" s="3756">
        <v>0</v>
      </c>
      <c r="K107" s="3754">
        <v>12000</v>
      </c>
      <c r="L107" s="3754">
        <v>0</v>
      </c>
      <c r="M107" s="3233">
        <v>12000</v>
      </c>
      <c r="N107" s="3464">
        <v>24000</v>
      </c>
      <c r="O107" s="3763">
        <v>0</v>
      </c>
      <c r="P107" s="3760">
        <f t="shared" si="7"/>
        <v>24000</v>
      </c>
      <c r="Q107" s="3726">
        <v>0</v>
      </c>
      <c r="R107" s="3385">
        <v>0</v>
      </c>
      <c r="S107" s="3756">
        <v>0</v>
      </c>
      <c r="T107" s="3754">
        <v>0</v>
      </c>
      <c r="U107" s="401">
        <v>0</v>
      </c>
      <c r="V107" s="3246">
        <v>0</v>
      </c>
      <c r="W107" s="3688">
        <v>0</v>
      </c>
      <c r="X107" s="3691">
        <v>0</v>
      </c>
      <c r="Y107" s="3691">
        <v>0</v>
      </c>
      <c r="Z107" s="3688">
        <v>0</v>
      </c>
      <c r="AA107" s="2800">
        <v>0</v>
      </c>
      <c r="AB107" s="3753" t="s">
        <v>1209</v>
      </c>
      <c r="AC107" s="3747" t="s">
        <v>33</v>
      </c>
      <c r="AD107" s="3462" t="s">
        <v>2833</v>
      </c>
      <c r="AE107" s="3462" t="s">
        <v>1282</v>
      </c>
      <c r="AF107" s="3462" t="s">
        <v>1282</v>
      </c>
      <c r="AG107" s="3753" t="s">
        <v>1447</v>
      </c>
      <c r="AH107" s="3751" t="s">
        <v>2922</v>
      </c>
    </row>
    <row r="108" spans="1:34" ht="25.5" outlineLevel="1" x14ac:dyDescent="0.25">
      <c r="A108" s="3712" t="s">
        <v>3073</v>
      </c>
      <c r="B108" s="3752" t="s">
        <v>187</v>
      </c>
      <c r="C108" s="3747" t="s">
        <v>2975</v>
      </c>
      <c r="D108" s="3751" t="s">
        <v>26</v>
      </c>
      <c r="E108" s="101" t="s">
        <v>188</v>
      </c>
      <c r="F108" s="1228" t="s">
        <v>189</v>
      </c>
      <c r="G108" s="3748">
        <f>69390.465+1254.802+5968.67241</f>
        <v>76613.939409999992</v>
      </c>
      <c r="H108" s="3746">
        <v>71371.520969999998</v>
      </c>
      <c r="I108" s="3766">
        <v>0</v>
      </c>
      <c r="J108" s="3756">
        <v>5242.4184400000004</v>
      </c>
      <c r="K108" s="3754">
        <v>0</v>
      </c>
      <c r="L108" s="3754">
        <v>0</v>
      </c>
      <c r="M108" s="3749">
        <v>0</v>
      </c>
      <c r="N108" s="3464">
        <v>5242.4184400000004</v>
      </c>
      <c r="O108" s="3763">
        <v>0</v>
      </c>
      <c r="P108" s="3760">
        <f t="shared" si="7"/>
        <v>5242.4184400000004</v>
      </c>
      <c r="Q108" s="3726">
        <v>0</v>
      </c>
      <c r="R108" s="3385">
        <v>0</v>
      </c>
      <c r="S108" s="3756">
        <v>0</v>
      </c>
      <c r="T108" s="3754">
        <v>0</v>
      </c>
      <c r="U108" s="3459">
        <v>0</v>
      </c>
      <c r="V108" s="3731">
        <v>55109.193650000001</v>
      </c>
      <c r="W108" s="3733">
        <v>49866.775209999993</v>
      </c>
      <c r="X108" s="3765">
        <v>0</v>
      </c>
      <c r="Y108" s="3765">
        <v>5242.4184400000086</v>
      </c>
      <c r="Z108" s="3733">
        <v>0</v>
      </c>
      <c r="AA108" s="3456">
        <v>0</v>
      </c>
      <c r="AB108" s="3753" t="s">
        <v>3232</v>
      </c>
      <c r="AC108" s="3747" t="s">
        <v>2708</v>
      </c>
      <c r="AD108" s="3462" t="s">
        <v>2366</v>
      </c>
      <c r="AE108" s="3462" t="s">
        <v>1283</v>
      </c>
      <c r="AF108" s="3462" t="s">
        <v>1283</v>
      </c>
      <c r="AG108" s="3753" t="s">
        <v>1447</v>
      </c>
      <c r="AH108" s="3751" t="s">
        <v>2929</v>
      </c>
    </row>
    <row r="109" spans="1:34" ht="38.25" outlineLevel="1" x14ac:dyDescent="0.25">
      <c r="A109" s="3712" t="s">
        <v>3074</v>
      </c>
      <c r="B109" s="3752" t="s">
        <v>190</v>
      </c>
      <c r="C109" s="3747" t="s">
        <v>1702</v>
      </c>
      <c r="D109" s="3751" t="s">
        <v>26</v>
      </c>
      <c r="E109" s="3387" t="s">
        <v>191</v>
      </c>
      <c r="F109" s="1228" t="s">
        <v>3018</v>
      </c>
      <c r="G109" s="3748">
        <v>21389</v>
      </c>
      <c r="H109" s="3746">
        <v>0</v>
      </c>
      <c r="I109" s="3766">
        <v>0</v>
      </c>
      <c r="J109" s="3756">
        <v>0</v>
      </c>
      <c r="K109" s="3754">
        <v>0</v>
      </c>
      <c r="L109" s="3754">
        <v>0</v>
      </c>
      <c r="M109" s="3749">
        <v>0</v>
      </c>
      <c r="N109" s="3464">
        <v>0</v>
      </c>
      <c r="O109" s="3763">
        <v>0</v>
      </c>
      <c r="P109" s="3760">
        <f t="shared" si="7"/>
        <v>0</v>
      </c>
      <c r="Q109" s="3726">
        <v>21389</v>
      </c>
      <c r="R109" s="3385">
        <v>0</v>
      </c>
      <c r="S109" s="3756">
        <v>0</v>
      </c>
      <c r="T109" s="3754">
        <v>0</v>
      </c>
      <c r="U109" s="401">
        <v>0</v>
      </c>
      <c r="V109" s="3246">
        <v>0</v>
      </c>
      <c r="W109" s="3688">
        <v>0</v>
      </c>
      <c r="X109" s="3691">
        <v>0</v>
      </c>
      <c r="Y109" s="3691">
        <v>0</v>
      </c>
      <c r="Z109" s="3688">
        <v>0</v>
      </c>
      <c r="AA109" s="2800">
        <v>0</v>
      </c>
      <c r="AB109" s="1305" t="s">
        <v>1209</v>
      </c>
      <c r="AC109" s="3747" t="s">
        <v>33</v>
      </c>
      <c r="AD109" s="3462" t="s">
        <v>2834</v>
      </c>
      <c r="AE109" s="3462" t="s">
        <v>1282</v>
      </c>
      <c r="AF109" s="3462" t="s">
        <v>1282</v>
      </c>
      <c r="AG109" s="3753" t="s">
        <v>1452</v>
      </c>
      <c r="AH109" s="3751" t="s">
        <v>2933</v>
      </c>
    </row>
    <row r="110" spans="1:34" ht="30" outlineLevel="1" x14ac:dyDescent="0.25">
      <c r="A110" s="3712" t="s">
        <v>3075</v>
      </c>
      <c r="B110" s="3752" t="s">
        <v>199</v>
      </c>
      <c r="C110" s="3747" t="s">
        <v>1702</v>
      </c>
      <c r="D110" s="3751" t="s">
        <v>26</v>
      </c>
      <c r="E110" s="3387" t="s">
        <v>197</v>
      </c>
      <c r="F110" s="1228" t="s">
        <v>3019</v>
      </c>
      <c r="G110" s="3748">
        <v>14599.42</v>
      </c>
      <c r="H110" s="1768">
        <v>139.15</v>
      </c>
      <c r="I110" s="4310">
        <v>0</v>
      </c>
      <c r="J110" s="3756">
        <v>0</v>
      </c>
      <c r="K110" s="3754">
        <v>0</v>
      </c>
      <c r="L110" s="3754">
        <v>0</v>
      </c>
      <c r="M110" s="3749">
        <v>0</v>
      </c>
      <c r="N110" s="3464">
        <v>0</v>
      </c>
      <c r="O110" s="3763">
        <v>0</v>
      </c>
      <c r="P110" s="3760">
        <f t="shared" si="7"/>
        <v>0</v>
      </c>
      <c r="Q110" s="840">
        <v>14460.27</v>
      </c>
      <c r="R110" s="36">
        <v>0</v>
      </c>
      <c r="S110" s="3756">
        <v>0</v>
      </c>
      <c r="T110" s="3754">
        <v>0</v>
      </c>
      <c r="U110" s="401">
        <v>0</v>
      </c>
      <c r="V110" s="3246">
        <v>0</v>
      </c>
      <c r="W110" s="3688">
        <v>0</v>
      </c>
      <c r="X110" s="3691">
        <v>0</v>
      </c>
      <c r="Y110" s="3691">
        <v>0</v>
      </c>
      <c r="Z110" s="3688">
        <v>0</v>
      </c>
      <c r="AA110" s="2800">
        <v>0</v>
      </c>
      <c r="AB110" s="3747" t="s">
        <v>1209</v>
      </c>
      <c r="AC110" s="3747" t="s">
        <v>33</v>
      </c>
      <c r="AD110" s="3462" t="s">
        <v>2834</v>
      </c>
      <c r="AE110" s="3462" t="s">
        <v>1282</v>
      </c>
      <c r="AF110" s="3462" t="s">
        <v>1282</v>
      </c>
      <c r="AG110" s="3753" t="s">
        <v>1452</v>
      </c>
      <c r="AH110" s="3751" t="s">
        <v>2939</v>
      </c>
    </row>
    <row r="111" spans="1:34" ht="30" outlineLevel="1" x14ac:dyDescent="0.25">
      <c r="A111" s="2938" t="s">
        <v>3076</v>
      </c>
      <c r="B111" s="2907" t="s">
        <v>203</v>
      </c>
      <c r="C111" s="1275" t="s">
        <v>1702</v>
      </c>
      <c r="D111" s="1611" t="s">
        <v>204</v>
      </c>
      <c r="E111" s="2934" t="s">
        <v>204</v>
      </c>
      <c r="F111" s="2935" t="s">
        <v>3020</v>
      </c>
      <c r="G111" s="1577">
        <v>2500</v>
      </c>
      <c r="H111" s="2273">
        <v>0</v>
      </c>
      <c r="I111" s="4311">
        <v>0</v>
      </c>
      <c r="J111" s="2879">
        <v>0</v>
      </c>
      <c r="K111" s="2880">
        <v>0</v>
      </c>
      <c r="L111" s="2880">
        <v>0</v>
      </c>
      <c r="M111" s="2881">
        <v>0</v>
      </c>
      <c r="N111" s="3029">
        <v>2500</v>
      </c>
      <c r="O111" s="3837">
        <v>-2500</v>
      </c>
      <c r="P111" s="3872">
        <f t="shared" si="7"/>
        <v>0</v>
      </c>
      <c r="Q111" s="1580">
        <v>2500</v>
      </c>
      <c r="R111" s="1614">
        <v>0</v>
      </c>
      <c r="S111" s="2879">
        <v>0</v>
      </c>
      <c r="T111" s="2880">
        <v>0</v>
      </c>
      <c r="U111" s="1665">
        <v>0</v>
      </c>
      <c r="V111" s="3958">
        <v>0</v>
      </c>
      <c r="W111" s="3607">
        <v>0</v>
      </c>
      <c r="X111" s="3959">
        <v>0</v>
      </c>
      <c r="Y111" s="3959">
        <v>0</v>
      </c>
      <c r="Z111" s="3960">
        <v>0</v>
      </c>
      <c r="AA111" s="3604">
        <v>0</v>
      </c>
      <c r="AB111" s="1275" t="s">
        <v>3233</v>
      </c>
      <c r="AC111" s="1275" t="s">
        <v>33</v>
      </c>
      <c r="AD111" s="2936" t="s">
        <v>2834</v>
      </c>
      <c r="AE111" s="2936" t="s">
        <v>1282</v>
      </c>
      <c r="AF111" s="2936" t="s">
        <v>1282</v>
      </c>
      <c r="AG111" s="1578" t="s">
        <v>1452</v>
      </c>
      <c r="AH111" s="1611" t="s">
        <v>2941</v>
      </c>
    </row>
    <row r="112" spans="1:34" ht="25.5" outlineLevel="1" x14ac:dyDescent="0.25">
      <c r="A112" s="3712" t="s">
        <v>3077</v>
      </c>
      <c r="B112" s="3752" t="s">
        <v>211</v>
      </c>
      <c r="C112" s="3747" t="s">
        <v>1702</v>
      </c>
      <c r="D112" s="3751" t="s">
        <v>26</v>
      </c>
      <c r="E112" s="3387" t="s">
        <v>212</v>
      </c>
      <c r="F112" s="1228" t="s">
        <v>3021</v>
      </c>
      <c r="G112" s="3748">
        <v>13824</v>
      </c>
      <c r="H112" s="3746">
        <v>603.79</v>
      </c>
      <c r="I112" s="3766">
        <v>0</v>
      </c>
      <c r="J112" s="3756">
        <v>0</v>
      </c>
      <c r="K112" s="3754">
        <v>0</v>
      </c>
      <c r="L112" s="3754">
        <v>6000</v>
      </c>
      <c r="M112" s="3749">
        <v>7220.21</v>
      </c>
      <c r="N112" s="3464">
        <v>13220.21</v>
      </c>
      <c r="O112" s="3763">
        <v>0</v>
      </c>
      <c r="P112" s="3760">
        <f t="shared" si="7"/>
        <v>13220.21</v>
      </c>
      <c r="Q112" s="3726">
        <v>0</v>
      </c>
      <c r="R112" s="3385">
        <v>0</v>
      </c>
      <c r="S112" s="3756">
        <v>0</v>
      </c>
      <c r="T112" s="3754">
        <v>0</v>
      </c>
      <c r="U112" s="401">
        <v>0</v>
      </c>
      <c r="V112" s="3246">
        <v>0</v>
      </c>
      <c r="W112" s="3688">
        <v>0</v>
      </c>
      <c r="X112" s="3691">
        <v>0</v>
      </c>
      <c r="Y112" s="3691">
        <v>0</v>
      </c>
      <c r="Z112" s="3688">
        <v>0</v>
      </c>
      <c r="AA112" s="2800">
        <v>0</v>
      </c>
      <c r="AB112" s="3744" t="s">
        <v>1209</v>
      </c>
      <c r="AC112" s="3747" t="s">
        <v>33</v>
      </c>
      <c r="AD112" s="3462" t="s">
        <v>2798</v>
      </c>
      <c r="AE112" s="3462" t="s">
        <v>1282</v>
      </c>
      <c r="AF112" s="3462" t="s">
        <v>1282</v>
      </c>
      <c r="AG112" s="3753" t="s">
        <v>1447</v>
      </c>
      <c r="AH112" s="3751" t="s">
        <v>2930</v>
      </c>
    </row>
    <row r="113" spans="1:34" ht="25.5" outlineLevel="1" x14ac:dyDescent="0.25">
      <c r="A113" s="3712" t="s">
        <v>3078</v>
      </c>
      <c r="B113" s="3752" t="s">
        <v>213</v>
      </c>
      <c r="C113" s="3747" t="s">
        <v>1702</v>
      </c>
      <c r="D113" s="3751" t="s">
        <v>26</v>
      </c>
      <c r="E113" s="3387" t="s">
        <v>214</v>
      </c>
      <c r="F113" s="1228" t="s">
        <v>3022</v>
      </c>
      <c r="G113" s="3748">
        <v>88000</v>
      </c>
      <c r="H113" s="1768">
        <v>4516.4944000000005</v>
      </c>
      <c r="I113" s="4310">
        <v>0</v>
      </c>
      <c r="J113" s="3756">
        <v>0</v>
      </c>
      <c r="K113" s="3754">
        <v>0</v>
      </c>
      <c r="L113" s="3754">
        <v>0</v>
      </c>
      <c r="M113" s="3749">
        <f>40843.3278+1796.85000001</f>
        <v>42640.177800010002</v>
      </c>
      <c r="N113" s="3464">
        <v>42640.177800000005</v>
      </c>
      <c r="O113" s="3763">
        <v>0</v>
      </c>
      <c r="P113" s="3760">
        <f t="shared" si="7"/>
        <v>42640.177800000005</v>
      </c>
      <c r="Q113" s="32">
        <v>40843.327799999999</v>
      </c>
      <c r="R113" s="30">
        <v>0</v>
      </c>
      <c r="S113" s="3756">
        <v>0</v>
      </c>
      <c r="T113" s="3754">
        <v>0</v>
      </c>
      <c r="U113" s="401">
        <v>0</v>
      </c>
      <c r="V113" s="3246">
        <v>0</v>
      </c>
      <c r="W113" s="3688">
        <v>0</v>
      </c>
      <c r="X113" s="3691">
        <v>0</v>
      </c>
      <c r="Y113" s="3691">
        <v>0</v>
      </c>
      <c r="Z113" s="3688">
        <v>0</v>
      </c>
      <c r="AA113" s="2800">
        <v>0</v>
      </c>
      <c r="AB113" s="3744" t="s">
        <v>1209</v>
      </c>
      <c r="AC113" s="3747" t="s">
        <v>33</v>
      </c>
      <c r="AD113" s="3462" t="s">
        <v>3234</v>
      </c>
      <c r="AE113" s="3462" t="s">
        <v>1282</v>
      </c>
      <c r="AF113" s="3462" t="s">
        <v>1282</v>
      </c>
      <c r="AG113" s="3753" t="s">
        <v>1446</v>
      </c>
      <c r="AH113" s="3751" t="s">
        <v>2922</v>
      </c>
    </row>
    <row r="114" spans="1:34" ht="25.5" outlineLevel="1" x14ac:dyDescent="0.25">
      <c r="A114" s="268" t="s">
        <v>3079</v>
      </c>
      <c r="B114" s="144" t="s">
        <v>218</v>
      </c>
      <c r="C114" s="75" t="s">
        <v>1702</v>
      </c>
      <c r="D114" s="76" t="s">
        <v>26</v>
      </c>
      <c r="E114" s="84" t="s">
        <v>219</v>
      </c>
      <c r="F114" s="227" t="s">
        <v>220</v>
      </c>
      <c r="G114" s="25">
        <f>14292.75+381.66887</f>
        <v>14674.41887</v>
      </c>
      <c r="H114" s="1776">
        <v>14278.718870000001</v>
      </c>
      <c r="I114" s="4312">
        <v>0</v>
      </c>
      <c r="J114" s="542">
        <v>0</v>
      </c>
      <c r="K114" s="375">
        <v>0</v>
      </c>
      <c r="L114" s="375">
        <v>0</v>
      </c>
      <c r="M114" s="26">
        <v>0</v>
      </c>
      <c r="N114" s="3405">
        <v>0</v>
      </c>
      <c r="O114" s="3544">
        <v>0</v>
      </c>
      <c r="P114" s="3488">
        <f t="shared" si="7"/>
        <v>0</v>
      </c>
      <c r="Q114" s="40">
        <v>0</v>
      </c>
      <c r="R114" s="27">
        <v>0</v>
      </c>
      <c r="S114" s="542">
        <v>0</v>
      </c>
      <c r="T114" s="375">
        <v>0</v>
      </c>
      <c r="U114" s="483">
        <v>395.7</v>
      </c>
      <c r="V114" s="3567">
        <v>0</v>
      </c>
      <c r="W114" s="3690">
        <v>0</v>
      </c>
      <c r="X114" s="3692">
        <v>0</v>
      </c>
      <c r="Y114" s="3692">
        <v>0</v>
      </c>
      <c r="Z114" s="3690">
        <v>0</v>
      </c>
      <c r="AA114" s="957">
        <v>0</v>
      </c>
      <c r="AB114" s="74" t="s">
        <v>1209</v>
      </c>
      <c r="AC114" s="75" t="s">
        <v>1329</v>
      </c>
      <c r="AD114" s="379" t="s">
        <v>2070</v>
      </c>
      <c r="AE114" s="379" t="s">
        <v>1283</v>
      </c>
      <c r="AF114" s="379" t="s">
        <v>1283</v>
      </c>
      <c r="AG114" s="74" t="s">
        <v>1447</v>
      </c>
      <c r="AH114" s="76" t="s">
        <v>2932</v>
      </c>
    </row>
    <row r="115" spans="1:34" ht="30" outlineLevel="1" x14ac:dyDescent="0.25">
      <c r="A115" s="3712" t="s">
        <v>3080</v>
      </c>
      <c r="B115" s="3752" t="s">
        <v>251</v>
      </c>
      <c r="C115" s="3747" t="s">
        <v>248</v>
      </c>
      <c r="D115" s="3751" t="s">
        <v>229</v>
      </c>
      <c r="E115" s="3387" t="s">
        <v>229</v>
      </c>
      <c r="F115" s="1228" t="s">
        <v>252</v>
      </c>
      <c r="G115" s="3748">
        <v>6900</v>
      </c>
      <c r="H115" s="3746">
        <v>498.52</v>
      </c>
      <c r="I115" s="3766">
        <v>0</v>
      </c>
      <c r="J115" s="3756">
        <v>0</v>
      </c>
      <c r="K115" s="3754">
        <v>0</v>
      </c>
      <c r="L115" s="3754">
        <v>6401.48</v>
      </c>
      <c r="M115" s="3749">
        <v>0</v>
      </c>
      <c r="N115" s="3464">
        <v>6401.4800000000005</v>
      </c>
      <c r="O115" s="3763">
        <v>0</v>
      </c>
      <c r="P115" s="3760">
        <f t="shared" si="7"/>
        <v>6401.4800000000005</v>
      </c>
      <c r="Q115" s="32">
        <v>0</v>
      </c>
      <c r="R115" s="30">
        <v>0</v>
      </c>
      <c r="S115" s="3756">
        <v>0</v>
      </c>
      <c r="T115" s="3754">
        <v>0</v>
      </c>
      <c r="U115" s="401">
        <v>0</v>
      </c>
      <c r="V115" s="3246">
        <v>0</v>
      </c>
      <c r="W115" s="3688">
        <v>0</v>
      </c>
      <c r="X115" s="3691">
        <v>0</v>
      </c>
      <c r="Y115" s="3691">
        <v>0</v>
      </c>
      <c r="Z115" s="3688">
        <v>0</v>
      </c>
      <c r="AA115" s="2800">
        <v>0</v>
      </c>
      <c r="AB115" s="3747" t="s">
        <v>2835</v>
      </c>
      <c r="AC115" s="3747" t="s">
        <v>33</v>
      </c>
      <c r="AD115" s="3462" t="s">
        <v>2798</v>
      </c>
      <c r="AE115" s="3462" t="s">
        <v>1282</v>
      </c>
      <c r="AF115" s="3462" t="s">
        <v>1282</v>
      </c>
      <c r="AG115" s="3753" t="s">
        <v>1447</v>
      </c>
      <c r="AH115" s="3751" t="s">
        <v>2929</v>
      </c>
    </row>
    <row r="116" spans="1:34" ht="25.5" outlineLevel="1" x14ac:dyDescent="0.25">
      <c r="A116" s="3712" t="s">
        <v>3081</v>
      </c>
      <c r="B116" s="3752" t="s">
        <v>257</v>
      </c>
      <c r="C116" s="3747" t="s">
        <v>248</v>
      </c>
      <c r="D116" s="3751" t="s">
        <v>26</v>
      </c>
      <c r="E116" s="3387" t="s">
        <v>258</v>
      </c>
      <c r="F116" s="1228" t="s">
        <v>3023</v>
      </c>
      <c r="G116" s="3748">
        <v>69060</v>
      </c>
      <c r="H116" s="3746">
        <v>111.8</v>
      </c>
      <c r="I116" s="3766">
        <v>0</v>
      </c>
      <c r="J116" s="3756">
        <v>0</v>
      </c>
      <c r="K116" s="3754">
        <v>0</v>
      </c>
      <c r="L116" s="3754">
        <v>0</v>
      </c>
      <c r="M116" s="3749">
        <v>0</v>
      </c>
      <c r="N116" s="3464">
        <v>0</v>
      </c>
      <c r="O116" s="3763">
        <v>0</v>
      </c>
      <c r="P116" s="3760">
        <f t="shared" si="7"/>
        <v>0</v>
      </c>
      <c r="Q116" s="3726">
        <v>68948.2</v>
      </c>
      <c r="R116" s="3385">
        <v>0</v>
      </c>
      <c r="S116" s="3756">
        <v>0</v>
      </c>
      <c r="T116" s="3754">
        <v>0</v>
      </c>
      <c r="U116" s="401">
        <v>0</v>
      </c>
      <c r="V116" s="3246">
        <v>0</v>
      </c>
      <c r="W116" s="3688">
        <v>0</v>
      </c>
      <c r="X116" s="3691">
        <v>0</v>
      </c>
      <c r="Y116" s="3691">
        <v>0</v>
      </c>
      <c r="Z116" s="3688">
        <v>0</v>
      </c>
      <c r="AA116" s="2800">
        <v>0</v>
      </c>
      <c r="AB116" s="3747" t="s">
        <v>3235</v>
      </c>
      <c r="AC116" s="3747" t="s">
        <v>33</v>
      </c>
      <c r="AD116" s="3462" t="s">
        <v>2834</v>
      </c>
      <c r="AE116" s="3462" t="s">
        <v>1282</v>
      </c>
      <c r="AF116" s="3462" t="s">
        <v>1282</v>
      </c>
      <c r="AG116" s="3753" t="s">
        <v>1452</v>
      </c>
      <c r="AH116" s="3751" t="s">
        <v>2929</v>
      </c>
    </row>
    <row r="117" spans="1:34" ht="30" outlineLevel="1" x14ac:dyDescent="0.25">
      <c r="A117" s="3712" t="s">
        <v>3082</v>
      </c>
      <c r="B117" s="3752" t="s">
        <v>259</v>
      </c>
      <c r="C117" s="3747" t="s">
        <v>248</v>
      </c>
      <c r="D117" s="3751" t="s">
        <v>260</v>
      </c>
      <c r="E117" s="3387" t="s">
        <v>260</v>
      </c>
      <c r="F117" s="1228" t="s">
        <v>261</v>
      </c>
      <c r="G117" s="3748">
        <v>1048.1600000000001</v>
      </c>
      <c r="H117" s="3746">
        <v>101.94999999999999</v>
      </c>
      <c r="I117" s="3766">
        <v>0</v>
      </c>
      <c r="J117" s="3756">
        <v>0</v>
      </c>
      <c r="K117" s="3754">
        <v>0</v>
      </c>
      <c r="L117" s="3754">
        <v>0</v>
      </c>
      <c r="M117" s="3749">
        <v>0</v>
      </c>
      <c r="N117" s="3464">
        <v>0</v>
      </c>
      <c r="O117" s="3763">
        <v>0</v>
      </c>
      <c r="P117" s="3760">
        <f t="shared" si="7"/>
        <v>0</v>
      </c>
      <c r="Q117" s="32">
        <v>693.21</v>
      </c>
      <c r="R117" s="30">
        <v>0</v>
      </c>
      <c r="S117" s="3756">
        <v>253</v>
      </c>
      <c r="T117" s="3754">
        <v>0</v>
      </c>
      <c r="U117" s="401">
        <v>0</v>
      </c>
      <c r="V117" s="3246">
        <v>0</v>
      </c>
      <c r="W117" s="3688">
        <v>0</v>
      </c>
      <c r="X117" s="3691">
        <v>0</v>
      </c>
      <c r="Y117" s="3691">
        <v>0</v>
      </c>
      <c r="Z117" s="3688">
        <v>0</v>
      </c>
      <c r="AA117" s="2800">
        <v>0</v>
      </c>
      <c r="AB117" s="3753" t="s">
        <v>1209</v>
      </c>
      <c r="AC117" s="3747" t="s">
        <v>33</v>
      </c>
      <c r="AD117" s="3462" t="s">
        <v>2834</v>
      </c>
      <c r="AE117" s="3462" t="s">
        <v>1282</v>
      </c>
      <c r="AF117" s="3462" t="s">
        <v>1282</v>
      </c>
      <c r="AG117" s="3753" t="s">
        <v>1452</v>
      </c>
      <c r="AH117" s="3751" t="s">
        <v>2957</v>
      </c>
    </row>
    <row r="118" spans="1:34" ht="30" outlineLevel="1" x14ac:dyDescent="0.25">
      <c r="A118" s="2938" t="s">
        <v>3083</v>
      </c>
      <c r="B118" s="2907" t="s">
        <v>273</v>
      </c>
      <c r="C118" s="1275" t="s">
        <v>248</v>
      </c>
      <c r="D118" s="1611" t="s">
        <v>26</v>
      </c>
      <c r="E118" s="2934" t="s">
        <v>274</v>
      </c>
      <c r="F118" s="2935" t="s">
        <v>3024</v>
      </c>
      <c r="G118" s="1577">
        <v>35544.959999999999</v>
      </c>
      <c r="H118" s="2273">
        <v>1647.6570000000002</v>
      </c>
      <c r="I118" s="4311">
        <v>0</v>
      </c>
      <c r="J118" s="2879">
        <v>0</v>
      </c>
      <c r="K118" s="2880">
        <v>0</v>
      </c>
      <c r="L118" s="2880">
        <v>0</v>
      </c>
      <c r="M118" s="2881">
        <v>0</v>
      </c>
      <c r="N118" s="3029">
        <v>316.173</v>
      </c>
      <c r="O118" s="3837">
        <v>-316.173</v>
      </c>
      <c r="P118" s="3872">
        <v>0</v>
      </c>
      <c r="Q118" s="3009">
        <v>33897.303</v>
      </c>
      <c r="R118" s="3011">
        <v>0</v>
      </c>
      <c r="S118" s="2879">
        <v>0</v>
      </c>
      <c r="T118" s="2880">
        <v>0</v>
      </c>
      <c r="U118" s="1665">
        <v>0</v>
      </c>
      <c r="V118" s="3958">
        <v>0</v>
      </c>
      <c r="W118" s="3607">
        <v>0</v>
      </c>
      <c r="X118" s="3959">
        <v>0</v>
      </c>
      <c r="Y118" s="3959">
        <v>0</v>
      </c>
      <c r="Z118" s="3960">
        <v>0</v>
      </c>
      <c r="AA118" s="3604">
        <v>0</v>
      </c>
      <c r="AB118" s="1275" t="s">
        <v>3236</v>
      </c>
      <c r="AC118" s="1275" t="s">
        <v>33</v>
      </c>
      <c r="AD118" s="2936" t="s">
        <v>2795</v>
      </c>
      <c r="AE118" s="2936" t="s">
        <v>1282</v>
      </c>
      <c r="AF118" s="2936" t="s">
        <v>1282</v>
      </c>
      <c r="AG118" s="1578" t="s">
        <v>1452</v>
      </c>
      <c r="AH118" s="1611" t="s">
        <v>2928</v>
      </c>
    </row>
    <row r="119" spans="1:34" ht="25.5" outlineLevel="1" x14ac:dyDescent="0.25">
      <c r="A119" s="3712" t="s">
        <v>3084</v>
      </c>
      <c r="B119" s="3752" t="s">
        <v>275</v>
      </c>
      <c r="C119" s="3747" t="s">
        <v>248</v>
      </c>
      <c r="D119" s="3751" t="s">
        <v>276</v>
      </c>
      <c r="E119" s="3387" t="s">
        <v>276</v>
      </c>
      <c r="F119" s="1228" t="s">
        <v>277</v>
      </c>
      <c r="G119" s="3748">
        <v>3730</v>
      </c>
      <c r="H119" s="1768">
        <v>101.64</v>
      </c>
      <c r="I119" s="4310">
        <v>0</v>
      </c>
      <c r="J119" s="3756">
        <v>0</v>
      </c>
      <c r="K119" s="3754">
        <v>3628.36</v>
      </c>
      <c r="L119" s="3754">
        <v>0</v>
      </c>
      <c r="M119" s="3749">
        <v>0</v>
      </c>
      <c r="N119" s="3464">
        <v>3628.36</v>
      </c>
      <c r="O119" s="3763">
        <v>0</v>
      </c>
      <c r="P119" s="3760">
        <f t="shared" si="7"/>
        <v>3628.36</v>
      </c>
      <c r="Q119" s="32">
        <v>0</v>
      </c>
      <c r="R119" s="30">
        <v>0</v>
      </c>
      <c r="S119" s="3756">
        <v>0</v>
      </c>
      <c r="T119" s="3754">
        <v>0</v>
      </c>
      <c r="U119" s="401">
        <v>0</v>
      </c>
      <c r="V119" s="3246">
        <v>0</v>
      </c>
      <c r="W119" s="3688">
        <v>0</v>
      </c>
      <c r="X119" s="3691">
        <v>0</v>
      </c>
      <c r="Y119" s="3691">
        <v>0</v>
      </c>
      <c r="Z119" s="3688">
        <v>0</v>
      </c>
      <c r="AA119" s="2800">
        <v>0</v>
      </c>
      <c r="AB119" s="3747" t="s">
        <v>1209</v>
      </c>
      <c r="AC119" s="3747" t="s">
        <v>33</v>
      </c>
      <c r="AD119" s="3462" t="s">
        <v>2833</v>
      </c>
      <c r="AE119" s="3462" t="s">
        <v>1282</v>
      </c>
      <c r="AF119" s="3462" t="s">
        <v>1282</v>
      </c>
      <c r="AG119" s="3753" t="s">
        <v>1447</v>
      </c>
      <c r="AH119" s="3751" t="s">
        <v>2958</v>
      </c>
    </row>
    <row r="120" spans="1:34" ht="25.5" outlineLevel="1" x14ac:dyDescent="0.25">
      <c r="A120" s="3727" t="s">
        <v>3085</v>
      </c>
      <c r="B120" s="3752" t="s">
        <v>281</v>
      </c>
      <c r="C120" s="3747" t="s">
        <v>248</v>
      </c>
      <c r="D120" s="3751" t="s">
        <v>1722</v>
      </c>
      <c r="E120" s="3528" t="s">
        <v>1722</v>
      </c>
      <c r="F120" s="1228" t="s">
        <v>282</v>
      </c>
      <c r="G120" s="3748">
        <v>4200</v>
      </c>
      <c r="H120" s="71">
        <v>0</v>
      </c>
      <c r="I120" s="4313">
        <v>0</v>
      </c>
      <c r="J120" s="2813">
        <v>0</v>
      </c>
      <c r="K120" s="3399">
        <v>0</v>
      </c>
      <c r="L120" s="3754">
        <v>0</v>
      </c>
      <c r="M120" s="3749">
        <v>0</v>
      </c>
      <c r="N120" s="3465">
        <v>0</v>
      </c>
      <c r="O120" s="3543">
        <v>0</v>
      </c>
      <c r="P120" s="3760">
        <f t="shared" si="7"/>
        <v>0</v>
      </c>
      <c r="Q120" s="3459">
        <v>4200</v>
      </c>
      <c r="R120" s="3385">
        <v>0</v>
      </c>
      <c r="S120" s="3756">
        <v>0</v>
      </c>
      <c r="T120" s="3754">
        <v>0</v>
      </c>
      <c r="U120" s="401">
        <v>0</v>
      </c>
      <c r="V120" s="3246">
        <v>0</v>
      </c>
      <c r="W120" s="3688">
        <v>0</v>
      </c>
      <c r="X120" s="3691">
        <v>0</v>
      </c>
      <c r="Y120" s="3691">
        <v>0</v>
      </c>
      <c r="Z120" s="3688">
        <v>0</v>
      </c>
      <c r="AA120" s="2800">
        <v>0</v>
      </c>
      <c r="AB120" s="3747" t="s">
        <v>1209</v>
      </c>
      <c r="AC120" s="3747" t="s">
        <v>33</v>
      </c>
      <c r="AD120" s="3462" t="s">
        <v>2834</v>
      </c>
      <c r="AE120" s="3462" t="s">
        <v>1282</v>
      </c>
      <c r="AF120" s="3462" t="s">
        <v>1282</v>
      </c>
      <c r="AG120" s="3753" t="s">
        <v>1452</v>
      </c>
      <c r="AH120" s="3751" t="s">
        <v>2940</v>
      </c>
    </row>
    <row r="121" spans="1:34" ht="25.5" outlineLevel="1" x14ac:dyDescent="0.25">
      <c r="A121" s="3727" t="s">
        <v>3086</v>
      </c>
      <c r="B121" s="3752" t="s">
        <v>291</v>
      </c>
      <c r="C121" s="3747" t="s">
        <v>284</v>
      </c>
      <c r="D121" s="3751" t="s">
        <v>292</v>
      </c>
      <c r="E121" s="3528" t="s">
        <v>292</v>
      </c>
      <c r="F121" s="3393" t="s">
        <v>293</v>
      </c>
      <c r="G121" s="3748">
        <v>4200</v>
      </c>
      <c r="H121" s="71">
        <v>170</v>
      </c>
      <c r="I121" s="4313">
        <v>0</v>
      </c>
      <c r="J121" s="3756">
        <v>0</v>
      </c>
      <c r="K121" s="3754">
        <v>0</v>
      </c>
      <c r="L121" s="3754">
        <v>0</v>
      </c>
      <c r="M121" s="3749">
        <v>0</v>
      </c>
      <c r="N121" s="3465">
        <v>0</v>
      </c>
      <c r="O121" s="3543">
        <v>0</v>
      </c>
      <c r="P121" s="3760">
        <f t="shared" si="7"/>
        <v>0</v>
      </c>
      <c r="Q121" s="3459">
        <v>4030</v>
      </c>
      <c r="R121" s="3385">
        <v>0</v>
      </c>
      <c r="S121" s="3756">
        <v>0</v>
      </c>
      <c r="T121" s="3754">
        <v>0</v>
      </c>
      <c r="U121" s="401">
        <v>0</v>
      </c>
      <c r="V121" s="3246">
        <v>0</v>
      </c>
      <c r="W121" s="3688">
        <v>0</v>
      </c>
      <c r="X121" s="3691">
        <v>0</v>
      </c>
      <c r="Y121" s="3691">
        <v>0</v>
      </c>
      <c r="Z121" s="3688">
        <v>0</v>
      </c>
      <c r="AA121" s="2800">
        <v>0</v>
      </c>
      <c r="AB121" s="3747" t="s">
        <v>1209</v>
      </c>
      <c r="AC121" s="3747" t="s">
        <v>33</v>
      </c>
      <c r="AD121" s="3462" t="s">
        <v>2834</v>
      </c>
      <c r="AE121" s="3462" t="s">
        <v>1282</v>
      </c>
      <c r="AF121" s="3462" t="s">
        <v>1282</v>
      </c>
      <c r="AG121" s="3753" t="s">
        <v>1452</v>
      </c>
      <c r="AH121" s="3751" t="s">
        <v>2944</v>
      </c>
    </row>
    <row r="122" spans="1:34" ht="25.5" outlineLevel="1" x14ac:dyDescent="0.25">
      <c r="A122" s="3712" t="s">
        <v>3087</v>
      </c>
      <c r="B122" s="3752" t="s">
        <v>852</v>
      </c>
      <c r="C122" s="93" t="s">
        <v>101</v>
      </c>
      <c r="D122" s="3713" t="s">
        <v>313</v>
      </c>
      <c r="E122" s="2604" t="s">
        <v>313</v>
      </c>
      <c r="F122" s="3393" t="s">
        <v>314</v>
      </c>
      <c r="G122" s="3748">
        <v>6500</v>
      </c>
      <c r="H122" s="1768">
        <v>0</v>
      </c>
      <c r="I122" s="4310">
        <v>0</v>
      </c>
      <c r="J122" s="3756">
        <v>0</v>
      </c>
      <c r="K122" s="3754">
        <v>0</v>
      </c>
      <c r="L122" s="3754">
        <v>0</v>
      </c>
      <c r="M122" s="3749">
        <v>0</v>
      </c>
      <c r="N122" s="3464">
        <v>0</v>
      </c>
      <c r="O122" s="3763">
        <v>0</v>
      </c>
      <c r="P122" s="3760">
        <f t="shared" si="7"/>
        <v>0</v>
      </c>
      <c r="Q122" s="32">
        <v>6380</v>
      </c>
      <c r="R122" s="30">
        <v>0</v>
      </c>
      <c r="S122" s="3756">
        <v>0</v>
      </c>
      <c r="T122" s="3754">
        <v>0</v>
      </c>
      <c r="U122" s="401">
        <v>120</v>
      </c>
      <c r="V122" s="3246">
        <v>0</v>
      </c>
      <c r="W122" s="3688">
        <v>0</v>
      </c>
      <c r="X122" s="3691">
        <v>0</v>
      </c>
      <c r="Y122" s="3691">
        <v>0</v>
      </c>
      <c r="Z122" s="3688">
        <v>0</v>
      </c>
      <c r="AA122" s="2800">
        <v>0</v>
      </c>
      <c r="AB122" s="3747" t="s">
        <v>1209</v>
      </c>
      <c r="AC122" s="3747" t="s">
        <v>33</v>
      </c>
      <c r="AD122" s="3462" t="s">
        <v>2834</v>
      </c>
      <c r="AE122" s="3462" t="s">
        <v>1282</v>
      </c>
      <c r="AF122" s="3462" t="s">
        <v>1282</v>
      </c>
      <c r="AG122" s="3753" t="s">
        <v>1452</v>
      </c>
      <c r="AH122" s="3751" t="s">
        <v>2922</v>
      </c>
    </row>
    <row r="123" spans="1:34" ht="25.5" outlineLevel="1" x14ac:dyDescent="0.25">
      <c r="A123" s="3712" t="s">
        <v>3088</v>
      </c>
      <c r="B123" s="3752" t="s">
        <v>854</v>
      </c>
      <c r="C123" s="93" t="s">
        <v>101</v>
      </c>
      <c r="D123" s="3713" t="s">
        <v>26</v>
      </c>
      <c r="E123" s="3668" t="s">
        <v>317</v>
      </c>
      <c r="F123" s="3393" t="s">
        <v>3025</v>
      </c>
      <c r="G123" s="3748">
        <v>15020.223969999999</v>
      </c>
      <c r="H123" s="1768">
        <v>8027.6869399999996</v>
      </c>
      <c r="I123" s="4310">
        <v>0</v>
      </c>
      <c r="J123" s="3756">
        <f>726.92466+6265.61237</f>
        <v>6992.5370299999995</v>
      </c>
      <c r="K123" s="3754">
        <v>0</v>
      </c>
      <c r="L123" s="3754">
        <v>0</v>
      </c>
      <c r="M123" s="3749">
        <v>0</v>
      </c>
      <c r="N123" s="3464">
        <v>6992.5370299999995</v>
      </c>
      <c r="O123" s="3763">
        <v>0</v>
      </c>
      <c r="P123" s="3760">
        <f t="shared" si="7"/>
        <v>6992.5370299999995</v>
      </c>
      <c r="Q123" s="32">
        <v>0</v>
      </c>
      <c r="R123" s="30">
        <v>0</v>
      </c>
      <c r="S123" s="3756">
        <v>0</v>
      </c>
      <c r="T123" s="3754">
        <v>0</v>
      </c>
      <c r="U123" s="401">
        <v>0</v>
      </c>
      <c r="V123" s="3246">
        <v>0</v>
      </c>
      <c r="W123" s="3688">
        <v>0</v>
      </c>
      <c r="X123" s="3691">
        <v>0</v>
      </c>
      <c r="Y123" s="3691">
        <v>0</v>
      </c>
      <c r="Z123" s="3688">
        <v>0</v>
      </c>
      <c r="AA123" s="2800">
        <v>0</v>
      </c>
      <c r="AB123" s="3747" t="s">
        <v>1209</v>
      </c>
      <c r="AC123" s="3753" t="s">
        <v>43</v>
      </c>
      <c r="AD123" s="3462" t="s">
        <v>1552</v>
      </c>
      <c r="AE123" s="3462" t="s">
        <v>1283</v>
      </c>
      <c r="AF123" s="3462" t="s">
        <v>1283</v>
      </c>
      <c r="AG123" s="3753" t="s">
        <v>1447</v>
      </c>
      <c r="AH123" s="3751" t="s">
        <v>2932</v>
      </c>
    </row>
    <row r="124" spans="1:34" ht="26.25" outlineLevel="1" thickBot="1" x14ac:dyDescent="0.3">
      <c r="A124" s="169" t="s">
        <v>3089</v>
      </c>
      <c r="B124" s="171" t="s">
        <v>1559</v>
      </c>
      <c r="C124" s="3450" t="s">
        <v>3327</v>
      </c>
      <c r="D124" s="167" t="s">
        <v>333</v>
      </c>
      <c r="E124" s="167" t="s">
        <v>333</v>
      </c>
      <c r="F124" s="1413" t="s">
        <v>334</v>
      </c>
      <c r="G124" s="856">
        <v>3500</v>
      </c>
      <c r="H124" s="856">
        <v>164.56</v>
      </c>
      <c r="I124" s="3354">
        <v>0</v>
      </c>
      <c r="J124" s="2804">
        <v>0</v>
      </c>
      <c r="K124" s="371">
        <v>0</v>
      </c>
      <c r="L124" s="371">
        <v>0</v>
      </c>
      <c r="M124" s="51">
        <v>0</v>
      </c>
      <c r="N124" s="3372">
        <v>0</v>
      </c>
      <c r="O124" s="3540">
        <v>0</v>
      </c>
      <c r="P124" s="3484">
        <f t="shared" si="7"/>
        <v>0</v>
      </c>
      <c r="Q124" s="52">
        <v>3335.44</v>
      </c>
      <c r="R124" s="53">
        <v>0</v>
      </c>
      <c r="S124" s="4368">
        <v>0</v>
      </c>
      <c r="T124" s="3366">
        <v>0</v>
      </c>
      <c r="U124" s="1467">
        <v>0</v>
      </c>
      <c r="V124" s="3568">
        <v>0</v>
      </c>
      <c r="W124" s="3689">
        <v>0</v>
      </c>
      <c r="X124" s="3689">
        <v>0</v>
      </c>
      <c r="Y124" s="3689">
        <v>0</v>
      </c>
      <c r="Z124" s="3689">
        <v>0</v>
      </c>
      <c r="AA124" s="3311">
        <v>0</v>
      </c>
      <c r="AB124" s="2827" t="s">
        <v>2865</v>
      </c>
      <c r="AC124" s="3450" t="s">
        <v>33</v>
      </c>
      <c r="AD124" s="349" t="s">
        <v>2834</v>
      </c>
      <c r="AE124" s="349" t="s">
        <v>1282</v>
      </c>
      <c r="AF124" s="349" t="s">
        <v>1282</v>
      </c>
      <c r="AG124" s="174" t="s">
        <v>1452</v>
      </c>
      <c r="AH124" s="3450" t="s">
        <v>2933</v>
      </c>
    </row>
    <row r="125" spans="1:34" ht="25.5" outlineLevel="1" x14ac:dyDescent="0.25">
      <c r="A125" s="2933" t="s">
        <v>1767</v>
      </c>
      <c r="B125" s="2907" t="s">
        <v>1230</v>
      </c>
      <c r="C125" s="1275" t="s">
        <v>3322</v>
      </c>
      <c r="D125" s="1275" t="s">
        <v>868</v>
      </c>
      <c r="E125" s="1275" t="s">
        <v>868</v>
      </c>
      <c r="F125" s="2956" t="s">
        <v>869</v>
      </c>
      <c r="G125" s="2957">
        <v>1400</v>
      </c>
      <c r="H125" s="2273">
        <v>0</v>
      </c>
      <c r="I125" s="4311">
        <v>0</v>
      </c>
      <c r="J125" s="2879">
        <v>0</v>
      </c>
      <c r="K125" s="2880">
        <v>1400</v>
      </c>
      <c r="L125" s="2880">
        <v>0</v>
      </c>
      <c r="M125" s="2881">
        <v>0</v>
      </c>
      <c r="N125" s="3029">
        <v>0</v>
      </c>
      <c r="O125" s="3837">
        <v>1400</v>
      </c>
      <c r="P125" s="3872">
        <f t="shared" si="7"/>
        <v>1400</v>
      </c>
      <c r="Q125" s="3961">
        <v>0</v>
      </c>
      <c r="R125" s="2908">
        <v>0</v>
      </c>
      <c r="S125" s="2879">
        <v>0</v>
      </c>
      <c r="T125" s="2880">
        <v>0</v>
      </c>
      <c r="U125" s="1665">
        <v>0</v>
      </c>
      <c r="V125" s="3958">
        <v>0</v>
      </c>
      <c r="W125" s="3607">
        <v>0</v>
      </c>
      <c r="X125" s="3959">
        <v>0</v>
      </c>
      <c r="Y125" s="3959">
        <v>0</v>
      </c>
      <c r="Z125" s="3960">
        <v>0</v>
      </c>
      <c r="AA125" s="3604">
        <v>0</v>
      </c>
      <c r="AB125" s="1275" t="s">
        <v>3237</v>
      </c>
      <c r="AC125" s="1275" t="s">
        <v>33</v>
      </c>
      <c r="AD125" s="2936" t="s">
        <v>2833</v>
      </c>
      <c r="AE125" s="2936" t="s">
        <v>1282</v>
      </c>
      <c r="AF125" s="2936" t="s">
        <v>1282</v>
      </c>
      <c r="AG125" s="1578" t="s">
        <v>1447</v>
      </c>
      <c r="AH125" s="1275" t="s">
        <v>2939</v>
      </c>
    </row>
    <row r="126" spans="1:34" ht="30" outlineLevel="1" x14ac:dyDescent="0.25">
      <c r="A126" s="3727" t="s">
        <v>1769</v>
      </c>
      <c r="B126" s="3752" t="s">
        <v>1230</v>
      </c>
      <c r="C126" s="3747" t="s">
        <v>3322</v>
      </c>
      <c r="D126" s="3747" t="s">
        <v>26</v>
      </c>
      <c r="E126" s="3747" t="s">
        <v>872</v>
      </c>
      <c r="F126" s="3743" t="s">
        <v>3026</v>
      </c>
      <c r="G126" s="1107">
        <v>17000</v>
      </c>
      <c r="H126" s="1768">
        <v>0</v>
      </c>
      <c r="I126" s="4310">
        <v>0</v>
      </c>
      <c r="J126" s="3756">
        <v>0</v>
      </c>
      <c r="K126" s="3754">
        <v>0</v>
      </c>
      <c r="L126" s="3754">
        <v>0</v>
      </c>
      <c r="M126" s="3749">
        <v>0</v>
      </c>
      <c r="N126" s="3464">
        <v>0</v>
      </c>
      <c r="O126" s="3763">
        <v>0</v>
      </c>
      <c r="P126" s="3760">
        <f t="shared" si="7"/>
        <v>0</v>
      </c>
      <c r="Q126" s="3309">
        <v>17000</v>
      </c>
      <c r="R126" s="498">
        <v>0</v>
      </c>
      <c r="S126" s="3756">
        <v>0</v>
      </c>
      <c r="T126" s="3754">
        <v>0</v>
      </c>
      <c r="U126" s="401">
        <v>0</v>
      </c>
      <c r="V126" s="3246">
        <v>0</v>
      </c>
      <c r="W126" s="3688">
        <v>0</v>
      </c>
      <c r="X126" s="3691">
        <v>0</v>
      </c>
      <c r="Y126" s="3691">
        <v>0</v>
      </c>
      <c r="Z126" s="3688">
        <v>0</v>
      </c>
      <c r="AA126" s="2800">
        <v>0</v>
      </c>
      <c r="AB126" s="3747" t="s">
        <v>1209</v>
      </c>
      <c r="AC126" s="3747" t="s">
        <v>33</v>
      </c>
      <c r="AD126" s="3462" t="s">
        <v>2834</v>
      </c>
      <c r="AE126" s="3462" t="s">
        <v>1282</v>
      </c>
      <c r="AF126" s="3462" t="s">
        <v>1282</v>
      </c>
      <c r="AG126" s="3753" t="s">
        <v>1452</v>
      </c>
      <c r="AH126" s="3747" t="s">
        <v>2939</v>
      </c>
    </row>
    <row r="127" spans="1:34" ht="38.25" outlineLevel="1" x14ac:dyDescent="0.25">
      <c r="A127" s="3727" t="s">
        <v>1770</v>
      </c>
      <c r="B127" s="3752" t="s">
        <v>1230</v>
      </c>
      <c r="C127" s="3747" t="s">
        <v>3322</v>
      </c>
      <c r="D127" s="3747" t="s">
        <v>26</v>
      </c>
      <c r="E127" s="3747" t="s">
        <v>836</v>
      </c>
      <c r="F127" s="3743" t="s">
        <v>3027</v>
      </c>
      <c r="G127" s="1107">
        <v>12100</v>
      </c>
      <c r="H127" s="1768">
        <v>0</v>
      </c>
      <c r="I127" s="4310">
        <v>0</v>
      </c>
      <c r="J127" s="3756">
        <v>0</v>
      </c>
      <c r="K127" s="3754">
        <v>0</v>
      </c>
      <c r="L127" s="3754">
        <v>0</v>
      </c>
      <c r="M127" s="3749">
        <v>2100</v>
      </c>
      <c r="N127" s="3464">
        <v>2100</v>
      </c>
      <c r="O127" s="3763">
        <v>0</v>
      </c>
      <c r="P127" s="3760">
        <f t="shared" si="7"/>
        <v>2100</v>
      </c>
      <c r="Q127" s="2800">
        <v>10000</v>
      </c>
      <c r="R127" s="498">
        <v>0</v>
      </c>
      <c r="S127" s="3756">
        <v>0</v>
      </c>
      <c r="T127" s="3754">
        <v>0</v>
      </c>
      <c r="U127" s="401">
        <v>0</v>
      </c>
      <c r="V127" s="3246">
        <v>0</v>
      </c>
      <c r="W127" s="3688">
        <v>0</v>
      </c>
      <c r="X127" s="3691">
        <v>0</v>
      </c>
      <c r="Y127" s="3691">
        <v>0</v>
      </c>
      <c r="Z127" s="3688">
        <v>0</v>
      </c>
      <c r="AA127" s="2800">
        <v>0</v>
      </c>
      <c r="AB127" s="3747" t="s">
        <v>1209</v>
      </c>
      <c r="AC127" s="3747" t="s">
        <v>33</v>
      </c>
      <c r="AD127" s="3462" t="s">
        <v>2796</v>
      </c>
      <c r="AE127" s="3462" t="s">
        <v>1282</v>
      </c>
      <c r="AF127" s="3462" t="s">
        <v>1282</v>
      </c>
      <c r="AG127" s="3753" t="s">
        <v>1448</v>
      </c>
      <c r="AH127" s="3747" t="s">
        <v>2934</v>
      </c>
    </row>
    <row r="128" spans="1:34" ht="25.5" outlineLevel="1" x14ac:dyDescent="0.25">
      <c r="A128" s="3727" t="s">
        <v>1772</v>
      </c>
      <c r="B128" s="3752" t="s">
        <v>1230</v>
      </c>
      <c r="C128" s="3747" t="s">
        <v>3322</v>
      </c>
      <c r="D128" s="3747" t="s">
        <v>839</v>
      </c>
      <c r="E128" s="3747" t="s">
        <v>839</v>
      </c>
      <c r="F128" s="3743" t="s">
        <v>3028</v>
      </c>
      <c r="G128" s="1107">
        <v>3950</v>
      </c>
      <c r="H128" s="1768">
        <v>0</v>
      </c>
      <c r="I128" s="4310">
        <v>0</v>
      </c>
      <c r="J128" s="3756">
        <v>0</v>
      </c>
      <c r="K128" s="3754">
        <v>0</v>
      </c>
      <c r="L128" s="3754">
        <v>0</v>
      </c>
      <c r="M128" s="3749">
        <v>0</v>
      </c>
      <c r="N128" s="3464">
        <v>0</v>
      </c>
      <c r="O128" s="3763">
        <v>0</v>
      </c>
      <c r="P128" s="3760">
        <f t="shared" si="7"/>
        <v>0</v>
      </c>
      <c r="Q128" s="3309">
        <v>3950</v>
      </c>
      <c r="R128" s="498">
        <v>0</v>
      </c>
      <c r="S128" s="3756">
        <v>0</v>
      </c>
      <c r="T128" s="3754">
        <v>0</v>
      </c>
      <c r="U128" s="401">
        <v>0</v>
      </c>
      <c r="V128" s="3246">
        <v>0</v>
      </c>
      <c r="W128" s="3688">
        <v>0</v>
      </c>
      <c r="X128" s="3691">
        <v>0</v>
      </c>
      <c r="Y128" s="3691">
        <v>0</v>
      </c>
      <c r="Z128" s="3688">
        <v>0</v>
      </c>
      <c r="AA128" s="2800">
        <v>0</v>
      </c>
      <c r="AB128" s="3747" t="s">
        <v>1209</v>
      </c>
      <c r="AC128" s="3747" t="s">
        <v>33</v>
      </c>
      <c r="AD128" s="3462" t="s">
        <v>2834</v>
      </c>
      <c r="AE128" s="3462" t="s">
        <v>1282</v>
      </c>
      <c r="AF128" s="3462" t="s">
        <v>1282</v>
      </c>
      <c r="AG128" s="3753" t="s">
        <v>1452</v>
      </c>
      <c r="AH128" s="3747" t="s">
        <v>2930</v>
      </c>
    </row>
    <row r="129" spans="1:34" ht="38.25" outlineLevel="1" x14ac:dyDescent="0.25">
      <c r="A129" s="3727" t="s">
        <v>1773</v>
      </c>
      <c r="B129" s="3752" t="s">
        <v>1230</v>
      </c>
      <c r="C129" s="3747" t="s">
        <v>3322</v>
      </c>
      <c r="D129" s="3747" t="s">
        <v>209</v>
      </c>
      <c r="E129" s="3747" t="s">
        <v>209</v>
      </c>
      <c r="F129" s="3743" t="s">
        <v>3029</v>
      </c>
      <c r="G129" s="1107">
        <v>950</v>
      </c>
      <c r="H129" s="1768">
        <v>0</v>
      </c>
      <c r="I129" s="4310">
        <v>0</v>
      </c>
      <c r="J129" s="3756">
        <v>0</v>
      </c>
      <c r="K129" s="3754">
        <v>0</v>
      </c>
      <c r="L129" s="3754">
        <v>0</v>
      </c>
      <c r="M129" s="3749">
        <v>0</v>
      </c>
      <c r="N129" s="3464">
        <v>0</v>
      </c>
      <c r="O129" s="3763">
        <v>0</v>
      </c>
      <c r="P129" s="3760">
        <f t="shared" si="7"/>
        <v>0</v>
      </c>
      <c r="Q129" s="2800">
        <v>950</v>
      </c>
      <c r="R129" s="498">
        <v>0</v>
      </c>
      <c r="S129" s="3756">
        <v>0</v>
      </c>
      <c r="T129" s="3754">
        <v>0</v>
      </c>
      <c r="U129" s="401">
        <v>0</v>
      </c>
      <c r="V129" s="3246">
        <v>0</v>
      </c>
      <c r="W129" s="3688">
        <v>0</v>
      </c>
      <c r="X129" s="3691">
        <v>0</v>
      </c>
      <c r="Y129" s="3691">
        <v>0</v>
      </c>
      <c r="Z129" s="3688">
        <v>0</v>
      </c>
      <c r="AA129" s="2800">
        <v>0</v>
      </c>
      <c r="AB129" s="3747" t="s">
        <v>1209</v>
      </c>
      <c r="AC129" s="3747" t="s">
        <v>33</v>
      </c>
      <c r="AD129" s="3462" t="s">
        <v>2834</v>
      </c>
      <c r="AE129" s="3462" t="s">
        <v>1282</v>
      </c>
      <c r="AF129" s="3462" t="s">
        <v>1282</v>
      </c>
      <c r="AG129" s="3753" t="s">
        <v>1452</v>
      </c>
      <c r="AH129" s="3747" t="s">
        <v>2930</v>
      </c>
    </row>
    <row r="130" spans="1:34" ht="38.25" outlineLevel="1" x14ac:dyDescent="0.25">
      <c r="A130" s="3727" t="s">
        <v>1774</v>
      </c>
      <c r="B130" s="3752" t="s">
        <v>2636</v>
      </c>
      <c r="C130" s="3747" t="s">
        <v>3322</v>
      </c>
      <c r="D130" s="3747" t="s">
        <v>26</v>
      </c>
      <c r="E130" s="3747" t="s">
        <v>880</v>
      </c>
      <c r="F130" s="3743" t="s">
        <v>3030</v>
      </c>
      <c r="G130" s="1107">
        <v>8900</v>
      </c>
      <c r="H130" s="1768">
        <v>387.2</v>
      </c>
      <c r="I130" s="4310">
        <v>0</v>
      </c>
      <c r="J130" s="3756">
        <v>36.299999999999301</v>
      </c>
      <c r="K130" s="3754">
        <v>0</v>
      </c>
      <c r="L130" s="3754">
        <v>0</v>
      </c>
      <c r="M130" s="3749">
        <v>8476.5</v>
      </c>
      <c r="N130" s="3464">
        <v>8512.7999999999993</v>
      </c>
      <c r="O130" s="3763">
        <v>0</v>
      </c>
      <c r="P130" s="3760">
        <f t="shared" si="7"/>
        <v>8512.7999999999993</v>
      </c>
      <c r="Q130" s="3309">
        <v>0</v>
      </c>
      <c r="R130" s="498">
        <v>0</v>
      </c>
      <c r="S130" s="3756">
        <v>0</v>
      </c>
      <c r="T130" s="3754">
        <v>0</v>
      </c>
      <c r="U130" s="401">
        <v>0</v>
      </c>
      <c r="V130" s="3246">
        <v>0</v>
      </c>
      <c r="W130" s="3688">
        <v>0</v>
      </c>
      <c r="X130" s="3691">
        <v>0</v>
      </c>
      <c r="Y130" s="3691">
        <v>0</v>
      </c>
      <c r="Z130" s="3688">
        <v>0</v>
      </c>
      <c r="AA130" s="2800">
        <v>0</v>
      </c>
      <c r="AB130" s="3747" t="s">
        <v>3238</v>
      </c>
      <c r="AC130" s="3747" t="s">
        <v>33</v>
      </c>
      <c r="AD130" s="3462" t="s">
        <v>2831</v>
      </c>
      <c r="AE130" s="3462" t="s">
        <v>1282</v>
      </c>
      <c r="AF130" s="3462" t="s">
        <v>1282</v>
      </c>
      <c r="AG130" s="3753" t="s">
        <v>1446</v>
      </c>
      <c r="AH130" s="3747" t="s">
        <v>3031</v>
      </c>
    </row>
    <row r="131" spans="1:34" ht="25.5" outlineLevel="1" x14ac:dyDescent="0.25">
      <c r="A131" s="2948" t="s">
        <v>1776</v>
      </c>
      <c r="B131" s="2948" t="s">
        <v>2901</v>
      </c>
      <c r="C131" s="919" t="s">
        <v>3322</v>
      </c>
      <c r="D131" s="919" t="s">
        <v>881</v>
      </c>
      <c r="E131" s="919" t="s">
        <v>881</v>
      </c>
      <c r="F131" s="2949" t="s">
        <v>3032</v>
      </c>
      <c r="G131" s="2950">
        <v>2361.1423100000002</v>
      </c>
      <c r="H131" s="3087">
        <v>1761.14231</v>
      </c>
      <c r="I131" s="4314">
        <v>0</v>
      </c>
      <c r="J131" s="2884">
        <v>600</v>
      </c>
      <c r="K131" s="1635">
        <v>0</v>
      </c>
      <c r="L131" s="1635">
        <v>0</v>
      </c>
      <c r="M131" s="2885">
        <v>0</v>
      </c>
      <c r="N131" s="3962">
        <v>1138.8576900000003</v>
      </c>
      <c r="O131" s="3963">
        <v>-538.85769000000005</v>
      </c>
      <c r="P131" s="3964">
        <f t="shared" si="7"/>
        <v>600.00000000000023</v>
      </c>
      <c r="Q131" s="3965">
        <v>0</v>
      </c>
      <c r="R131" s="2887">
        <v>0</v>
      </c>
      <c r="S131" s="2884">
        <v>0</v>
      </c>
      <c r="T131" s="1635">
        <v>0</v>
      </c>
      <c r="U131" s="2160">
        <v>0</v>
      </c>
      <c r="V131" s="3966">
        <v>0</v>
      </c>
      <c r="W131" s="3968">
        <v>0</v>
      </c>
      <c r="X131" s="3967">
        <v>0</v>
      </c>
      <c r="Y131" s="3967">
        <v>0</v>
      </c>
      <c r="Z131" s="3968">
        <v>0</v>
      </c>
      <c r="AA131" s="3969">
        <v>0</v>
      </c>
      <c r="AB131" s="919" t="s">
        <v>3239</v>
      </c>
      <c r="AC131" s="919" t="s">
        <v>43</v>
      </c>
      <c r="AD131" s="2937" t="s">
        <v>2831</v>
      </c>
      <c r="AE131" s="2937" t="s">
        <v>1283</v>
      </c>
      <c r="AF131" s="2937" t="s">
        <v>1283</v>
      </c>
      <c r="AG131" s="2709" t="s">
        <v>1447</v>
      </c>
      <c r="AH131" s="919" t="s">
        <v>3031</v>
      </c>
    </row>
    <row r="132" spans="1:34" ht="25.5" outlineLevel="1" x14ac:dyDescent="0.25">
      <c r="A132" s="3727" t="s">
        <v>1777</v>
      </c>
      <c r="B132" s="3727" t="s">
        <v>1230</v>
      </c>
      <c r="C132" s="3747" t="s">
        <v>3322</v>
      </c>
      <c r="D132" s="3747" t="s">
        <v>882</v>
      </c>
      <c r="E132" s="3747" t="s">
        <v>882</v>
      </c>
      <c r="F132" s="3743" t="s">
        <v>3033</v>
      </c>
      <c r="G132" s="1107">
        <v>3450</v>
      </c>
      <c r="H132" s="1768">
        <v>0</v>
      </c>
      <c r="I132" s="4310">
        <v>0</v>
      </c>
      <c r="J132" s="3756">
        <v>0</v>
      </c>
      <c r="K132" s="3754">
        <v>0</v>
      </c>
      <c r="L132" s="3754">
        <v>0</v>
      </c>
      <c r="M132" s="3749">
        <v>0</v>
      </c>
      <c r="N132" s="3464">
        <v>0</v>
      </c>
      <c r="O132" s="3763">
        <v>0</v>
      </c>
      <c r="P132" s="3760">
        <f t="shared" si="7"/>
        <v>0</v>
      </c>
      <c r="Q132" s="3309">
        <v>2650</v>
      </c>
      <c r="R132" s="498">
        <v>0</v>
      </c>
      <c r="S132" s="3756">
        <v>0</v>
      </c>
      <c r="T132" s="3754">
        <v>0</v>
      </c>
      <c r="U132" s="401">
        <v>800</v>
      </c>
      <c r="V132" s="3246">
        <v>0</v>
      </c>
      <c r="W132" s="3688">
        <v>0</v>
      </c>
      <c r="X132" s="3691">
        <v>0</v>
      </c>
      <c r="Y132" s="3691">
        <v>0</v>
      </c>
      <c r="Z132" s="3688">
        <v>0</v>
      </c>
      <c r="AA132" s="2800">
        <v>0</v>
      </c>
      <c r="AB132" s="3747" t="s">
        <v>1209</v>
      </c>
      <c r="AC132" s="3747" t="s">
        <v>33</v>
      </c>
      <c r="AD132" s="3462" t="s">
        <v>2834</v>
      </c>
      <c r="AE132" s="3462" t="s">
        <v>1282</v>
      </c>
      <c r="AF132" s="3462" t="s">
        <v>1282</v>
      </c>
      <c r="AG132" s="3753" t="s">
        <v>1452</v>
      </c>
      <c r="AH132" s="3747" t="s">
        <v>2942</v>
      </c>
    </row>
    <row r="133" spans="1:34" ht="25.5" outlineLevel="1" x14ac:dyDescent="0.25">
      <c r="A133" s="3727" t="s">
        <v>1780</v>
      </c>
      <c r="B133" s="3727" t="s">
        <v>1230</v>
      </c>
      <c r="C133" s="3747" t="s">
        <v>3322</v>
      </c>
      <c r="D133" s="3747" t="s">
        <v>886</v>
      </c>
      <c r="E133" s="3747" t="s">
        <v>886</v>
      </c>
      <c r="F133" s="3743" t="s">
        <v>887</v>
      </c>
      <c r="G133" s="1107">
        <v>16000</v>
      </c>
      <c r="H133" s="1768">
        <v>0</v>
      </c>
      <c r="I133" s="4310">
        <v>0</v>
      </c>
      <c r="J133" s="3756">
        <v>0</v>
      </c>
      <c r="K133" s="3754">
        <v>0</v>
      </c>
      <c r="L133" s="3754">
        <v>0</v>
      </c>
      <c r="M133" s="3749">
        <v>0</v>
      </c>
      <c r="N133" s="3464">
        <v>0</v>
      </c>
      <c r="O133" s="3763">
        <v>0</v>
      </c>
      <c r="P133" s="3760">
        <f t="shared" si="7"/>
        <v>0</v>
      </c>
      <c r="Q133" s="3309">
        <v>16000</v>
      </c>
      <c r="R133" s="498">
        <v>0</v>
      </c>
      <c r="S133" s="3756">
        <v>0</v>
      </c>
      <c r="T133" s="3754">
        <v>0</v>
      </c>
      <c r="U133" s="401">
        <v>0</v>
      </c>
      <c r="V133" s="3246">
        <v>0</v>
      </c>
      <c r="W133" s="3688">
        <v>0</v>
      </c>
      <c r="X133" s="3691">
        <v>0</v>
      </c>
      <c r="Y133" s="3691">
        <v>0</v>
      </c>
      <c r="Z133" s="3688">
        <v>0</v>
      </c>
      <c r="AA133" s="2800">
        <v>0</v>
      </c>
      <c r="AB133" s="3747" t="s">
        <v>1209</v>
      </c>
      <c r="AC133" s="3747" t="s">
        <v>33</v>
      </c>
      <c r="AD133" s="3462" t="s">
        <v>2834</v>
      </c>
      <c r="AE133" s="3462" t="s">
        <v>1282</v>
      </c>
      <c r="AF133" s="3462" t="s">
        <v>1282</v>
      </c>
      <c r="AG133" s="3753" t="s">
        <v>1452</v>
      </c>
      <c r="AH133" s="3747" t="s">
        <v>2936</v>
      </c>
    </row>
    <row r="134" spans="1:34" ht="25.5" outlineLevel="1" x14ac:dyDescent="0.25">
      <c r="A134" s="3727" t="s">
        <v>1781</v>
      </c>
      <c r="B134" s="3727" t="s">
        <v>1230</v>
      </c>
      <c r="C134" s="3747" t="s">
        <v>3322</v>
      </c>
      <c r="D134" s="3747" t="s">
        <v>219</v>
      </c>
      <c r="E134" s="3747" t="s">
        <v>219</v>
      </c>
      <c r="F134" s="3743" t="s">
        <v>888</v>
      </c>
      <c r="G134" s="1107">
        <v>2000</v>
      </c>
      <c r="H134" s="1768">
        <v>0</v>
      </c>
      <c r="I134" s="4310">
        <v>0</v>
      </c>
      <c r="J134" s="3756">
        <v>0</v>
      </c>
      <c r="K134" s="3754">
        <v>0</v>
      </c>
      <c r="L134" s="3754">
        <v>0</v>
      </c>
      <c r="M134" s="3749">
        <v>0</v>
      </c>
      <c r="N134" s="3464">
        <v>0</v>
      </c>
      <c r="O134" s="3763">
        <v>0</v>
      </c>
      <c r="P134" s="3760">
        <f t="shared" si="7"/>
        <v>0</v>
      </c>
      <c r="Q134" s="3309">
        <v>2000</v>
      </c>
      <c r="R134" s="498">
        <v>0</v>
      </c>
      <c r="S134" s="3756">
        <v>0</v>
      </c>
      <c r="T134" s="3754">
        <v>0</v>
      </c>
      <c r="U134" s="401">
        <v>0</v>
      </c>
      <c r="V134" s="3246">
        <v>0</v>
      </c>
      <c r="W134" s="3688">
        <v>0</v>
      </c>
      <c r="X134" s="3691">
        <v>0</v>
      </c>
      <c r="Y134" s="3691">
        <v>0</v>
      </c>
      <c r="Z134" s="3688">
        <v>0</v>
      </c>
      <c r="AA134" s="2800">
        <v>0</v>
      </c>
      <c r="AB134" s="3747" t="s">
        <v>1209</v>
      </c>
      <c r="AC134" s="3747" t="s">
        <v>33</v>
      </c>
      <c r="AD134" s="3462" t="s">
        <v>2834</v>
      </c>
      <c r="AE134" s="3462" t="s">
        <v>1282</v>
      </c>
      <c r="AF134" s="3462" t="s">
        <v>1282</v>
      </c>
      <c r="AG134" s="3753" t="s">
        <v>1452</v>
      </c>
      <c r="AH134" s="3747" t="s">
        <v>2932</v>
      </c>
    </row>
    <row r="135" spans="1:34" ht="25.5" outlineLevel="1" x14ac:dyDescent="0.25">
      <c r="A135" s="3727" t="s">
        <v>1783</v>
      </c>
      <c r="B135" s="3727" t="s">
        <v>2637</v>
      </c>
      <c r="C135" s="3747" t="s">
        <v>3322</v>
      </c>
      <c r="D135" s="3747" t="s">
        <v>889</v>
      </c>
      <c r="E135" s="3747" t="s">
        <v>889</v>
      </c>
      <c r="F135" s="3743" t="s">
        <v>891</v>
      </c>
      <c r="G135" s="3292">
        <f>11718-0.2</f>
        <v>11717.8</v>
      </c>
      <c r="H135" s="1768">
        <v>389.62</v>
      </c>
      <c r="I135" s="4310">
        <v>0</v>
      </c>
      <c r="J135" s="3756">
        <v>0</v>
      </c>
      <c r="K135" s="3754">
        <v>0</v>
      </c>
      <c r="L135" s="3754">
        <v>0</v>
      </c>
      <c r="M135" s="3749">
        <v>11328.18</v>
      </c>
      <c r="N135" s="3464">
        <v>11328.18</v>
      </c>
      <c r="O135" s="3763">
        <v>0</v>
      </c>
      <c r="P135" s="3760">
        <f t="shared" si="7"/>
        <v>11328.18</v>
      </c>
      <c r="Q135" s="3367">
        <v>0</v>
      </c>
      <c r="R135" s="3757">
        <v>0</v>
      </c>
      <c r="S135" s="3756">
        <v>0</v>
      </c>
      <c r="T135" s="3754">
        <v>0</v>
      </c>
      <c r="U135" s="3459">
        <v>0</v>
      </c>
      <c r="V135" s="3731">
        <v>0</v>
      </c>
      <c r="W135" s="3733">
        <v>0</v>
      </c>
      <c r="X135" s="3765">
        <v>0</v>
      </c>
      <c r="Y135" s="3765">
        <v>0</v>
      </c>
      <c r="Z135" s="3733">
        <v>0</v>
      </c>
      <c r="AA135" s="3456">
        <v>0</v>
      </c>
      <c r="AB135" s="3747" t="s">
        <v>1209</v>
      </c>
      <c r="AC135" s="3747" t="s">
        <v>33</v>
      </c>
      <c r="AD135" s="3462" t="s">
        <v>2796</v>
      </c>
      <c r="AE135" s="3462" t="s">
        <v>1282</v>
      </c>
      <c r="AF135" s="3462" t="s">
        <v>1282</v>
      </c>
      <c r="AG135" s="3753" t="s">
        <v>1446</v>
      </c>
      <c r="AH135" s="3747" t="s">
        <v>2938</v>
      </c>
    </row>
    <row r="136" spans="1:34" ht="25.5" outlineLevel="1" x14ac:dyDescent="0.25">
      <c r="A136" s="3727" t="s">
        <v>1784</v>
      </c>
      <c r="B136" s="3727" t="s">
        <v>1230</v>
      </c>
      <c r="C136" s="3747" t="s">
        <v>3322</v>
      </c>
      <c r="D136" s="3747" t="s">
        <v>895</v>
      </c>
      <c r="E136" s="3747" t="s">
        <v>895</v>
      </c>
      <c r="F136" s="3743" t="s">
        <v>896</v>
      </c>
      <c r="G136" s="1107">
        <v>2800</v>
      </c>
      <c r="H136" s="1768">
        <v>0</v>
      </c>
      <c r="I136" s="4310">
        <v>0</v>
      </c>
      <c r="J136" s="3756">
        <v>0</v>
      </c>
      <c r="K136" s="3754">
        <v>0</v>
      </c>
      <c r="L136" s="3754">
        <v>0</v>
      </c>
      <c r="M136" s="3749">
        <v>2100</v>
      </c>
      <c r="N136" s="3464">
        <v>2100</v>
      </c>
      <c r="O136" s="3763">
        <v>0</v>
      </c>
      <c r="P136" s="3760">
        <f t="shared" si="7"/>
        <v>2100</v>
      </c>
      <c r="Q136" s="3309">
        <v>0</v>
      </c>
      <c r="R136" s="498">
        <v>0</v>
      </c>
      <c r="S136" s="3756">
        <v>0</v>
      </c>
      <c r="T136" s="3754">
        <v>0</v>
      </c>
      <c r="U136" s="401">
        <v>700</v>
      </c>
      <c r="V136" s="3246">
        <v>0</v>
      </c>
      <c r="W136" s="3688">
        <v>0</v>
      </c>
      <c r="X136" s="3691">
        <v>0</v>
      </c>
      <c r="Y136" s="3691">
        <v>0</v>
      </c>
      <c r="Z136" s="3688">
        <v>0</v>
      </c>
      <c r="AA136" s="2800">
        <v>0</v>
      </c>
      <c r="AB136" s="3747" t="s">
        <v>1209</v>
      </c>
      <c r="AC136" s="3747" t="s">
        <v>33</v>
      </c>
      <c r="AD136" s="3462" t="s">
        <v>2798</v>
      </c>
      <c r="AE136" s="3462" t="s">
        <v>1282</v>
      </c>
      <c r="AF136" s="3753" t="s">
        <v>1282</v>
      </c>
      <c r="AG136" s="3753" t="s">
        <v>1448</v>
      </c>
      <c r="AH136" s="3747" t="s">
        <v>2932</v>
      </c>
    </row>
    <row r="137" spans="1:34" ht="30" outlineLevel="1" x14ac:dyDescent="0.25">
      <c r="A137" s="3727" t="s">
        <v>1786</v>
      </c>
      <c r="B137" s="3727" t="s">
        <v>1230</v>
      </c>
      <c r="C137" s="3747" t="s">
        <v>3322</v>
      </c>
      <c r="D137" s="3747" t="s">
        <v>26</v>
      </c>
      <c r="E137" s="3747" t="s">
        <v>901</v>
      </c>
      <c r="F137" s="3743" t="s">
        <v>3035</v>
      </c>
      <c r="G137" s="1107">
        <v>18000</v>
      </c>
      <c r="H137" s="1768">
        <v>0</v>
      </c>
      <c r="I137" s="4310">
        <v>0</v>
      </c>
      <c r="J137" s="3756">
        <v>0</v>
      </c>
      <c r="K137" s="3754">
        <v>0</v>
      </c>
      <c r="L137" s="3754">
        <v>0</v>
      </c>
      <c r="M137" s="3749">
        <v>0</v>
      </c>
      <c r="N137" s="3464">
        <v>0</v>
      </c>
      <c r="O137" s="3763">
        <v>0</v>
      </c>
      <c r="P137" s="3760">
        <f t="shared" si="7"/>
        <v>0</v>
      </c>
      <c r="Q137" s="3309">
        <v>18000</v>
      </c>
      <c r="R137" s="498">
        <v>0</v>
      </c>
      <c r="S137" s="3756">
        <v>0</v>
      </c>
      <c r="T137" s="3754">
        <v>0</v>
      </c>
      <c r="U137" s="401">
        <v>0</v>
      </c>
      <c r="V137" s="3246">
        <v>0</v>
      </c>
      <c r="W137" s="3688">
        <v>0</v>
      </c>
      <c r="X137" s="3691">
        <v>0</v>
      </c>
      <c r="Y137" s="3691">
        <v>0</v>
      </c>
      <c r="Z137" s="3688">
        <v>0</v>
      </c>
      <c r="AA137" s="2800">
        <v>0</v>
      </c>
      <c r="AB137" s="3747" t="s">
        <v>1209</v>
      </c>
      <c r="AC137" s="3747" t="s">
        <v>33</v>
      </c>
      <c r="AD137" s="3462" t="s">
        <v>2834</v>
      </c>
      <c r="AE137" s="3462" t="s">
        <v>1282</v>
      </c>
      <c r="AF137" s="3462" t="s">
        <v>1282</v>
      </c>
      <c r="AG137" s="3753" t="s">
        <v>1452</v>
      </c>
      <c r="AH137" s="3747" t="s">
        <v>2924</v>
      </c>
    </row>
    <row r="138" spans="1:34" ht="25.5" outlineLevel="1" x14ac:dyDescent="0.25">
      <c r="A138" s="3727" t="s">
        <v>1787</v>
      </c>
      <c r="B138" s="3727" t="s">
        <v>1230</v>
      </c>
      <c r="C138" s="3747" t="s">
        <v>3322</v>
      </c>
      <c r="D138" s="3747" t="s">
        <v>902</v>
      </c>
      <c r="E138" s="3747" t="s">
        <v>902</v>
      </c>
      <c r="F138" s="3743" t="s">
        <v>903</v>
      </c>
      <c r="G138" s="1107">
        <v>3000</v>
      </c>
      <c r="H138" s="1768">
        <v>0</v>
      </c>
      <c r="I138" s="4310">
        <v>0</v>
      </c>
      <c r="J138" s="3756">
        <v>0</v>
      </c>
      <c r="K138" s="3754">
        <v>0</v>
      </c>
      <c r="L138" s="3754">
        <v>0</v>
      </c>
      <c r="M138" s="3749">
        <v>0</v>
      </c>
      <c r="N138" s="3464">
        <v>0</v>
      </c>
      <c r="O138" s="3763">
        <v>0</v>
      </c>
      <c r="P138" s="3760">
        <f t="shared" si="7"/>
        <v>0</v>
      </c>
      <c r="Q138" s="2800">
        <v>3000</v>
      </c>
      <c r="R138" s="498">
        <v>0</v>
      </c>
      <c r="S138" s="3756">
        <v>0</v>
      </c>
      <c r="T138" s="3754">
        <v>0</v>
      </c>
      <c r="U138" s="401">
        <v>0</v>
      </c>
      <c r="V138" s="3246">
        <v>0</v>
      </c>
      <c r="W138" s="3688">
        <v>0</v>
      </c>
      <c r="X138" s="3691">
        <v>0</v>
      </c>
      <c r="Y138" s="3691">
        <v>0</v>
      </c>
      <c r="Z138" s="3688">
        <v>0</v>
      </c>
      <c r="AA138" s="2800">
        <v>0</v>
      </c>
      <c r="AB138" s="3747" t="s">
        <v>1209</v>
      </c>
      <c r="AC138" s="3747" t="s">
        <v>33</v>
      </c>
      <c r="AD138" s="3462" t="s">
        <v>2834</v>
      </c>
      <c r="AE138" s="3462" t="s">
        <v>1282</v>
      </c>
      <c r="AF138" s="3462" t="s">
        <v>1282</v>
      </c>
      <c r="AG138" s="3753" t="s">
        <v>1452</v>
      </c>
      <c r="AH138" s="3747" t="s">
        <v>2940</v>
      </c>
    </row>
    <row r="139" spans="1:34" ht="25.5" outlineLevel="1" x14ac:dyDescent="0.25">
      <c r="A139" s="3727" t="s">
        <v>1788</v>
      </c>
      <c r="B139" s="3727" t="s">
        <v>1230</v>
      </c>
      <c r="C139" s="3747" t="s">
        <v>3322</v>
      </c>
      <c r="D139" s="3747" t="s">
        <v>26</v>
      </c>
      <c r="E139" s="3747" t="s">
        <v>1722</v>
      </c>
      <c r="F139" s="3743" t="s">
        <v>3036</v>
      </c>
      <c r="G139" s="1107">
        <v>10000</v>
      </c>
      <c r="H139" s="1768">
        <v>0</v>
      </c>
      <c r="I139" s="4310">
        <v>0</v>
      </c>
      <c r="J139" s="3756">
        <v>0</v>
      </c>
      <c r="K139" s="3754">
        <v>0</v>
      </c>
      <c r="L139" s="3754">
        <v>0</v>
      </c>
      <c r="M139" s="3749">
        <v>5000</v>
      </c>
      <c r="N139" s="3464">
        <v>5000</v>
      </c>
      <c r="O139" s="3763">
        <v>0</v>
      </c>
      <c r="P139" s="3760">
        <f t="shared" si="7"/>
        <v>5000</v>
      </c>
      <c r="Q139" s="3309">
        <v>5000</v>
      </c>
      <c r="R139" s="498">
        <v>0</v>
      </c>
      <c r="S139" s="3756">
        <v>0</v>
      </c>
      <c r="T139" s="3754">
        <v>0</v>
      </c>
      <c r="U139" s="401">
        <v>0</v>
      </c>
      <c r="V139" s="3246">
        <v>0</v>
      </c>
      <c r="W139" s="3688">
        <v>0</v>
      </c>
      <c r="X139" s="3691">
        <v>0</v>
      </c>
      <c r="Y139" s="3691">
        <v>0</v>
      </c>
      <c r="Z139" s="3688">
        <v>0</v>
      </c>
      <c r="AA139" s="2800">
        <v>0</v>
      </c>
      <c r="AB139" s="3747" t="s">
        <v>1209</v>
      </c>
      <c r="AC139" s="3747" t="s">
        <v>33</v>
      </c>
      <c r="AD139" s="3462" t="s">
        <v>2796</v>
      </c>
      <c r="AE139" s="3462" t="s">
        <v>1282</v>
      </c>
      <c r="AF139" s="3462" t="s">
        <v>1282</v>
      </c>
      <c r="AG139" s="3753" t="s">
        <v>1447</v>
      </c>
      <c r="AH139" s="3747" t="s">
        <v>2940</v>
      </c>
    </row>
    <row r="140" spans="1:34" ht="30" outlineLevel="1" x14ac:dyDescent="0.25">
      <c r="A140" s="3727" t="s">
        <v>1791</v>
      </c>
      <c r="B140" s="3727" t="s">
        <v>1230</v>
      </c>
      <c r="C140" s="3747" t="s">
        <v>3322</v>
      </c>
      <c r="D140" s="3747" t="s">
        <v>300</v>
      </c>
      <c r="E140" s="3747" t="s">
        <v>300</v>
      </c>
      <c r="F140" s="3743" t="s">
        <v>908</v>
      </c>
      <c r="G140" s="1107">
        <v>1000</v>
      </c>
      <c r="H140" s="1768">
        <v>0</v>
      </c>
      <c r="I140" s="4310">
        <v>0</v>
      </c>
      <c r="J140" s="3756">
        <v>0</v>
      </c>
      <c r="K140" s="3754">
        <v>0</v>
      </c>
      <c r="L140" s="3754">
        <v>0</v>
      </c>
      <c r="M140" s="3749">
        <v>0</v>
      </c>
      <c r="N140" s="3464">
        <v>0</v>
      </c>
      <c r="O140" s="3763">
        <v>0</v>
      </c>
      <c r="P140" s="3760">
        <f t="shared" si="7"/>
        <v>0</v>
      </c>
      <c r="Q140" s="3309">
        <v>1000</v>
      </c>
      <c r="R140" s="498">
        <v>0</v>
      </c>
      <c r="S140" s="3756">
        <v>0</v>
      </c>
      <c r="T140" s="3754">
        <v>0</v>
      </c>
      <c r="U140" s="401">
        <v>0</v>
      </c>
      <c r="V140" s="3246">
        <v>0</v>
      </c>
      <c r="W140" s="3688">
        <v>0</v>
      </c>
      <c r="X140" s="3691">
        <v>0</v>
      </c>
      <c r="Y140" s="3691">
        <v>0</v>
      </c>
      <c r="Z140" s="3688">
        <v>0</v>
      </c>
      <c r="AA140" s="2800">
        <v>0</v>
      </c>
      <c r="AB140" s="3747" t="s">
        <v>1209</v>
      </c>
      <c r="AC140" s="3747" t="s">
        <v>33</v>
      </c>
      <c r="AD140" s="3462" t="s">
        <v>2834</v>
      </c>
      <c r="AE140" s="3462" t="s">
        <v>1282</v>
      </c>
      <c r="AF140" s="3462" t="s">
        <v>1282</v>
      </c>
      <c r="AG140" s="3753" t="s">
        <v>1452</v>
      </c>
      <c r="AH140" s="3747" t="s">
        <v>2940</v>
      </c>
    </row>
    <row r="141" spans="1:34" ht="25.5" outlineLevel="1" x14ac:dyDescent="0.25">
      <c r="A141" s="3727" t="s">
        <v>1792</v>
      </c>
      <c r="B141" s="3727" t="s">
        <v>1230</v>
      </c>
      <c r="C141" s="3747" t="s">
        <v>3322</v>
      </c>
      <c r="D141" s="3747" t="s">
        <v>26</v>
      </c>
      <c r="E141" s="3747" t="s">
        <v>909</v>
      </c>
      <c r="F141" s="3743" t="s">
        <v>3037</v>
      </c>
      <c r="G141" s="1107">
        <v>27969.15</v>
      </c>
      <c r="H141" s="1768">
        <v>0</v>
      </c>
      <c r="I141" s="4310">
        <v>0</v>
      </c>
      <c r="J141" s="3756">
        <v>0</v>
      </c>
      <c r="K141" s="3754">
        <v>0</v>
      </c>
      <c r="L141" s="3754">
        <v>0</v>
      </c>
      <c r="M141" s="3749">
        <v>0</v>
      </c>
      <c r="N141" s="3464">
        <v>0</v>
      </c>
      <c r="O141" s="3763">
        <v>0</v>
      </c>
      <c r="P141" s="3760">
        <f t="shared" si="7"/>
        <v>0</v>
      </c>
      <c r="Q141" s="3309">
        <v>27969.15</v>
      </c>
      <c r="R141" s="498">
        <v>0</v>
      </c>
      <c r="S141" s="3756">
        <v>0</v>
      </c>
      <c r="T141" s="3754">
        <v>0</v>
      </c>
      <c r="U141" s="401">
        <v>0</v>
      </c>
      <c r="V141" s="3246">
        <v>0</v>
      </c>
      <c r="W141" s="3688">
        <v>0</v>
      </c>
      <c r="X141" s="3691">
        <v>0</v>
      </c>
      <c r="Y141" s="3691">
        <v>0</v>
      </c>
      <c r="Z141" s="3688">
        <v>0</v>
      </c>
      <c r="AA141" s="2800">
        <v>0</v>
      </c>
      <c r="AB141" s="1305" t="s">
        <v>1209</v>
      </c>
      <c r="AC141" s="3747" t="s">
        <v>33</v>
      </c>
      <c r="AD141" s="3462" t="s">
        <v>2834</v>
      </c>
      <c r="AE141" s="3462" t="s">
        <v>1282</v>
      </c>
      <c r="AF141" s="3462" t="s">
        <v>1282</v>
      </c>
      <c r="AG141" s="3753" t="s">
        <v>1452</v>
      </c>
      <c r="AH141" s="3747" t="s">
        <v>2937</v>
      </c>
    </row>
    <row r="142" spans="1:34" ht="26.25" outlineLevel="1" thickBot="1" x14ac:dyDescent="0.3">
      <c r="A142" s="169" t="s">
        <v>1793</v>
      </c>
      <c r="B142" s="169" t="s">
        <v>1230</v>
      </c>
      <c r="C142" s="3450" t="s">
        <v>3322</v>
      </c>
      <c r="D142" s="3450" t="s">
        <v>237</v>
      </c>
      <c r="E142" s="3450" t="s">
        <v>237</v>
      </c>
      <c r="F142" s="1412" t="s">
        <v>3038</v>
      </c>
      <c r="G142" s="1426">
        <v>4500</v>
      </c>
      <c r="H142" s="1294">
        <v>0</v>
      </c>
      <c r="I142" s="4315">
        <v>0</v>
      </c>
      <c r="J142" s="2804">
        <v>0</v>
      </c>
      <c r="K142" s="371">
        <v>0</v>
      </c>
      <c r="L142" s="371">
        <v>0</v>
      </c>
      <c r="M142" s="51">
        <v>0</v>
      </c>
      <c r="N142" s="3372">
        <v>0</v>
      </c>
      <c r="O142" s="3540">
        <v>0</v>
      </c>
      <c r="P142" s="3484">
        <f t="shared" si="7"/>
        <v>0</v>
      </c>
      <c r="Q142" s="3310">
        <v>4500</v>
      </c>
      <c r="R142" s="492">
        <v>0</v>
      </c>
      <c r="S142" s="2804">
        <v>0</v>
      </c>
      <c r="T142" s="371">
        <v>0</v>
      </c>
      <c r="U142" s="1467">
        <v>0</v>
      </c>
      <c r="V142" s="3568">
        <v>0</v>
      </c>
      <c r="W142" s="3689">
        <v>0</v>
      </c>
      <c r="X142" s="3698">
        <v>0</v>
      </c>
      <c r="Y142" s="3698">
        <v>0</v>
      </c>
      <c r="Z142" s="3689">
        <v>0</v>
      </c>
      <c r="AA142" s="3311">
        <v>0</v>
      </c>
      <c r="AB142" s="3626" t="s">
        <v>1209</v>
      </c>
      <c r="AC142" s="3450" t="s">
        <v>33</v>
      </c>
      <c r="AD142" s="349" t="s">
        <v>2834</v>
      </c>
      <c r="AE142" s="349" t="s">
        <v>1282</v>
      </c>
      <c r="AF142" s="349" t="s">
        <v>1282</v>
      </c>
      <c r="AG142" s="174" t="s">
        <v>1452</v>
      </c>
      <c r="AH142" s="3450" t="s">
        <v>2937</v>
      </c>
    </row>
    <row r="143" spans="1:34" ht="26.25" outlineLevel="1" thickBot="1" x14ac:dyDescent="0.3">
      <c r="A143" s="3970" t="s">
        <v>1833</v>
      </c>
      <c r="B143" s="3971" t="s">
        <v>2638</v>
      </c>
      <c r="C143" s="3972" t="s">
        <v>2578</v>
      </c>
      <c r="D143" s="3973" t="s">
        <v>1834</v>
      </c>
      <c r="E143" s="3974" t="s">
        <v>1834</v>
      </c>
      <c r="F143" s="3975" t="s">
        <v>1835</v>
      </c>
      <c r="G143" s="3976">
        <f>6837.15279+642.09951</f>
        <v>7479.2523000000001</v>
      </c>
      <c r="H143" s="3977">
        <v>6192.3090000000011</v>
      </c>
      <c r="I143" s="3978">
        <v>0</v>
      </c>
      <c r="J143" s="3978">
        <v>644.84379000000001</v>
      </c>
      <c r="K143" s="3979">
        <v>0</v>
      </c>
      <c r="L143" s="3979">
        <v>0</v>
      </c>
      <c r="M143" s="3980">
        <v>0</v>
      </c>
      <c r="N143" s="3981">
        <v>644.84379000000001</v>
      </c>
      <c r="O143" s="3982">
        <v>0</v>
      </c>
      <c r="P143" s="3983">
        <f t="shared" si="7"/>
        <v>644.84379000000001</v>
      </c>
      <c r="Q143" s="3984">
        <v>0</v>
      </c>
      <c r="R143" s="3985">
        <v>0</v>
      </c>
      <c r="S143" s="4369">
        <v>0</v>
      </c>
      <c r="T143" s="3986">
        <v>0</v>
      </c>
      <c r="U143" s="3987">
        <v>642.09951000000001</v>
      </c>
      <c r="V143" s="3988">
        <v>0</v>
      </c>
      <c r="W143" s="3989">
        <v>0</v>
      </c>
      <c r="X143" s="3989">
        <v>0</v>
      </c>
      <c r="Y143" s="3989">
        <v>0</v>
      </c>
      <c r="Z143" s="3989">
        <v>0</v>
      </c>
      <c r="AA143" s="3984">
        <v>0</v>
      </c>
      <c r="AB143" s="3973" t="s">
        <v>3240</v>
      </c>
      <c r="AC143" s="3973" t="s">
        <v>43</v>
      </c>
      <c r="AD143" s="3990" t="s">
        <v>1552</v>
      </c>
      <c r="AE143" s="3990" t="s">
        <v>1283</v>
      </c>
      <c r="AF143" s="3990" t="s">
        <v>1283</v>
      </c>
      <c r="AG143" s="3991" t="s">
        <v>1447</v>
      </c>
      <c r="AH143" s="3972" t="s">
        <v>2922</v>
      </c>
    </row>
    <row r="144" spans="1:34" ht="30" outlineLevel="1" x14ac:dyDescent="0.25">
      <c r="A144" s="3712" t="s">
        <v>2641</v>
      </c>
      <c r="B144" s="3712" t="s">
        <v>1230</v>
      </c>
      <c r="C144" s="3736" t="s">
        <v>3325</v>
      </c>
      <c r="D144" s="3736" t="s">
        <v>304</v>
      </c>
      <c r="E144" s="193" t="s">
        <v>304</v>
      </c>
      <c r="F144" s="3742" t="s">
        <v>2642</v>
      </c>
      <c r="G144" s="2794">
        <v>950</v>
      </c>
      <c r="H144" s="1768">
        <v>0</v>
      </c>
      <c r="I144" s="4310">
        <v>0</v>
      </c>
      <c r="J144" s="3755">
        <v>0</v>
      </c>
      <c r="K144" s="3730">
        <v>0</v>
      </c>
      <c r="L144" s="3730">
        <v>0</v>
      </c>
      <c r="M144" s="3735">
        <v>0</v>
      </c>
      <c r="N144" s="3464">
        <v>0</v>
      </c>
      <c r="O144" s="3763">
        <v>0</v>
      </c>
      <c r="P144" s="3759">
        <f t="shared" si="7"/>
        <v>0</v>
      </c>
      <c r="Q144" s="3289">
        <v>950</v>
      </c>
      <c r="R144" s="1109">
        <v>0</v>
      </c>
      <c r="S144" s="3755">
        <v>0</v>
      </c>
      <c r="T144" s="3730">
        <v>0</v>
      </c>
      <c r="U144" s="387">
        <v>0</v>
      </c>
      <c r="V144" s="3306">
        <v>0</v>
      </c>
      <c r="W144" s="3691">
        <v>0</v>
      </c>
      <c r="X144" s="3691">
        <v>0</v>
      </c>
      <c r="Y144" s="3691">
        <v>0</v>
      </c>
      <c r="Z144" s="3691">
        <v>0</v>
      </c>
      <c r="AA144" s="1427">
        <v>0</v>
      </c>
      <c r="AB144" s="3736" t="s">
        <v>1209</v>
      </c>
      <c r="AC144" s="3736" t="s">
        <v>33</v>
      </c>
      <c r="AD144" s="3397" t="s">
        <v>2834</v>
      </c>
      <c r="AE144" s="3397" t="s">
        <v>1282</v>
      </c>
      <c r="AF144" s="3397" t="s">
        <v>1282</v>
      </c>
      <c r="AG144" s="3729" t="s">
        <v>1452</v>
      </c>
      <c r="AH144" s="3736" t="s">
        <v>2944</v>
      </c>
    </row>
    <row r="145" spans="1:34" ht="25.5" outlineLevel="1" x14ac:dyDescent="0.25">
      <c r="A145" s="2922" t="s">
        <v>2643</v>
      </c>
      <c r="B145" s="2922" t="s">
        <v>2693</v>
      </c>
      <c r="C145" s="1347" t="s">
        <v>3325</v>
      </c>
      <c r="D145" s="919" t="s">
        <v>304</v>
      </c>
      <c r="E145" s="1526" t="s">
        <v>304</v>
      </c>
      <c r="F145" s="2949" t="s">
        <v>2644</v>
      </c>
      <c r="G145" s="3992">
        <f>25000+595.95909+511.9191818+128.83187-977.33603</f>
        <v>25259.374111800003</v>
      </c>
      <c r="H145" s="3087">
        <v>18151.49584</v>
      </c>
      <c r="I145" s="4314">
        <v>0</v>
      </c>
      <c r="J145" s="2884">
        <v>3542.3319000000001</v>
      </c>
      <c r="K145" s="1635">
        <v>2328.8362299999999</v>
      </c>
      <c r="L145" s="1635">
        <v>0</v>
      </c>
      <c r="M145" s="2885">
        <v>0</v>
      </c>
      <c r="N145" s="3962">
        <v>6848.5041600000004</v>
      </c>
      <c r="O145" s="3963">
        <v>-977.33603000000005</v>
      </c>
      <c r="P145" s="3964">
        <f t="shared" si="7"/>
        <v>5871.16813</v>
      </c>
      <c r="Q145" s="3965">
        <v>0</v>
      </c>
      <c r="R145" s="3993">
        <v>0</v>
      </c>
      <c r="S145" s="2873">
        <f>595.95909+511.9191818</f>
        <v>1107.8782718</v>
      </c>
      <c r="T145" s="2874">
        <v>0</v>
      </c>
      <c r="U145" s="2160">
        <v>128.83187000000001</v>
      </c>
      <c r="V145" s="3994">
        <v>0</v>
      </c>
      <c r="W145" s="3967">
        <v>0</v>
      </c>
      <c r="X145" s="3967">
        <v>0</v>
      </c>
      <c r="Y145" s="3967">
        <v>0</v>
      </c>
      <c r="Z145" s="3967">
        <v>0</v>
      </c>
      <c r="AA145" s="3995">
        <v>0</v>
      </c>
      <c r="AB145" s="1347" t="s">
        <v>3241</v>
      </c>
      <c r="AC145" s="1347" t="s">
        <v>43</v>
      </c>
      <c r="AD145" s="2923" t="s">
        <v>1552</v>
      </c>
      <c r="AE145" s="2923" t="s">
        <v>1283</v>
      </c>
      <c r="AF145" s="2923" t="s">
        <v>1283</v>
      </c>
      <c r="AG145" s="2709" t="s">
        <v>1447</v>
      </c>
      <c r="AH145" s="919" t="s">
        <v>2944</v>
      </c>
    </row>
    <row r="146" spans="1:34" ht="30" outlineLevel="1" x14ac:dyDescent="0.25">
      <c r="A146" s="3712" t="s">
        <v>2645</v>
      </c>
      <c r="B146" s="3712" t="s">
        <v>1230</v>
      </c>
      <c r="C146" s="3736" t="s">
        <v>3325</v>
      </c>
      <c r="D146" s="3747" t="s">
        <v>26</v>
      </c>
      <c r="E146" s="189" t="s">
        <v>870</v>
      </c>
      <c r="F146" s="3743" t="s">
        <v>3039</v>
      </c>
      <c r="G146" s="2794">
        <v>5100</v>
      </c>
      <c r="H146" s="1768">
        <v>0</v>
      </c>
      <c r="I146" s="4310">
        <v>0</v>
      </c>
      <c r="J146" s="3756">
        <v>0</v>
      </c>
      <c r="K146" s="3754">
        <v>0</v>
      </c>
      <c r="L146" s="3754">
        <v>0</v>
      </c>
      <c r="M146" s="3749">
        <v>0</v>
      </c>
      <c r="N146" s="3464">
        <v>0</v>
      </c>
      <c r="O146" s="3763">
        <v>0</v>
      </c>
      <c r="P146" s="3760">
        <f t="shared" si="7"/>
        <v>0</v>
      </c>
      <c r="Q146" s="3309">
        <v>5100</v>
      </c>
      <c r="R146" s="1109">
        <v>0</v>
      </c>
      <c r="S146" s="3755">
        <v>0</v>
      </c>
      <c r="T146" s="3730">
        <v>0</v>
      </c>
      <c r="U146" s="401">
        <v>0</v>
      </c>
      <c r="V146" s="3306">
        <v>0</v>
      </c>
      <c r="W146" s="3691">
        <v>0</v>
      </c>
      <c r="X146" s="3691">
        <v>0</v>
      </c>
      <c r="Y146" s="3691">
        <v>0</v>
      </c>
      <c r="Z146" s="3691">
        <v>0</v>
      </c>
      <c r="AA146" s="1427">
        <v>0</v>
      </c>
      <c r="AB146" s="3747" t="s">
        <v>1209</v>
      </c>
      <c r="AC146" s="3736" t="s">
        <v>33</v>
      </c>
      <c r="AD146" s="3397" t="s">
        <v>2834</v>
      </c>
      <c r="AE146" s="3397" t="s">
        <v>1282</v>
      </c>
      <c r="AF146" s="3397" t="s">
        <v>1282</v>
      </c>
      <c r="AG146" s="3753" t="s">
        <v>1448</v>
      </c>
      <c r="AH146" s="3747" t="s">
        <v>2939</v>
      </c>
    </row>
    <row r="147" spans="1:34" ht="25.5" outlineLevel="1" x14ac:dyDescent="0.25">
      <c r="A147" s="3712" t="s">
        <v>2649</v>
      </c>
      <c r="B147" s="3712" t="s">
        <v>1230</v>
      </c>
      <c r="C147" s="3736" t="s">
        <v>3325</v>
      </c>
      <c r="D147" s="3747" t="s">
        <v>2650</v>
      </c>
      <c r="E147" s="189" t="s">
        <v>2650</v>
      </c>
      <c r="F147" s="3743" t="s">
        <v>2651</v>
      </c>
      <c r="G147" s="2794">
        <v>8743.5</v>
      </c>
      <c r="H147" s="1768">
        <v>0</v>
      </c>
      <c r="I147" s="4310">
        <v>0</v>
      </c>
      <c r="J147" s="3756">
        <v>0</v>
      </c>
      <c r="K147" s="3754">
        <v>0</v>
      </c>
      <c r="L147" s="3754">
        <v>0</v>
      </c>
      <c r="M147" s="3749">
        <v>0</v>
      </c>
      <c r="N147" s="3464">
        <v>0</v>
      </c>
      <c r="O147" s="3763">
        <v>0</v>
      </c>
      <c r="P147" s="3760">
        <f t="shared" si="7"/>
        <v>0</v>
      </c>
      <c r="Q147" s="3309">
        <v>8743.5</v>
      </c>
      <c r="R147" s="1109">
        <v>0</v>
      </c>
      <c r="S147" s="3755">
        <v>0</v>
      </c>
      <c r="T147" s="3730">
        <v>0</v>
      </c>
      <c r="U147" s="401">
        <v>0</v>
      </c>
      <c r="V147" s="3306">
        <v>0</v>
      </c>
      <c r="W147" s="3691">
        <v>0</v>
      </c>
      <c r="X147" s="3691">
        <v>0</v>
      </c>
      <c r="Y147" s="3691">
        <v>0</v>
      </c>
      <c r="Z147" s="3691">
        <v>0</v>
      </c>
      <c r="AA147" s="1427">
        <v>0</v>
      </c>
      <c r="AB147" s="3747" t="s">
        <v>1209</v>
      </c>
      <c r="AC147" s="3736" t="s">
        <v>33</v>
      </c>
      <c r="AD147" s="3462" t="s">
        <v>2834</v>
      </c>
      <c r="AE147" s="3397" t="s">
        <v>1282</v>
      </c>
      <c r="AF147" s="3397" t="s">
        <v>1282</v>
      </c>
      <c r="AG147" s="3753" t="s">
        <v>1452</v>
      </c>
      <c r="AH147" s="3747" t="s">
        <v>2938</v>
      </c>
    </row>
    <row r="148" spans="1:34" ht="26.25" outlineLevel="1" thickBot="1" x14ac:dyDescent="0.3">
      <c r="A148" s="169" t="s">
        <v>2654</v>
      </c>
      <c r="B148" s="169" t="s">
        <v>1230</v>
      </c>
      <c r="C148" s="3450" t="s">
        <v>3325</v>
      </c>
      <c r="D148" s="3460" t="s">
        <v>2479</v>
      </c>
      <c r="E148" s="258" t="s">
        <v>2479</v>
      </c>
      <c r="F148" s="1412" t="s">
        <v>2655</v>
      </c>
      <c r="G148" s="3055">
        <v>2000</v>
      </c>
      <c r="H148" s="1294">
        <v>0</v>
      </c>
      <c r="I148" s="4316">
        <v>0</v>
      </c>
      <c r="J148" s="2804">
        <v>0</v>
      </c>
      <c r="K148" s="371">
        <v>0</v>
      </c>
      <c r="L148" s="371">
        <v>0</v>
      </c>
      <c r="M148" s="51">
        <v>0</v>
      </c>
      <c r="N148" s="3373">
        <v>0</v>
      </c>
      <c r="O148" s="3538">
        <v>0</v>
      </c>
      <c r="P148" s="3484">
        <f t="shared" si="7"/>
        <v>0</v>
      </c>
      <c r="Q148" s="3310">
        <v>2000</v>
      </c>
      <c r="R148" s="492">
        <v>0</v>
      </c>
      <c r="S148" s="2804">
        <v>0</v>
      </c>
      <c r="T148" s="371">
        <v>0</v>
      </c>
      <c r="U148" s="1467">
        <v>0</v>
      </c>
      <c r="V148" s="3568">
        <v>0</v>
      </c>
      <c r="W148" s="3689">
        <v>0</v>
      </c>
      <c r="X148" s="3689">
        <v>0</v>
      </c>
      <c r="Y148" s="3689">
        <v>0</v>
      </c>
      <c r="Z148" s="3689">
        <v>0</v>
      </c>
      <c r="AA148" s="3311">
        <v>0</v>
      </c>
      <c r="AB148" s="3450" t="s">
        <v>1209</v>
      </c>
      <c r="AC148" s="3460" t="s">
        <v>33</v>
      </c>
      <c r="AD148" s="349" t="s">
        <v>2834</v>
      </c>
      <c r="AE148" s="349" t="s">
        <v>1282</v>
      </c>
      <c r="AF148" s="349" t="s">
        <v>1282</v>
      </c>
      <c r="AG148" s="3753" t="s">
        <v>1452</v>
      </c>
      <c r="AH148" s="3450" t="s">
        <v>3040</v>
      </c>
    </row>
    <row r="149" spans="1:34" ht="30" outlineLevel="1" x14ac:dyDescent="0.25">
      <c r="A149" s="139" t="s">
        <v>2976</v>
      </c>
      <c r="B149" s="139" t="s">
        <v>1230</v>
      </c>
      <c r="C149" s="3447" t="s">
        <v>3118</v>
      </c>
      <c r="D149" s="3278" t="s">
        <v>216</v>
      </c>
      <c r="E149" s="3278" t="s">
        <v>216</v>
      </c>
      <c r="F149" s="219" t="s">
        <v>2977</v>
      </c>
      <c r="G149" s="3669">
        <v>520</v>
      </c>
      <c r="H149" s="3745">
        <v>0</v>
      </c>
      <c r="I149" s="3364">
        <v>0</v>
      </c>
      <c r="J149" s="3442">
        <v>0</v>
      </c>
      <c r="K149" s="3458">
        <v>520</v>
      </c>
      <c r="L149" s="3458">
        <v>0</v>
      </c>
      <c r="M149" s="3362">
        <v>0</v>
      </c>
      <c r="N149" s="3671">
        <v>520</v>
      </c>
      <c r="O149" s="3673">
        <v>0</v>
      </c>
      <c r="P149" s="3487">
        <f t="shared" si="7"/>
        <v>520</v>
      </c>
      <c r="Q149" s="3304">
        <v>0</v>
      </c>
      <c r="R149" s="3286">
        <v>0</v>
      </c>
      <c r="S149" s="3303">
        <v>0</v>
      </c>
      <c r="T149" s="3305">
        <v>0</v>
      </c>
      <c r="U149" s="3304">
        <v>0</v>
      </c>
      <c r="V149" s="3244">
        <v>0</v>
      </c>
      <c r="W149" s="1408">
        <v>0</v>
      </c>
      <c r="X149" s="1408">
        <v>0</v>
      </c>
      <c r="Y149" s="1408">
        <v>0</v>
      </c>
      <c r="Z149" s="1408">
        <v>0</v>
      </c>
      <c r="AA149" s="1468">
        <v>0</v>
      </c>
      <c r="AB149" s="3329" t="s">
        <v>3041</v>
      </c>
      <c r="AC149" s="3447" t="s">
        <v>33</v>
      </c>
      <c r="AD149" s="128" t="s">
        <v>2833</v>
      </c>
      <c r="AE149" s="2795" t="s">
        <v>1282</v>
      </c>
      <c r="AF149" s="128" t="s">
        <v>1282</v>
      </c>
      <c r="AG149" s="911">
        <v>1</v>
      </c>
      <c r="AH149" s="128" t="s">
        <v>2922</v>
      </c>
    </row>
    <row r="150" spans="1:34" ht="30" outlineLevel="1" x14ac:dyDescent="0.25">
      <c r="A150" s="3522" t="s">
        <v>2978</v>
      </c>
      <c r="B150" s="3264" t="s">
        <v>1230</v>
      </c>
      <c r="C150" s="3006" t="s">
        <v>3118</v>
      </c>
      <c r="D150" s="3061" t="s">
        <v>873</v>
      </c>
      <c r="E150" s="3061" t="s">
        <v>873</v>
      </c>
      <c r="F150" s="3073" t="s">
        <v>3042</v>
      </c>
      <c r="G150" s="4017">
        <v>0</v>
      </c>
      <c r="H150" s="3265">
        <v>0</v>
      </c>
      <c r="I150" s="3356">
        <v>0</v>
      </c>
      <c r="J150" s="3609">
        <v>0</v>
      </c>
      <c r="K150" s="3357">
        <v>0</v>
      </c>
      <c r="L150" s="3357">
        <v>0</v>
      </c>
      <c r="M150" s="3291">
        <v>0</v>
      </c>
      <c r="N150" s="3082">
        <v>7855</v>
      </c>
      <c r="O150" s="3481">
        <v>-7855</v>
      </c>
      <c r="P150" s="3523">
        <f t="shared" si="7"/>
        <v>0</v>
      </c>
      <c r="Q150" s="3624">
        <v>0</v>
      </c>
      <c r="R150" s="3082">
        <v>0</v>
      </c>
      <c r="S150" s="3625">
        <v>0</v>
      </c>
      <c r="T150" s="3996">
        <v>0</v>
      </c>
      <c r="U150" s="3624">
        <v>0</v>
      </c>
      <c r="V150" s="3997">
        <v>0</v>
      </c>
      <c r="W150" s="3998">
        <v>0</v>
      </c>
      <c r="X150" s="3999">
        <v>0</v>
      </c>
      <c r="Y150" s="3999">
        <v>0</v>
      </c>
      <c r="Z150" s="3620">
        <v>0</v>
      </c>
      <c r="AA150" s="3276">
        <v>0</v>
      </c>
      <c r="AB150" s="3524" t="s">
        <v>3255</v>
      </c>
      <c r="AC150" s="3006" t="s">
        <v>1300</v>
      </c>
      <c r="AD150" s="3266" t="s">
        <v>2798</v>
      </c>
      <c r="AE150" s="3267" t="s">
        <v>1282</v>
      </c>
      <c r="AF150" s="3266" t="s">
        <v>1282</v>
      </c>
      <c r="AG150" s="1958">
        <v>4</v>
      </c>
      <c r="AH150" s="3266" t="s">
        <v>2934</v>
      </c>
    </row>
    <row r="151" spans="1:34" ht="25.5" outlineLevel="1" x14ac:dyDescent="0.25">
      <c r="A151" s="1407" t="s">
        <v>2979</v>
      </c>
      <c r="B151" s="3727" t="s">
        <v>1230</v>
      </c>
      <c r="C151" s="3747" t="s">
        <v>3118</v>
      </c>
      <c r="D151" s="189" t="s">
        <v>873</v>
      </c>
      <c r="E151" s="189" t="s">
        <v>873</v>
      </c>
      <c r="F151" s="3743" t="s">
        <v>3043</v>
      </c>
      <c r="G151" s="3670">
        <v>1800</v>
      </c>
      <c r="H151" s="3757">
        <v>0</v>
      </c>
      <c r="I151" s="3342">
        <v>0</v>
      </c>
      <c r="J151" s="3731">
        <v>0</v>
      </c>
      <c r="K151" s="3724">
        <v>0</v>
      </c>
      <c r="L151" s="3724">
        <v>1800</v>
      </c>
      <c r="M151" s="3750">
        <v>0</v>
      </c>
      <c r="N151" s="3672">
        <v>1800</v>
      </c>
      <c r="O151" s="3674">
        <v>0</v>
      </c>
      <c r="P151" s="3760">
        <f t="shared" si="7"/>
        <v>1800</v>
      </c>
      <c r="Q151" s="2800">
        <v>0</v>
      </c>
      <c r="R151" s="498">
        <v>0</v>
      </c>
      <c r="S151" s="3246">
        <v>0</v>
      </c>
      <c r="T151" s="1474">
        <v>0</v>
      </c>
      <c r="U151" s="2800">
        <v>0</v>
      </c>
      <c r="V151" s="3242">
        <v>0</v>
      </c>
      <c r="W151" s="790">
        <v>0</v>
      </c>
      <c r="X151" s="1411">
        <v>0</v>
      </c>
      <c r="Y151" s="1411">
        <v>0</v>
      </c>
      <c r="Z151" s="790">
        <v>0</v>
      </c>
      <c r="AA151" s="401">
        <v>0</v>
      </c>
      <c r="AB151" s="3744" t="s">
        <v>3055</v>
      </c>
      <c r="AC151" s="3747" t="s">
        <v>33</v>
      </c>
      <c r="AD151" s="3753" t="s">
        <v>2798</v>
      </c>
      <c r="AE151" s="488" t="s">
        <v>1282</v>
      </c>
      <c r="AF151" s="3753" t="s">
        <v>1282</v>
      </c>
      <c r="AG151" s="765">
        <v>2</v>
      </c>
      <c r="AH151" s="3753" t="s">
        <v>2934</v>
      </c>
    </row>
    <row r="152" spans="1:34" ht="38.25" outlineLevel="1" x14ac:dyDescent="0.25">
      <c r="A152" s="1407" t="s">
        <v>2980</v>
      </c>
      <c r="B152" s="3727" t="s">
        <v>1230</v>
      </c>
      <c r="C152" s="3747" t="s">
        <v>3118</v>
      </c>
      <c r="D152" s="189" t="s">
        <v>209</v>
      </c>
      <c r="E152" s="189" t="s">
        <v>209</v>
      </c>
      <c r="F152" s="3743" t="s">
        <v>3044</v>
      </c>
      <c r="G152" s="3670">
        <v>907</v>
      </c>
      <c r="H152" s="3757">
        <v>0</v>
      </c>
      <c r="I152" s="3342">
        <v>0</v>
      </c>
      <c r="J152" s="3731">
        <v>0</v>
      </c>
      <c r="K152" s="3724">
        <v>0</v>
      </c>
      <c r="L152" s="3724">
        <v>907</v>
      </c>
      <c r="M152" s="3750">
        <v>0</v>
      </c>
      <c r="N152" s="3672">
        <v>907</v>
      </c>
      <c r="O152" s="3674">
        <v>0</v>
      </c>
      <c r="P152" s="3760">
        <f t="shared" si="7"/>
        <v>907</v>
      </c>
      <c r="Q152" s="2800">
        <v>0</v>
      </c>
      <c r="R152" s="498">
        <v>0</v>
      </c>
      <c r="S152" s="3246">
        <v>0</v>
      </c>
      <c r="T152" s="1474">
        <v>0</v>
      </c>
      <c r="U152" s="2800">
        <v>0</v>
      </c>
      <c r="V152" s="3242">
        <v>0</v>
      </c>
      <c r="W152" s="790">
        <v>0</v>
      </c>
      <c r="X152" s="1411">
        <v>0</v>
      </c>
      <c r="Y152" s="1411">
        <v>0</v>
      </c>
      <c r="Z152" s="790">
        <v>0</v>
      </c>
      <c r="AA152" s="401">
        <v>0</v>
      </c>
      <c r="AB152" s="3744" t="s">
        <v>3045</v>
      </c>
      <c r="AC152" s="3747" t="s">
        <v>33</v>
      </c>
      <c r="AD152" s="3753" t="s">
        <v>2798</v>
      </c>
      <c r="AE152" s="488" t="s">
        <v>1282</v>
      </c>
      <c r="AF152" s="3753" t="s">
        <v>1282</v>
      </c>
      <c r="AG152" s="765">
        <v>2</v>
      </c>
      <c r="AH152" s="3753" t="s">
        <v>2930</v>
      </c>
    </row>
    <row r="153" spans="1:34" ht="25.5" outlineLevel="1" x14ac:dyDescent="0.25">
      <c r="A153" s="1407" t="s">
        <v>2981</v>
      </c>
      <c r="B153" s="3727" t="s">
        <v>1230</v>
      </c>
      <c r="C153" s="3747" t="s">
        <v>3118</v>
      </c>
      <c r="D153" s="189" t="s">
        <v>2982</v>
      </c>
      <c r="E153" s="189" t="s">
        <v>2982</v>
      </c>
      <c r="F153" s="3743" t="s">
        <v>3046</v>
      </c>
      <c r="G153" s="3670">
        <v>2366</v>
      </c>
      <c r="H153" s="3757">
        <v>0</v>
      </c>
      <c r="I153" s="3342">
        <v>0</v>
      </c>
      <c r="J153" s="3731">
        <v>0</v>
      </c>
      <c r="K153" s="3724">
        <v>0</v>
      </c>
      <c r="L153" s="3724">
        <v>2366</v>
      </c>
      <c r="M153" s="3750">
        <v>0</v>
      </c>
      <c r="N153" s="3672">
        <v>2366</v>
      </c>
      <c r="O153" s="3674">
        <v>0</v>
      </c>
      <c r="P153" s="3760">
        <f t="shared" si="7"/>
        <v>2366</v>
      </c>
      <c r="Q153" s="2800">
        <v>0</v>
      </c>
      <c r="R153" s="498">
        <v>0</v>
      </c>
      <c r="S153" s="3246">
        <v>0</v>
      </c>
      <c r="T153" s="1474">
        <v>0</v>
      </c>
      <c r="U153" s="2800">
        <v>0</v>
      </c>
      <c r="V153" s="3242">
        <v>0</v>
      </c>
      <c r="W153" s="790">
        <v>0</v>
      </c>
      <c r="X153" s="1411">
        <v>0</v>
      </c>
      <c r="Y153" s="1411">
        <v>0</v>
      </c>
      <c r="Z153" s="790">
        <v>0</v>
      </c>
      <c r="AA153" s="401">
        <v>0</v>
      </c>
      <c r="AB153" s="3744" t="s">
        <v>3047</v>
      </c>
      <c r="AC153" s="3747" t="s">
        <v>33</v>
      </c>
      <c r="AD153" s="3753" t="s">
        <v>2798</v>
      </c>
      <c r="AE153" s="488" t="s">
        <v>1282</v>
      </c>
      <c r="AF153" s="3753" t="s">
        <v>1282</v>
      </c>
      <c r="AG153" s="765">
        <v>2</v>
      </c>
      <c r="AH153" s="3753" t="s">
        <v>2930</v>
      </c>
    </row>
    <row r="154" spans="1:34" ht="26.25" outlineLevel="1" x14ac:dyDescent="0.25">
      <c r="A154" s="4000" t="s">
        <v>2983</v>
      </c>
      <c r="B154" s="2933" t="s">
        <v>1230</v>
      </c>
      <c r="C154" s="1275" t="s">
        <v>3118</v>
      </c>
      <c r="D154" s="4001" t="s">
        <v>274</v>
      </c>
      <c r="E154" s="4001" t="s">
        <v>274</v>
      </c>
      <c r="F154" s="2956" t="s">
        <v>3048</v>
      </c>
      <c r="G154" s="4002">
        <v>987.68</v>
      </c>
      <c r="H154" s="4003">
        <v>0</v>
      </c>
      <c r="I154" s="3892">
        <v>0</v>
      </c>
      <c r="J154" s="3888">
        <v>0</v>
      </c>
      <c r="K154" s="3874">
        <v>0</v>
      </c>
      <c r="L154" s="3874">
        <v>0</v>
      </c>
      <c r="M154" s="3010">
        <v>0</v>
      </c>
      <c r="N154" s="2908">
        <v>987.68</v>
      </c>
      <c r="O154" s="4004">
        <v>-987.68</v>
      </c>
      <c r="P154" s="3872">
        <f t="shared" si="7"/>
        <v>0</v>
      </c>
      <c r="Q154" s="3604">
        <v>987.68</v>
      </c>
      <c r="R154" s="2908">
        <v>0</v>
      </c>
      <c r="S154" s="3958">
        <v>0</v>
      </c>
      <c r="T154" s="3607">
        <v>0</v>
      </c>
      <c r="U154" s="3604">
        <v>0</v>
      </c>
      <c r="V154" s="4005">
        <v>0</v>
      </c>
      <c r="W154" s="2878">
        <v>0</v>
      </c>
      <c r="X154" s="2865">
        <v>0</v>
      </c>
      <c r="Y154" s="2865">
        <v>0</v>
      </c>
      <c r="Z154" s="2877">
        <v>0</v>
      </c>
      <c r="AA154" s="1665">
        <v>0</v>
      </c>
      <c r="AB154" s="3480" t="s">
        <v>3242</v>
      </c>
      <c r="AC154" s="1275" t="s">
        <v>33</v>
      </c>
      <c r="AD154" s="1578" t="s">
        <v>2834</v>
      </c>
      <c r="AE154" s="3041" t="s">
        <v>1282</v>
      </c>
      <c r="AF154" s="1578" t="s">
        <v>1282</v>
      </c>
      <c r="AG154" s="4006">
        <v>4</v>
      </c>
      <c r="AH154" s="1578" t="s">
        <v>2928</v>
      </c>
    </row>
    <row r="155" spans="1:34" ht="26.25" outlineLevel="1" x14ac:dyDescent="0.25">
      <c r="A155" s="4000" t="s">
        <v>2984</v>
      </c>
      <c r="B155" s="2933" t="s">
        <v>1230</v>
      </c>
      <c r="C155" s="1275" t="s">
        <v>3118</v>
      </c>
      <c r="D155" s="4001" t="s">
        <v>881</v>
      </c>
      <c r="E155" s="4001" t="s">
        <v>881</v>
      </c>
      <c r="F155" s="2956" t="s">
        <v>3049</v>
      </c>
      <c r="G155" s="4002">
        <v>600</v>
      </c>
      <c r="H155" s="4003">
        <v>0</v>
      </c>
      <c r="I155" s="3892">
        <v>0</v>
      </c>
      <c r="J155" s="3888">
        <v>0</v>
      </c>
      <c r="K155" s="3874">
        <v>0</v>
      </c>
      <c r="L155" s="3874">
        <v>0</v>
      </c>
      <c r="M155" s="3010">
        <v>0</v>
      </c>
      <c r="N155" s="2908">
        <v>600</v>
      </c>
      <c r="O155" s="4004">
        <v>-600</v>
      </c>
      <c r="P155" s="3872">
        <f t="shared" si="7"/>
        <v>0</v>
      </c>
      <c r="Q155" s="3604">
        <v>600</v>
      </c>
      <c r="R155" s="2908">
        <v>0</v>
      </c>
      <c r="S155" s="3958">
        <v>0</v>
      </c>
      <c r="T155" s="3607">
        <v>0</v>
      </c>
      <c r="U155" s="3604">
        <v>0</v>
      </c>
      <c r="V155" s="4005">
        <v>0</v>
      </c>
      <c r="W155" s="2878">
        <v>0</v>
      </c>
      <c r="X155" s="2865">
        <v>0</v>
      </c>
      <c r="Y155" s="2865">
        <v>0</v>
      </c>
      <c r="Z155" s="2877">
        <v>0</v>
      </c>
      <c r="AA155" s="1665">
        <v>0</v>
      </c>
      <c r="AB155" s="3480" t="s">
        <v>3243</v>
      </c>
      <c r="AC155" s="1275" t="s">
        <v>33</v>
      </c>
      <c r="AD155" s="1578" t="s">
        <v>2834</v>
      </c>
      <c r="AE155" s="3041" t="s">
        <v>1282</v>
      </c>
      <c r="AF155" s="1578" t="s">
        <v>1282</v>
      </c>
      <c r="AG155" s="4006">
        <v>4</v>
      </c>
      <c r="AH155" s="1578" t="s">
        <v>3031</v>
      </c>
    </row>
    <row r="156" spans="1:34" ht="25.5" outlineLevel="1" x14ac:dyDescent="0.25">
      <c r="A156" s="1407" t="s">
        <v>2985</v>
      </c>
      <c r="B156" s="3727" t="s">
        <v>1230</v>
      </c>
      <c r="C156" s="3747" t="s">
        <v>3118</v>
      </c>
      <c r="D156" s="3747" t="s">
        <v>26</v>
      </c>
      <c r="E156" s="189" t="s">
        <v>2986</v>
      </c>
      <c r="F156" s="3743" t="s">
        <v>3050</v>
      </c>
      <c r="G156" s="3670">
        <v>75000</v>
      </c>
      <c r="H156" s="3757">
        <v>0</v>
      </c>
      <c r="I156" s="3342">
        <v>0</v>
      </c>
      <c r="J156" s="3731">
        <v>0</v>
      </c>
      <c r="K156" s="3724">
        <v>0</v>
      </c>
      <c r="L156" s="3724">
        <v>3000</v>
      </c>
      <c r="M156" s="3750">
        <v>0</v>
      </c>
      <c r="N156" s="3672">
        <v>3000</v>
      </c>
      <c r="O156" s="3674">
        <v>0</v>
      </c>
      <c r="P156" s="3760">
        <f t="shared" si="7"/>
        <v>3000</v>
      </c>
      <c r="Q156" s="2800">
        <v>72000</v>
      </c>
      <c r="R156" s="498">
        <v>0</v>
      </c>
      <c r="S156" s="3246">
        <v>0</v>
      </c>
      <c r="T156" s="1474">
        <v>0</v>
      </c>
      <c r="U156" s="2800">
        <v>0</v>
      </c>
      <c r="V156" s="3242">
        <v>0</v>
      </c>
      <c r="W156" s="790">
        <v>0</v>
      </c>
      <c r="X156" s="1411">
        <v>0</v>
      </c>
      <c r="Y156" s="1411">
        <v>0</v>
      </c>
      <c r="Z156" s="790">
        <v>0</v>
      </c>
      <c r="AA156" s="401">
        <v>0</v>
      </c>
      <c r="AB156" s="3747" t="s">
        <v>2987</v>
      </c>
      <c r="AC156" s="3747" t="s">
        <v>33</v>
      </c>
      <c r="AD156" s="3753" t="s">
        <v>2798</v>
      </c>
      <c r="AE156" s="488" t="s">
        <v>1282</v>
      </c>
      <c r="AF156" s="3753" t="s">
        <v>1282</v>
      </c>
      <c r="AG156" s="410" t="s">
        <v>1447</v>
      </c>
      <c r="AH156" s="3747" t="s">
        <v>3034</v>
      </c>
    </row>
    <row r="157" spans="1:34" ht="25.5" outlineLevel="1" x14ac:dyDescent="0.25">
      <c r="A157" s="4007" t="s">
        <v>2988</v>
      </c>
      <c r="B157" s="3058" t="s">
        <v>1230</v>
      </c>
      <c r="C157" s="1354" t="s">
        <v>3118</v>
      </c>
      <c r="D157" s="1630" t="s">
        <v>2990</v>
      </c>
      <c r="E157" s="1630" t="s">
        <v>2990</v>
      </c>
      <c r="F157" s="2891" t="s">
        <v>2991</v>
      </c>
      <c r="G157" s="4008">
        <v>1400</v>
      </c>
      <c r="H157" s="3846">
        <v>0</v>
      </c>
      <c r="I157" s="3847">
        <v>0</v>
      </c>
      <c r="J157" s="3843">
        <v>0</v>
      </c>
      <c r="K157" s="3844">
        <v>0</v>
      </c>
      <c r="L157" s="3844">
        <v>0</v>
      </c>
      <c r="M157" s="3057">
        <v>0</v>
      </c>
      <c r="N157" s="2899">
        <v>950</v>
      </c>
      <c r="O157" s="4009">
        <f>-950</f>
        <v>-950</v>
      </c>
      <c r="P157" s="3845">
        <f t="shared" si="7"/>
        <v>0</v>
      </c>
      <c r="Q157" s="4010">
        <v>1400</v>
      </c>
      <c r="R157" s="2899">
        <v>0</v>
      </c>
      <c r="S157" s="4011">
        <v>0</v>
      </c>
      <c r="T157" s="4012">
        <v>0</v>
      </c>
      <c r="U157" s="4010">
        <v>0</v>
      </c>
      <c r="V157" s="4013">
        <v>0</v>
      </c>
      <c r="W157" s="2895">
        <v>0</v>
      </c>
      <c r="X157" s="4014">
        <v>0</v>
      </c>
      <c r="Y157" s="4014">
        <v>0</v>
      </c>
      <c r="Z157" s="2893">
        <v>0</v>
      </c>
      <c r="AA157" s="2894">
        <v>0</v>
      </c>
      <c r="AB157" s="1354" t="s">
        <v>3244</v>
      </c>
      <c r="AC157" s="1354" t="s">
        <v>33</v>
      </c>
      <c r="AD157" s="3059" t="s">
        <v>2834</v>
      </c>
      <c r="AE157" s="4015" t="s">
        <v>1282</v>
      </c>
      <c r="AF157" s="3059" t="s">
        <v>1282</v>
      </c>
      <c r="AG157" s="4016">
        <v>2</v>
      </c>
      <c r="AH157" s="1354" t="s">
        <v>2922</v>
      </c>
    </row>
    <row r="158" spans="1:34" ht="25.5" outlineLevel="1" x14ac:dyDescent="0.25">
      <c r="A158" s="4000" t="s">
        <v>2989</v>
      </c>
      <c r="B158" s="2933" t="s">
        <v>1230</v>
      </c>
      <c r="C158" s="1275" t="s">
        <v>3118</v>
      </c>
      <c r="D158" s="1275" t="s">
        <v>26</v>
      </c>
      <c r="E158" s="1628" t="s">
        <v>3051</v>
      </c>
      <c r="F158" s="2956" t="s">
        <v>3052</v>
      </c>
      <c r="G158" s="4002">
        <v>25880</v>
      </c>
      <c r="H158" s="4003">
        <v>0</v>
      </c>
      <c r="I158" s="3892">
        <v>0</v>
      </c>
      <c r="J158" s="3888">
        <v>0</v>
      </c>
      <c r="K158" s="3874">
        <v>0</v>
      </c>
      <c r="L158" s="3874">
        <v>0</v>
      </c>
      <c r="M158" s="3010">
        <v>5000</v>
      </c>
      <c r="N158" s="2908">
        <v>0</v>
      </c>
      <c r="O158" s="4004">
        <v>5000</v>
      </c>
      <c r="P158" s="3872">
        <f t="shared" si="7"/>
        <v>5000</v>
      </c>
      <c r="Q158" s="3604">
        <v>20880</v>
      </c>
      <c r="R158" s="2908">
        <v>0</v>
      </c>
      <c r="S158" s="3958">
        <v>0</v>
      </c>
      <c r="T158" s="3607">
        <v>0</v>
      </c>
      <c r="U158" s="3604">
        <v>0</v>
      </c>
      <c r="V158" s="4005">
        <v>0</v>
      </c>
      <c r="W158" s="2878">
        <v>0</v>
      </c>
      <c r="X158" s="2865">
        <v>0</v>
      </c>
      <c r="Y158" s="2865">
        <v>0</v>
      </c>
      <c r="Z158" s="2877">
        <v>0</v>
      </c>
      <c r="AA158" s="1665">
        <v>0</v>
      </c>
      <c r="AB158" s="1275" t="s">
        <v>3245</v>
      </c>
      <c r="AC158" s="1275" t="s">
        <v>33</v>
      </c>
      <c r="AD158" s="1578" t="s">
        <v>2796</v>
      </c>
      <c r="AE158" s="3041" t="s">
        <v>1282</v>
      </c>
      <c r="AF158" s="1578" t="s">
        <v>1282</v>
      </c>
      <c r="AG158" s="4006">
        <v>2</v>
      </c>
      <c r="AH158" s="1275" t="s">
        <v>2938</v>
      </c>
    </row>
    <row r="159" spans="1:34" ht="38.25" outlineLevel="1" x14ac:dyDescent="0.25">
      <c r="A159" s="4000" t="s">
        <v>2992</v>
      </c>
      <c r="B159" s="2933" t="s">
        <v>1230</v>
      </c>
      <c r="C159" s="1275" t="s">
        <v>3118</v>
      </c>
      <c r="D159" s="1628" t="s">
        <v>836</v>
      </c>
      <c r="E159" s="1628" t="s">
        <v>836</v>
      </c>
      <c r="F159" s="2956" t="s">
        <v>3053</v>
      </c>
      <c r="G159" s="4002">
        <v>1200</v>
      </c>
      <c r="H159" s="4003">
        <v>0</v>
      </c>
      <c r="I159" s="3892">
        <v>0</v>
      </c>
      <c r="J159" s="3888">
        <v>0</v>
      </c>
      <c r="K159" s="3874">
        <v>0</v>
      </c>
      <c r="L159" s="3874">
        <v>1200</v>
      </c>
      <c r="M159" s="3010">
        <v>0</v>
      </c>
      <c r="N159" s="2908">
        <v>0</v>
      </c>
      <c r="O159" s="4004">
        <v>1200</v>
      </c>
      <c r="P159" s="3872">
        <f t="shared" si="7"/>
        <v>1200</v>
      </c>
      <c r="Q159" s="3604">
        <v>0</v>
      </c>
      <c r="R159" s="2908">
        <v>0</v>
      </c>
      <c r="S159" s="3958">
        <v>0</v>
      </c>
      <c r="T159" s="3607">
        <v>0</v>
      </c>
      <c r="U159" s="3604">
        <v>0</v>
      </c>
      <c r="V159" s="4005">
        <v>0</v>
      </c>
      <c r="W159" s="2878">
        <v>0</v>
      </c>
      <c r="X159" s="2865">
        <v>0</v>
      </c>
      <c r="Y159" s="2865">
        <v>0</v>
      </c>
      <c r="Z159" s="2877">
        <v>0</v>
      </c>
      <c r="AA159" s="1665">
        <v>0</v>
      </c>
      <c r="AB159" s="1275" t="s">
        <v>3246</v>
      </c>
      <c r="AC159" s="1275" t="s">
        <v>33</v>
      </c>
      <c r="AD159" s="1578" t="s">
        <v>2798</v>
      </c>
      <c r="AE159" s="3041" t="s">
        <v>1282</v>
      </c>
      <c r="AF159" s="1578" t="s">
        <v>1282</v>
      </c>
      <c r="AG159" s="4006">
        <v>2</v>
      </c>
      <c r="AH159" s="1275" t="s">
        <v>2934</v>
      </c>
    </row>
    <row r="160" spans="1:34" ht="25.5" outlineLevel="1" x14ac:dyDescent="0.25">
      <c r="A160" s="4000" t="s">
        <v>2993</v>
      </c>
      <c r="B160" s="2933" t="s">
        <v>1230</v>
      </c>
      <c r="C160" s="1275" t="s">
        <v>3118</v>
      </c>
      <c r="D160" s="1628" t="s">
        <v>194</v>
      </c>
      <c r="E160" s="1628" t="s">
        <v>194</v>
      </c>
      <c r="F160" s="2956" t="s">
        <v>2995</v>
      </c>
      <c r="G160" s="4002">
        <v>7500</v>
      </c>
      <c r="H160" s="4003">
        <v>0</v>
      </c>
      <c r="I160" s="3892">
        <v>0</v>
      </c>
      <c r="J160" s="3888">
        <v>0</v>
      </c>
      <c r="K160" s="3874">
        <v>0</v>
      </c>
      <c r="L160" s="3874">
        <v>7500</v>
      </c>
      <c r="M160" s="3010">
        <v>0</v>
      </c>
      <c r="N160" s="2908">
        <v>0</v>
      </c>
      <c r="O160" s="4004">
        <v>7500</v>
      </c>
      <c r="P160" s="3872">
        <f t="shared" si="7"/>
        <v>7500</v>
      </c>
      <c r="Q160" s="3604">
        <v>0</v>
      </c>
      <c r="R160" s="2908">
        <v>0</v>
      </c>
      <c r="S160" s="3958">
        <v>0</v>
      </c>
      <c r="T160" s="3607">
        <v>0</v>
      </c>
      <c r="U160" s="3604">
        <v>0</v>
      </c>
      <c r="V160" s="4005">
        <v>0</v>
      </c>
      <c r="W160" s="2878">
        <v>0</v>
      </c>
      <c r="X160" s="2865">
        <v>0</v>
      </c>
      <c r="Y160" s="2865">
        <v>0</v>
      </c>
      <c r="Z160" s="2877">
        <v>0</v>
      </c>
      <c r="AA160" s="1665">
        <v>0</v>
      </c>
      <c r="AB160" s="1275" t="s">
        <v>3247</v>
      </c>
      <c r="AC160" s="1275" t="s">
        <v>33</v>
      </c>
      <c r="AD160" s="1578" t="s">
        <v>2798</v>
      </c>
      <c r="AE160" s="3041" t="s">
        <v>1282</v>
      </c>
      <c r="AF160" s="1578" t="s">
        <v>1282</v>
      </c>
      <c r="AG160" s="4006">
        <v>2</v>
      </c>
      <c r="AH160" s="1275" t="s">
        <v>2939</v>
      </c>
    </row>
    <row r="161" spans="1:34" ht="25.5" outlineLevel="1" x14ac:dyDescent="0.25">
      <c r="A161" s="3522" t="s">
        <v>2994</v>
      </c>
      <c r="B161" s="3264" t="s">
        <v>1230</v>
      </c>
      <c r="C161" s="3006" t="s">
        <v>3118</v>
      </c>
      <c r="D161" s="3061" t="s">
        <v>872</v>
      </c>
      <c r="E161" s="3061" t="s">
        <v>872</v>
      </c>
      <c r="F161" s="3073" t="s">
        <v>2997</v>
      </c>
      <c r="G161" s="4017">
        <v>0</v>
      </c>
      <c r="H161" s="3265">
        <v>0</v>
      </c>
      <c r="I161" s="3356">
        <v>0</v>
      </c>
      <c r="J161" s="3609">
        <v>0</v>
      </c>
      <c r="K161" s="3357">
        <v>0</v>
      </c>
      <c r="L161" s="3357">
        <v>0</v>
      </c>
      <c r="M161" s="3291">
        <v>0</v>
      </c>
      <c r="N161" s="3082">
        <v>0</v>
      </c>
      <c r="O161" s="3481">
        <v>0</v>
      </c>
      <c r="P161" s="3523">
        <f t="shared" si="7"/>
        <v>0</v>
      </c>
      <c r="Q161" s="3624">
        <v>0</v>
      </c>
      <c r="R161" s="3082">
        <v>0</v>
      </c>
      <c r="S161" s="3625">
        <v>0</v>
      </c>
      <c r="T161" s="3996">
        <v>0</v>
      </c>
      <c r="U161" s="3624">
        <v>0</v>
      </c>
      <c r="V161" s="3997">
        <v>0</v>
      </c>
      <c r="W161" s="3998">
        <v>0</v>
      </c>
      <c r="X161" s="3999">
        <v>0</v>
      </c>
      <c r="Y161" s="3999">
        <v>0</v>
      </c>
      <c r="Z161" s="3620">
        <v>0</v>
      </c>
      <c r="AA161" s="3276">
        <v>0</v>
      </c>
      <c r="AB161" s="3006" t="s">
        <v>3256</v>
      </c>
      <c r="AC161" s="3006" t="s">
        <v>1300</v>
      </c>
      <c r="AD161" s="3266" t="s">
        <v>2834</v>
      </c>
      <c r="AE161" s="3267" t="s">
        <v>1282</v>
      </c>
      <c r="AF161" s="3266" t="s">
        <v>1282</v>
      </c>
      <c r="AG161" s="1958">
        <v>2</v>
      </c>
      <c r="AH161" s="3006" t="s">
        <v>2939</v>
      </c>
    </row>
    <row r="162" spans="1:34" ht="27" outlineLevel="1" thickBot="1" x14ac:dyDescent="0.3">
      <c r="A162" s="3299" t="s">
        <v>2996</v>
      </c>
      <c r="B162" s="169" t="s">
        <v>1230</v>
      </c>
      <c r="C162" s="3450" t="s">
        <v>3118</v>
      </c>
      <c r="D162" s="4036" t="s">
        <v>838</v>
      </c>
      <c r="E162" s="4036" t="s">
        <v>838</v>
      </c>
      <c r="F162" s="1412" t="s">
        <v>2998</v>
      </c>
      <c r="G162" s="4037">
        <v>1300</v>
      </c>
      <c r="H162" s="3086">
        <v>0</v>
      </c>
      <c r="I162" s="3354">
        <v>0</v>
      </c>
      <c r="J162" s="3408">
        <v>0</v>
      </c>
      <c r="K162" s="3355">
        <v>0</v>
      </c>
      <c r="L162" s="3355">
        <v>1300</v>
      </c>
      <c r="M162" s="1267">
        <v>0</v>
      </c>
      <c r="N162" s="4038">
        <v>1300</v>
      </c>
      <c r="O162" s="4039">
        <v>0</v>
      </c>
      <c r="P162" s="3484">
        <f t="shared" si="7"/>
        <v>1300</v>
      </c>
      <c r="Q162" s="3311">
        <v>0</v>
      </c>
      <c r="R162" s="492">
        <v>0</v>
      </c>
      <c r="S162" s="3568">
        <v>0</v>
      </c>
      <c r="T162" s="3496">
        <v>0</v>
      </c>
      <c r="U162" s="3311">
        <v>0</v>
      </c>
      <c r="V162" s="3568">
        <v>0</v>
      </c>
      <c r="W162" s="3689">
        <v>0</v>
      </c>
      <c r="X162" s="3694">
        <v>0</v>
      </c>
      <c r="Y162" s="3694">
        <v>0</v>
      </c>
      <c r="Z162" s="3689">
        <v>0</v>
      </c>
      <c r="AA162" s="3311">
        <v>0</v>
      </c>
      <c r="AB162" s="3450" t="s">
        <v>3054</v>
      </c>
      <c r="AC162" s="3450" t="s">
        <v>33</v>
      </c>
      <c r="AD162" s="174" t="s">
        <v>2798</v>
      </c>
      <c r="AE162" s="1235" t="s">
        <v>1282</v>
      </c>
      <c r="AF162" s="174" t="s">
        <v>1282</v>
      </c>
      <c r="AG162" s="4040" t="s">
        <v>1447</v>
      </c>
      <c r="AH162" s="3450" t="s">
        <v>2929</v>
      </c>
    </row>
    <row r="163" spans="1:34" outlineLevel="1" x14ac:dyDescent="0.25">
      <c r="A163" s="4018" t="s">
        <v>3248</v>
      </c>
      <c r="B163" s="3042" t="s">
        <v>1230</v>
      </c>
      <c r="C163" s="941" t="s">
        <v>1209</v>
      </c>
      <c r="D163" s="4028" t="s">
        <v>26</v>
      </c>
      <c r="E163" s="4028" t="s">
        <v>3249</v>
      </c>
      <c r="F163" s="4029" t="s">
        <v>3250</v>
      </c>
      <c r="G163" s="4030">
        <v>27000</v>
      </c>
      <c r="H163" s="3237">
        <v>0</v>
      </c>
      <c r="I163" s="3939">
        <v>0</v>
      </c>
      <c r="J163" s="3933">
        <v>0</v>
      </c>
      <c r="K163" s="3934">
        <v>0</v>
      </c>
      <c r="L163" s="3934">
        <v>5000</v>
      </c>
      <c r="M163" s="3938">
        <v>0</v>
      </c>
      <c r="N163" s="2921">
        <v>0</v>
      </c>
      <c r="O163" s="3936">
        <v>5000</v>
      </c>
      <c r="P163" s="4031">
        <f>N163+O163</f>
        <v>5000</v>
      </c>
      <c r="Q163" s="4032">
        <v>22000</v>
      </c>
      <c r="R163" s="2921">
        <v>0</v>
      </c>
      <c r="S163" s="4033">
        <v>0</v>
      </c>
      <c r="T163" s="4034">
        <v>0</v>
      </c>
      <c r="U163" s="4032">
        <v>0</v>
      </c>
      <c r="V163" s="4033">
        <v>0</v>
      </c>
      <c r="W163" s="4034">
        <v>0</v>
      </c>
      <c r="X163" s="4026">
        <v>0</v>
      </c>
      <c r="Y163" s="4026">
        <v>0</v>
      </c>
      <c r="Z163" s="4026">
        <v>0</v>
      </c>
      <c r="AA163" s="4032">
        <v>0</v>
      </c>
      <c r="AB163" s="941" t="s">
        <v>3251</v>
      </c>
      <c r="AC163" s="941" t="s">
        <v>33</v>
      </c>
      <c r="AD163" s="2925" t="s">
        <v>2798</v>
      </c>
      <c r="AE163" s="3941" t="s">
        <v>1282</v>
      </c>
      <c r="AF163" s="2925" t="s">
        <v>1282</v>
      </c>
      <c r="AG163" s="4035" t="s">
        <v>1447</v>
      </c>
      <c r="AH163" s="941" t="s">
        <v>2923</v>
      </c>
    </row>
    <row r="164" spans="1:34" ht="30" outlineLevel="1" x14ac:dyDescent="0.25">
      <c r="A164" s="4018" t="s">
        <v>3252</v>
      </c>
      <c r="B164" s="3043" t="s">
        <v>3257</v>
      </c>
      <c r="C164" s="933" t="s">
        <v>1209</v>
      </c>
      <c r="D164" s="1236" t="s">
        <v>26</v>
      </c>
      <c r="E164" s="1236" t="s">
        <v>1837</v>
      </c>
      <c r="F164" s="4019" t="s">
        <v>3253</v>
      </c>
      <c r="G164" s="4020">
        <v>109750.52245999999</v>
      </c>
      <c r="H164" s="4293">
        <v>0</v>
      </c>
      <c r="I164" s="3953">
        <v>0</v>
      </c>
      <c r="J164" s="3945">
        <v>0</v>
      </c>
      <c r="K164" s="3946">
        <v>13000</v>
      </c>
      <c r="L164" s="3946">
        <v>15000</v>
      </c>
      <c r="M164" s="3952">
        <v>15000</v>
      </c>
      <c r="N164" s="4022">
        <v>0</v>
      </c>
      <c r="O164" s="3949">
        <v>43000</v>
      </c>
      <c r="P164" s="4021">
        <f>N164+O164</f>
        <v>43000</v>
      </c>
      <c r="Q164" s="4023">
        <v>62031.52246</v>
      </c>
      <c r="R164" s="4022">
        <v>0</v>
      </c>
      <c r="S164" s="4024">
        <v>4719</v>
      </c>
      <c r="T164" s="4025">
        <v>0</v>
      </c>
      <c r="U164" s="4023">
        <v>0</v>
      </c>
      <c r="V164" s="4024">
        <v>0</v>
      </c>
      <c r="W164" s="4025">
        <v>0</v>
      </c>
      <c r="X164" s="4026">
        <v>0</v>
      </c>
      <c r="Y164" s="4026">
        <v>0</v>
      </c>
      <c r="Z164" s="4027">
        <v>0</v>
      </c>
      <c r="AA164" s="4023">
        <v>0</v>
      </c>
      <c r="AB164" s="933" t="s">
        <v>3254</v>
      </c>
      <c r="AC164" s="933" t="s">
        <v>28</v>
      </c>
      <c r="AD164" s="2642" t="s">
        <v>2833</v>
      </c>
      <c r="AE164" s="3955" t="s">
        <v>1282</v>
      </c>
      <c r="AF164" s="2642" t="s">
        <v>1282</v>
      </c>
      <c r="AG164" s="3605" t="s">
        <v>1447</v>
      </c>
      <c r="AH164" s="933" t="s">
        <v>2922</v>
      </c>
    </row>
    <row r="165" spans="1:34" s="3647" customFormat="1" ht="15.75" outlineLevel="1" thickBot="1" x14ac:dyDescent="0.3">
      <c r="A165" s="327" t="s">
        <v>1361</v>
      </c>
      <c r="B165" s="3833" t="s">
        <v>1361</v>
      </c>
      <c r="C165" s="3460" t="s">
        <v>1361</v>
      </c>
      <c r="D165" s="3460" t="s">
        <v>1361</v>
      </c>
      <c r="E165" s="3460" t="s">
        <v>1361</v>
      </c>
      <c r="F165" s="3098" t="s">
        <v>1361</v>
      </c>
      <c r="G165" s="3313" t="s">
        <v>1361</v>
      </c>
      <c r="H165" s="2827" t="s">
        <v>1361</v>
      </c>
      <c r="I165" s="3238" t="s">
        <v>1361</v>
      </c>
      <c r="J165" s="3054" t="s">
        <v>1361</v>
      </c>
      <c r="K165" s="2824" t="s">
        <v>1361</v>
      </c>
      <c r="L165" s="2824" t="s">
        <v>1361</v>
      </c>
      <c r="M165" s="2624" t="s">
        <v>1361</v>
      </c>
      <c r="N165" s="2624" t="s">
        <v>1361</v>
      </c>
      <c r="O165" s="2624" t="s">
        <v>1361</v>
      </c>
      <c r="P165" s="2624" t="s">
        <v>1361</v>
      </c>
      <c r="Q165" s="3313" t="s">
        <v>1361</v>
      </c>
      <c r="R165" s="2835" t="s">
        <v>1361</v>
      </c>
      <c r="S165" s="3279" t="s">
        <v>1361</v>
      </c>
      <c r="T165" s="2833" t="s">
        <v>1361</v>
      </c>
      <c r="U165" s="352" t="s">
        <v>1361</v>
      </c>
      <c r="V165" s="3279" t="s">
        <v>1361</v>
      </c>
      <c r="W165" s="2838" t="s">
        <v>1361</v>
      </c>
      <c r="X165" s="2833" t="s">
        <v>1361</v>
      </c>
      <c r="Y165" s="2838" t="s">
        <v>1361</v>
      </c>
      <c r="Z165" s="2838" t="s">
        <v>1361</v>
      </c>
      <c r="AA165" s="2834" t="s">
        <v>1361</v>
      </c>
      <c r="AB165" s="2834" t="s">
        <v>1361</v>
      </c>
      <c r="AC165" s="3460" t="s">
        <v>1361</v>
      </c>
      <c r="AD165" s="350" t="s">
        <v>1361</v>
      </c>
      <c r="AE165" s="350" t="s">
        <v>1361</v>
      </c>
      <c r="AF165" s="350" t="s">
        <v>1361</v>
      </c>
      <c r="AG165" s="174" t="s">
        <v>1361</v>
      </c>
      <c r="AH165" s="3450" t="s">
        <v>1361</v>
      </c>
    </row>
    <row r="166" spans="1:34" ht="26.25" thickBot="1" x14ac:dyDescent="0.3">
      <c r="A166" s="2310" t="s">
        <v>1209</v>
      </c>
      <c r="B166" s="3627" t="s">
        <v>1209</v>
      </c>
      <c r="C166" s="140" t="s">
        <v>1209</v>
      </c>
      <c r="D166" s="3717" t="s">
        <v>1209</v>
      </c>
      <c r="E166" s="3717" t="s">
        <v>1209</v>
      </c>
      <c r="F166" s="2621" t="s">
        <v>1464</v>
      </c>
      <c r="G166" s="3741">
        <f t="shared" ref="G166:AA166" si="8">SUM(G105:G165)</f>
        <v>986588.16258180013</v>
      </c>
      <c r="H166" s="3741">
        <f t="shared" si="8"/>
        <v>149893.21292999998</v>
      </c>
      <c r="I166" s="2814">
        <f t="shared" si="8"/>
        <v>0</v>
      </c>
      <c r="J166" s="2814">
        <f t="shared" si="8"/>
        <v>27058.43116</v>
      </c>
      <c r="K166" s="2815">
        <f t="shared" si="8"/>
        <v>47877.196230000001</v>
      </c>
      <c r="L166" s="2815">
        <f t="shared" si="8"/>
        <v>65474.479999999996</v>
      </c>
      <c r="M166" s="3453">
        <f t="shared" si="8"/>
        <v>133243.01883001</v>
      </c>
      <c r="N166" s="3741">
        <f t="shared" si="8"/>
        <v>225278.17294000002</v>
      </c>
      <c r="O166" s="3741">
        <f t="shared" si="8"/>
        <v>48374.953280000002</v>
      </c>
      <c r="P166" s="3741">
        <f t="shared" si="8"/>
        <v>273653.12621999998</v>
      </c>
      <c r="Q166" s="3741">
        <f t="shared" si="8"/>
        <v>554175.31377999997</v>
      </c>
      <c r="R166" s="3741">
        <f t="shared" si="8"/>
        <v>0</v>
      </c>
      <c r="S166" s="2814">
        <f t="shared" si="8"/>
        <v>6079.8782718000002</v>
      </c>
      <c r="T166" s="2815">
        <f t="shared" si="8"/>
        <v>0</v>
      </c>
      <c r="U166" s="3453">
        <f t="shared" si="8"/>
        <v>2786.6313799999998</v>
      </c>
      <c r="V166" s="2814">
        <f t="shared" si="8"/>
        <v>160109.19365</v>
      </c>
      <c r="W166" s="2815">
        <f t="shared" si="8"/>
        <v>51506.352459999995</v>
      </c>
      <c r="X166" s="2815">
        <f t="shared" si="8"/>
        <v>0</v>
      </c>
      <c r="Y166" s="2815">
        <f t="shared" si="8"/>
        <v>64536.91292000001</v>
      </c>
      <c r="Z166" s="2815">
        <f t="shared" si="8"/>
        <v>44065.928269999997</v>
      </c>
      <c r="AA166" s="3453">
        <f t="shared" si="8"/>
        <v>0</v>
      </c>
      <c r="AB166" s="165" t="s">
        <v>3144</v>
      </c>
      <c r="AC166" s="140" t="s">
        <v>1209</v>
      </c>
      <c r="AD166" s="3469" t="s">
        <v>1209</v>
      </c>
      <c r="AE166" s="1506" t="s">
        <v>1209</v>
      </c>
      <c r="AF166" s="3469" t="s">
        <v>1209</v>
      </c>
      <c r="AG166" s="602" t="s">
        <v>1209</v>
      </c>
      <c r="AH166" s="4419" t="s">
        <v>1209</v>
      </c>
    </row>
    <row r="167" spans="1:34" ht="30" outlineLevel="1" x14ac:dyDescent="0.25">
      <c r="A167" s="3007" t="s">
        <v>3090</v>
      </c>
      <c r="B167" s="2907" t="s">
        <v>335</v>
      </c>
      <c r="C167" s="1273" t="s">
        <v>2434</v>
      </c>
      <c r="D167" s="1611" t="s">
        <v>26</v>
      </c>
      <c r="E167" s="2988" t="s">
        <v>336</v>
      </c>
      <c r="F167" s="4149" t="s">
        <v>337</v>
      </c>
      <c r="G167" s="3088">
        <v>43778.67959</v>
      </c>
      <c r="H167" s="1573">
        <v>23978.757640000003</v>
      </c>
      <c r="I167" s="4073">
        <v>0</v>
      </c>
      <c r="J167" s="4074">
        <v>0</v>
      </c>
      <c r="K167" s="4075">
        <v>0</v>
      </c>
      <c r="L167" s="4075">
        <v>500</v>
      </c>
      <c r="M167" s="4076">
        <v>0</v>
      </c>
      <c r="N167" s="3029">
        <v>11000</v>
      </c>
      <c r="O167" s="3837">
        <v>-10500</v>
      </c>
      <c r="P167" s="3837">
        <f t="shared" ref="P167:P196" si="9">N167+O167</f>
        <v>500</v>
      </c>
      <c r="Q167" s="4004">
        <v>8799.9219499999999</v>
      </c>
      <c r="R167" s="4150">
        <v>10500</v>
      </c>
      <c r="S167" s="4370">
        <v>0</v>
      </c>
      <c r="T167" s="4151">
        <v>0</v>
      </c>
      <c r="U167" s="4152">
        <v>0</v>
      </c>
      <c r="V167" s="4416">
        <v>0</v>
      </c>
      <c r="W167" s="4153">
        <v>0</v>
      </c>
      <c r="X167" s="3874">
        <v>0</v>
      </c>
      <c r="Y167" s="4077">
        <v>0</v>
      </c>
      <c r="Z167" s="4154">
        <v>0</v>
      </c>
      <c r="AA167" s="4153">
        <v>0</v>
      </c>
      <c r="AB167" s="1576" t="s">
        <v>3273</v>
      </c>
      <c r="AC167" s="1576" t="s">
        <v>43</v>
      </c>
      <c r="AD167" s="2936" t="s">
        <v>2837</v>
      </c>
      <c r="AE167" s="2936" t="s">
        <v>1283</v>
      </c>
      <c r="AF167" s="2964" t="s">
        <v>1283</v>
      </c>
      <c r="AG167" s="2965" t="s">
        <v>1447</v>
      </c>
      <c r="AH167" s="3012" t="s">
        <v>2961</v>
      </c>
    </row>
    <row r="168" spans="1:34" ht="38.25" outlineLevel="1" x14ac:dyDescent="0.25">
      <c r="A168" s="1247" t="s">
        <v>3091</v>
      </c>
      <c r="B168" s="1248" t="s">
        <v>358</v>
      </c>
      <c r="C168" s="979" t="s">
        <v>1710</v>
      </c>
      <c r="D168" s="1536" t="s">
        <v>359</v>
      </c>
      <c r="E168" s="1790" t="s">
        <v>1305</v>
      </c>
      <c r="F168" s="1792" t="s">
        <v>360</v>
      </c>
      <c r="G168" s="1564">
        <v>37848.47984</v>
      </c>
      <c r="H168" s="1564">
        <v>37848.47984</v>
      </c>
      <c r="I168" s="3798">
        <v>0</v>
      </c>
      <c r="J168" s="2372">
        <v>0</v>
      </c>
      <c r="K168" s="1794">
        <v>0</v>
      </c>
      <c r="L168" s="1794">
        <v>0</v>
      </c>
      <c r="M168" s="1793">
        <v>0</v>
      </c>
      <c r="N168" s="3478">
        <v>13.369160000000001</v>
      </c>
      <c r="O168" s="3542">
        <v>-13.369160000000001</v>
      </c>
      <c r="P168" s="3489">
        <f t="shared" si="9"/>
        <v>0</v>
      </c>
      <c r="Q168" s="3331">
        <v>0</v>
      </c>
      <c r="R168" s="3326">
        <v>0</v>
      </c>
      <c r="S168" s="4371">
        <v>0</v>
      </c>
      <c r="T168" s="3328">
        <v>0</v>
      </c>
      <c r="U168" s="1542">
        <v>0</v>
      </c>
      <c r="V168" s="3621">
        <v>0</v>
      </c>
      <c r="W168" s="3622">
        <v>0</v>
      </c>
      <c r="X168" s="3340">
        <v>0</v>
      </c>
      <c r="Y168" s="3339">
        <v>0</v>
      </c>
      <c r="Z168" s="3335">
        <v>0</v>
      </c>
      <c r="AA168" s="3622">
        <v>0</v>
      </c>
      <c r="AB168" s="979" t="s">
        <v>2473</v>
      </c>
      <c r="AC168" s="979" t="s">
        <v>1329</v>
      </c>
      <c r="AD168" s="1590" t="s">
        <v>2070</v>
      </c>
      <c r="AE168" s="1590" t="s">
        <v>1283</v>
      </c>
      <c r="AF168" s="1590" t="s">
        <v>1283</v>
      </c>
      <c r="AG168" s="1589" t="s">
        <v>1447</v>
      </c>
      <c r="AH168" s="1536" t="s">
        <v>2930</v>
      </c>
    </row>
    <row r="169" spans="1:34" ht="30" outlineLevel="1" x14ac:dyDescent="0.25">
      <c r="A169" s="3007" t="s">
        <v>3092</v>
      </c>
      <c r="B169" s="3066" t="s">
        <v>399</v>
      </c>
      <c r="C169" s="1275" t="s">
        <v>3328</v>
      </c>
      <c r="D169" s="1611" t="s">
        <v>26</v>
      </c>
      <c r="E169" s="2934" t="s">
        <v>26</v>
      </c>
      <c r="F169" s="3008" t="s">
        <v>1307</v>
      </c>
      <c r="G169" s="1577">
        <v>17500</v>
      </c>
      <c r="H169" s="1573">
        <v>0</v>
      </c>
      <c r="I169" s="4155">
        <v>0</v>
      </c>
      <c r="J169" s="2879">
        <v>0</v>
      </c>
      <c r="K169" s="2880">
        <v>0</v>
      </c>
      <c r="L169" s="2880">
        <v>0</v>
      </c>
      <c r="M169" s="2881">
        <v>0</v>
      </c>
      <c r="N169" s="3029">
        <v>12500</v>
      </c>
      <c r="O169" s="3837">
        <v>-12500</v>
      </c>
      <c r="P169" s="3872">
        <f t="shared" si="9"/>
        <v>0</v>
      </c>
      <c r="Q169" s="4004">
        <v>5000</v>
      </c>
      <c r="R169" s="4003">
        <v>12500</v>
      </c>
      <c r="S169" s="4372">
        <v>0</v>
      </c>
      <c r="T169" s="4156">
        <v>0</v>
      </c>
      <c r="U169" s="2881">
        <v>0</v>
      </c>
      <c r="V169" s="3888">
        <v>0</v>
      </c>
      <c r="W169" s="4004">
        <v>0</v>
      </c>
      <c r="X169" s="3874">
        <v>0</v>
      </c>
      <c r="Y169" s="3842">
        <v>0</v>
      </c>
      <c r="Z169" s="3889">
        <v>0</v>
      </c>
      <c r="AA169" s="4004">
        <v>0</v>
      </c>
      <c r="AB169" s="2741" t="s">
        <v>3274</v>
      </c>
      <c r="AC169" s="1275" t="s">
        <v>306</v>
      </c>
      <c r="AD169" s="2936" t="s">
        <v>2695</v>
      </c>
      <c r="AE169" s="2936" t="s">
        <v>1282</v>
      </c>
      <c r="AF169" s="2936" t="s">
        <v>1282</v>
      </c>
      <c r="AG169" s="1578" t="s">
        <v>1446</v>
      </c>
      <c r="AH169" s="1611" t="s">
        <v>2958</v>
      </c>
    </row>
    <row r="170" spans="1:34" ht="25.5" outlineLevel="1" x14ac:dyDescent="0.25">
      <c r="A170" s="80" t="s">
        <v>3093</v>
      </c>
      <c r="B170" s="3752" t="s">
        <v>424</v>
      </c>
      <c r="C170" s="3747" t="s">
        <v>3328</v>
      </c>
      <c r="D170" s="3751" t="s">
        <v>416</v>
      </c>
      <c r="E170" s="3387" t="s">
        <v>416</v>
      </c>
      <c r="F170" s="3393" t="s">
        <v>2617</v>
      </c>
      <c r="G170" s="3748">
        <v>96.8</v>
      </c>
      <c r="H170" s="3746">
        <v>0</v>
      </c>
      <c r="I170" s="3766">
        <v>0</v>
      </c>
      <c r="J170" s="3756">
        <v>0</v>
      </c>
      <c r="K170" s="3754">
        <v>0</v>
      </c>
      <c r="L170" s="3754">
        <v>0</v>
      </c>
      <c r="M170" s="3749">
        <v>96.8</v>
      </c>
      <c r="N170" s="3464">
        <v>96.8</v>
      </c>
      <c r="O170" s="3763">
        <v>0</v>
      </c>
      <c r="P170" s="3760">
        <f t="shared" si="9"/>
        <v>96.8</v>
      </c>
      <c r="Q170" s="3456">
        <v>0</v>
      </c>
      <c r="R170" s="3283">
        <v>0</v>
      </c>
      <c r="S170" s="4373">
        <v>0</v>
      </c>
      <c r="T170" s="3401">
        <v>0</v>
      </c>
      <c r="U170" s="3749">
        <v>0</v>
      </c>
      <c r="V170" s="3407">
        <v>0</v>
      </c>
      <c r="W170" s="3404">
        <v>0</v>
      </c>
      <c r="X170" s="3724">
        <v>0</v>
      </c>
      <c r="Y170" s="3733">
        <v>0</v>
      </c>
      <c r="Z170" s="3686">
        <v>0</v>
      </c>
      <c r="AA170" s="3404">
        <v>0</v>
      </c>
      <c r="AB170" s="3747" t="s">
        <v>1209</v>
      </c>
      <c r="AC170" s="3747" t="s">
        <v>306</v>
      </c>
      <c r="AD170" s="3462" t="s">
        <v>2435</v>
      </c>
      <c r="AE170" s="3462" t="s">
        <v>1282</v>
      </c>
      <c r="AF170" s="3462" t="s">
        <v>1282</v>
      </c>
      <c r="AG170" s="3753" t="s">
        <v>1446</v>
      </c>
      <c r="AH170" s="3751" t="s">
        <v>2939</v>
      </c>
    </row>
    <row r="171" spans="1:34" ht="30.75" outlineLevel="1" thickBot="1" x14ac:dyDescent="0.3">
      <c r="A171" s="2943" t="s">
        <v>3094</v>
      </c>
      <c r="B171" s="2909" t="s">
        <v>428</v>
      </c>
      <c r="C171" s="1620" t="s">
        <v>3328</v>
      </c>
      <c r="D171" s="3023" t="s">
        <v>354</v>
      </c>
      <c r="E171" s="3024" t="s">
        <v>354</v>
      </c>
      <c r="F171" s="3025" t="s">
        <v>3316</v>
      </c>
      <c r="G171" s="1621">
        <v>248655</v>
      </c>
      <c r="H171" s="1621">
        <v>1724.069</v>
      </c>
      <c r="I171" s="3820">
        <v>0</v>
      </c>
      <c r="J171" s="2913">
        <v>400</v>
      </c>
      <c r="K171" s="2914">
        <v>0</v>
      </c>
      <c r="L171" s="2914">
        <v>0</v>
      </c>
      <c r="M171" s="2915">
        <v>2000</v>
      </c>
      <c r="N171" s="3026">
        <v>2400</v>
      </c>
      <c r="O171" s="2944">
        <v>0</v>
      </c>
      <c r="P171" s="2944">
        <f t="shared" si="9"/>
        <v>2400</v>
      </c>
      <c r="Q171" s="3905">
        <v>244530.93100000001</v>
      </c>
      <c r="R171" s="3851">
        <v>0</v>
      </c>
      <c r="S171" s="2913">
        <v>0</v>
      </c>
      <c r="T171" s="2914">
        <v>0</v>
      </c>
      <c r="U171" s="2915">
        <v>0</v>
      </c>
      <c r="V171" s="3829">
        <v>0</v>
      </c>
      <c r="W171" s="3905">
        <v>0</v>
      </c>
      <c r="X171" s="3830">
        <v>0</v>
      </c>
      <c r="Y171" s="3830">
        <v>0</v>
      </c>
      <c r="Z171" s="3831">
        <v>0</v>
      </c>
      <c r="AA171" s="3905">
        <v>0</v>
      </c>
      <c r="AB171" s="3263" t="s">
        <v>3315</v>
      </c>
      <c r="AC171" s="1620" t="s">
        <v>33</v>
      </c>
      <c r="AD171" s="2946" t="s">
        <v>2709</v>
      </c>
      <c r="AE171" s="2946" t="s">
        <v>1282</v>
      </c>
      <c r="AF171" s="2946" t="s">
        <v>1282</v>
      </c>
      <c r="AG171" s="2947" t="s">
        <v>1447</v>
      </c>
      <c r="AH171" s="1620" t="s">
        <v>2934</v>
      </c>
    </row>
    <row r="172" spans="1:34" ht="30" outlineLevel="1" x14ac:dyDescent="0.25">
      <c r="A172" s="2987" t="s">
        <v>437</v>
      </c>
      <c r="B172" s="4157" t="s">
        <v>1316</v>
      </c>
      <c r="C172" s="1576" t="s">
        <v>3322</v>
      </c>
      <c r="D172" s="2988" t="s">
        <v>354</v>
      </c>
      <c r="E172" s="4158" t="s">
        <v>354</v>
      </c>
      <c r="F172" s="4149" t="s">
        <v>438</v>
      </c>
      <c r="G172" s="3088">
        <v>11500</v>
      </c>
      <c r="H172" s="1573">
        <v>1546.6233299999999</v>
      </c>
      <c r="I172" s="4073">
        <v>0</v>
      </c>
      <c r="J172" s="2868">
        <v>0</v>
      </c>
      <c r="K172" s="2869">
        <v>150</v>
      </c>
      <c r="L172" s="4075">
        <v>150</v>
      </c>
      <c r="M172" s="4076">
        <v>0</v>
      </c>
      <c r="N172" s="3871">
        <v>9953.3766699999996</v>
      </c>
      <c r="O172" s="4159">
        <v>-9653.3766699999996</v>
      </c>
      <c r="P172" s="4159">
        <f t="shared" si="9"/>
        <v>300</v>
      </c>
      <c r="Q172" s="4160">
        <v>9653.3766699999996</v>
      </c>
      <c r="R172" s="4161">
        <v>0</v>
      </c>
      <c r="S172" s="4074">
        <v>0</v>
      </c>
      <c r="T172" s="4075">
        <v>0</v>
      </c>
      <c r="U172" s="4076">
        <v>0</v>
      </c>
      <c r="V172" s="3834">
        <v>0</v>
      </c>
      <c r="W172" s="4160">
        <v>0</v>
      </c>
      <c r="X172" s="3861">
        <v>0</v>
      </c>
      <c r="Y172" s="4077">
        <v>0</v>
      </c>
      <c r="Z172" s="4077">
        <v>0</v>
      </c>
      <c r="AA172" s="3871">
        <v>0</v>
      </c>
      <c r="AB172" s="2396" t="s">
        <v>3275</v>
      </c>
      <c r="AC172" s="1576" t="s">
        <v>33</v>
      </c>
      <c r="AD172" s="2990" t="s">
        <v>3276</v>
      </c>
      <c r="AE172" s="4162" t="s">
        <v>1282</v>
      </c>
      <c r="AF172" s="4162" t="s">
        <v>1282</v>
      </c>
      <c r="AG172" s="4163">
        <v>1</v>
      </c>
      <c r="AH172" s="1273" t="s">
        <v>2934</v>
      </c>
    </row>
    <row r="173" spans="1:34" ht="30" outlineLevel="1" x14ac:dyDescent="0.25">
      <c r="A173" s="3007" t="s">
        <v>440</v>
      </c>
      <c r="B173" s="2907" t="s">
        <v>1317</v>
      </c>
      <c r="C173" s="1275" t="s">
        <v>3322</v>
      </c>
      <c r="D173" s="1611" t="s">
        <v>351</v>
      </c>
      <c r="E173" s="2934" t="s">
        <v>351</v>
      </c>
      <c r="F173" s="3008" t="s">
        <v>1228</v>
      </c>
      <c r="G173" s="1577">
        <v>50410.85</v>
      </c>
      <c r="H173" s="1573">
        <v>0</v>
      </c>
      <c r="I173" s="4155">
        <v>0</v>
      </c>
      <c r="J173" s="2879">
        <v>2830</v>
      </c>
      <c r="K173" s="2880">
        <v>0</v>
      </c>
      <c r="L173" s="2880">
        <v>0</v>
      </c>
      <c r="M173" s="2881">
        <v>0</v>
      </c>
      <c r="N173" s="3029">
        <v>20000</v>
      </c>
      <c r="O173" s="3837">
        <v>-17170</v>
      </c>
      <c r="P173" s="3872">
        <f t="shared" si="9"/>
        <v>2830</v>
      </c>
      <c r="Q173" s="4004">
        <v>30410.85</v>
      </c>
      <c r="R173" s="4003">
        <v>17170</v>
      </c>
      <c r="S173" s="2879">
        <v>0</v>
      </c>
      <c r="T173" s="2880">
        <v>0</v>
      </c>
      <c r="U173" s="2881">
        <v>0</v>
      </c>
      <c r="V173" s="3888">
        <v>0</v>
      </c>
      <c r="W173" s="4004">
        <v>0</v>
      </c>
      <c r="X173" s="3874">
        <v>0</v>
      </c>
      <c r="Y173" s="3842">
        <v>0</v>
      </c>
      <c r="Z173" s="3889">
        <v>0</v>
      </c>
      <c r="AA173" s="3010">
        <v>0</v>
      </c>
      <c r="AB173" s="939" t="s">
        <v>3277</v>
      </c>
      <c r="AC173" s="1275" t="s">
        <v>28</v>
      </c>
      <c r="AD173" s="2936" t="s">
        <v>3278</v>
      </c>
      <c r="AE173" s="3092" t="s">
        <v>1282</v>
      </c>
      <c r="AF173" s="3092" t="s">
        <v>1282</v>
      </c>
      <c r="AG173" s="3027">
        <v>3</v>
      </c>
      <c r="AH173" s="1275" t="s">
        <v>2937</v>
      </c>
    </row>
    <row r="174" spans="1:34" ht="25.5" outlineLevel="1" x14ac:dyDescent="0.25">
      <c r="A174" s="3007" t="s">
        <v>441</v>
      </c>
      <c r="B174" s="2907" t="s">
        <v>1319</v>
      </c>
      <c r="C174" s="1275" t="s">
        <v>3322</v>
      </c>
      <c r="D174" s="1611" t="s">
        <v>396</v>
      </c>
      <c r="E174" s="2934" t="s">
        <v>396</v>
      </c>
      <c r="F174" s="3008" t="s">
        <v>442</v>
      </c>
      <c r="G174" s="1577">
        <v>8500</v>
      </c>
      <c r="H174" s="1573">
        <v>347.834</v>
      </c>
      <c r="I174" s="4155">
        <v>0</v>
      </c>
      <c r="J174" s="2879">
        <v>0</v>
      </c>
      <c r="K174" s="2880">
        <v>0</v>
      </c>
      <c r="L174" s="2880">
        <v>0</v>
      </c>
      <c r="M174" s="2881">
        <v>3000</v>
      </c>
      <c r="N174" s="3029">
        <v>8152.1660000000002</v>
      </c>
      <c r="O174" s="3837">
        <v>-5152.1660000000002</v>
      </c>
      <c r="P174" s="3872">
        <f t="shared" si="9"/>
        <v>3000</v>
      </c>
      <c r="Q174" s="4004">
        <v>5152.1660000000002</v>
      </c>
      <c r="R174" s="4003">
        <v>0</v>
      </c>
      <c r="S174" s="2879">
        <v>0</v>
      </c>
      <c r="T174" s="2880">
        <v>0</v>
      </c>
      <c r="U174" s="2881">
        <v>0</v>
      </c>
      <c r="V174" s="3888">
        <v>0</v>
      </c>
      <c r="W174" s="4004">
        <v>0</v>
      </c>
      <c r="X174" s="3874">
        <v>0</v>
      </c>
      <c r="Y174" s="3842">
        <v>0</v>
      </c>
      <c r="Z174" s="3889">
        <v>0</v>
      </c>
      <c r="AA174" s="3010">
        <v>0</v>
      </c>
      <c r="AB174" s="939" t="s">
        <v>3279</v>
      </c>
      <c r="AC174" s="1275" t="s">
        <v>28</v>
      </c>
      <c r="AD174" s="2936" t="s">
        <v>2833</v>
      </c>
      <c r="AE174" s="3092" t="s">
        <v>1282</v>
      </c>
      <c r="AF174" s="3092" t="s">
        <v>1282</v>
      </c>
      <c r="AG174" s="3027">
        <v>2</v>
      </c>
      <c r="AH174" s="1611" t="s">
        <v>2940</v>
      </c>
    </row>
    <row r="175" spans="1:34" ht="30.75" outlineLevel="1" thickBot="1" x14ac:dyDescent="0.3">
      <c r="A175" s="169" t="s">
        <v>455</v>
      </c>
      <c r="B175" s="171" t="s">
        <v>1326</v>
      </c>
      <c r="C175" s="3450" t="s">
        <v>3322</v>
      </c>
      <c r="D175" s="3738" t="s">
        <v>356</v>
      </c>
      <c r="E175" s="1266" t="s">
        <v>356</v>
      </c>
      <c r="F175" s="2607" t="s">
        <v>456</v>
      </c>
      <c r="G175" s="50">
        <v>11482.15372</v>
      </c>
      <c r="H175" s="50">
        <v>8225.0181200000006</v>
      </c>
      <c r="I175" s="4164">
        <v>0</v>
      </c>
      <c r="J175" s="2804">
        <v>3257.1356000000005</v>
      </c>
      <c r="K175" s="371">
        <v>0</v>
      </c>
      <c r="L175" s="371">
        <v>0</v>
      </c>
      <c r="M175" s="51">
        <v>0</v>
      </c>
      <c r="N175" s="3372">
        <v>3257.1356000000005</v>
      </c>
      <c r="O175" s="3540">
        <v>0</v>
      </c>
      <c r="P175" s="3484">
        <f t="shared" si="9"/>
        <v>3257.1356000000005</v>
      </c>
      <c r="Q175" s="3056">
        <v>0</v>
      </c>
      <c r="R175" s="3086">
        <v>0</v>
      </c>
      <c r="S175" s="2804">
        <v>0</v>
      </c>
      <c r="T175" s="371">
        <v>0</v>
      </c>
      <c r="U175" s="51">
        <v>0</v>
      </c>
      <c r="V175" s="3408">
        <v>0</v>
      </c>
      <c r="W175" s="3056">
        <v>0</v>
      </c>
      <c r="X175" s="3355">
        <v>0</v>
      </c>
      <c r="Y175" s="3594">
        <v>0</v>
      </c>
      <c r="Z175" s="3594">
        <v>0</v>
      </c>
      <c r="AA175" s="1267">
        <v>0</v>
      </c>
      <c r="AB175" s="167" t="s">
        <v>2762</v>
      </c>
      <c r="AC175" s="3450" t="s">
        <v>43</v>
      </c>
      <c r="AD175" s="349" t="s">
        <v>2435</v>
      </c>
      <c r="AE175" s="3378" t="s">
        <v>1283</v>
      </c>
      <c r="AF175" s="3378" t="s">
        <v>1283</v>
      </c>
      <c r="AG175" s="3379">
        <v>1</v>
      </c>
      <c r="AH175" s="3738" t="s">
        <v>2923</v>
      </c>
    </row>
    <row r="176" spans="1:34" ht="25.5" outlineLevel="1" x14ac:dyDescent="0.25">
      <c r="A176" s="3712" t="s">
        <v>1869</v>
      </c>
      <c r="B176" s="3715" t="s">
        <v>2073</v>
      </c>
      <c r="C176" s="3736" t="s">
        <v>2578</v>
      </c>
      <c r="D176" s="3713" t="s">
        <v>26</v>
      </c>
      <c r="E176" s="101" t="s">
        <v>26</v>
      </c>
      <c r="F176" s="1264" t="s">
        <v>1870</v>
      </c>
      <c r="G176" s="3746">
        <v>700</v>
      </c>
      <c r="H176" s="3746">
        <v>0</v>
      </c>
      <c r="I176" s="3766">
        <v>0</v>
      </c>
      <c r="J176" s="3755">
        <v>0</v>
      </c>
      <c r="K176" s="3730">
        <v>0</v>
      </c>
      <c r="L176" s="3730">
        <v>0</v>
      </c>
      <c r="M176" s="3735">
        <v>700</v>
      </c>
      <c r="N176" s="3464">
        <v>700</v>
      </c>
      <c r="O176" s="3763">
        <v>0</v>
      </c>
      <c r="P176" s="3759">
        <f t="shared" si="9"/>
        <v>700</v>
      </c>
      <c r="Q176" s="3455">
        <v>0</v>
      </c>
      <c r="R176" s="3745">
        <v>0</v>
      </c>
      <c r="S176" s="3755">
        <v>0</v>
      </c>
      <c r="T176" s="3730">
        <v>0</v>
      </c>
      <c r="U176" s="3735">
        <v>0</v>
      </c>
      <c r="V176" s="3732">
        <v>0</v>
      </c>
      <c r="W176" s="3455">
        <v>0</v>
      </c>
      <c r="X176" s="3721">
        <v>0</v>
      </c>
      <c r="Y176" s="3765">
        <v>0</v>
      </c>
      <c r="Z176" s="3765">
        <v>0</v>
      </c>
      <c r="AA176" s="3737">
        <v>0</v>
      </c>
      <c r="AB176" s="168" t="s">
        <v>1209</v>
      </c>
      <c r="AC176" s="3736" t="s">
        <v>33</v>
      </c>
      <c r="AD176" s="3397" t="s">
        <v>2796</v>
      </c>
      <c r="AE176" s="2754" t="s">
        <v>1282</v>
      </c>
      <c r="AF176" s="2754" t="s">
        <v>1282</v>
      </c>
      <c r="AG176" s="1111">
        <v>3</v>
      </c>
      <c r="AH176" s="3713" t="s">
        <v>1209</v>
      </c>
    </row>
    <row r="177" spans="1:34" ht="30" outlineLevel="1" x14ac:dyDescent="0.25">
      <c r="A177" s="3712" t="s">
        <v>1873</v>
      </c>
      <c r="B177" s="3715" t="s">
        <v>2075</v>
      </c>
      <c r="C177" s="3736" t="s">
        <v>2578</v>
      </c>
      <c r="D177" s="3713" t="s">
        <v>1874</v>
      </c>
      <c r="E177" s="101" t="s">
        <v>1874</v>
      </c>
      <c r="F177" s="1264" t="s">
        <v>1875</v>
      </c>
      <c r="G177" s="3746">
        <v>266</v>
      </c>
      <c r="H177" s="3746">
        <v>98.977999999999994</v>
      </c>
      <c r="I177" s="3766">
        <v>0</v>
      </c>
      <c r="J177" s="3755">
        <v>167.02199999999999</v>
      </c>
      <c r="K177" s="3730">
        <v>0</v>
      </c>
      <c r="L177" s="3730">
        <v>0</v>
      </c>
      <c r="M177" s="3735">
        <v>0</v>
      </c>
      <c r="N177" s="3464">
        <v>167.02199999999999</v>
      </c>
      <c r="O177" s="3763">
        <v>0</v>
      </c>
      <c r="P177" s="3760">
        <f t="shared" si="9"/>
        <v>167.02199999999999</v>
      </c>
      <c r="Q177" s="3455">
        <v>0</v>
      </c>
      <c r="R177" s="3745">
        <v>0</v>
      </c>
      <c r="S177" s="3755">
        <v>0</v>
      </c>
      <c r="T177" s="3754">
        <v>0</v>
      </c>
      <c r="U177" s="3735">
        <v>0</v>
      </c>
      <c r="V177" s="3732">
        <v>0</v>
      </c>
      <c r="W177" s="3455">
        <v>0</v>
      </c>
      <c r="X177" s="3724">
        <v>0</v>
      </c>
      <c r="Y177" s="3765">
        <v>0</v>
      </c>
      <c r="Z177" s="3765">
        <v>0</v>
      </c>
      <c r="AA177" s="3737">
        <v>0</v>
      </c>
      <c r="AB177" s="3461" t="s">
        <v>1209</v>
      </c>
      <c r="AC177" s="3736" t="s">
        <v>43</v>
      </c>
      <c r="AD177" s="3397" t="s">
        <v>2709</v>
      </c>
      <c r="AE177" s="2754" t="s">
        <v>1283</v>
      </c>
      <c r="AF177" s="2754" t="s">
        <v>1283</v>
      </c>
      <c r="AG177" s="794">
        <v>1</v>
      </c>
      <c r="AH177" s="3751" t="s">
        <v>2939</v>
      </c>
    </row>
    <row r="178" spans="1:34" ht="30.75" outlineLevel="1" thickBot="1" x14ac:dyDescent="0.3">
      <c r="A178" s="4165" t="s">
        <v>1880</v>
      </c>
      <c r="B178" s="4166" t="s">
        <v>2078</v>
      </c>
      <c r="C178" s="4167" t="s">
        <v>2578</v>
      </c>
      <c r="D178" s="4168" t="s">
        <v>406</v>
      </c>
      <c r="E178" s="4169" t="s">
        <v>406</v>
      </c>
      <c r="F178" s="4170" t="s">
        <v>3280</v>
      </c>
      <c r="G178" s="4171">
        <v>13500</v>
      </c>
      <c r="H178" s="4171">
        <v>399.3</v>
      </c>
      <c r="I178" s="4172">
        <v>0</v>
      </c>
      <c r="J178" s="2904">
        <v>200</v>
      </c>
      <c r="K178" s="2905">
        <v>1000</v>
      </c>
      <c r="L178" s="2905">
        <v>2000.6999999999998</v>
      </c>
      <c r="M178" s="2906">
        <v>7900</v>
      </c>
      <c r="N178" s="4173">
        <v>4400.7</v>
      </c>
      <c r="O178" s="4174">
        <v>6700</v>
      </c>
      <c r="P178" s="4175">
        <f t="shared" si="9"/>
        <v>11100.7</v>
      </c>
      <c r="Q178" s="4176">
        <v>2000</v>
      </c>
      <c r="R178" s="4177">
        <v>0</v>
      </c>
      <c r="S178" s="2904">
        <v>0</v>
      </c>
      <c r="T178" s="2905">
        <v>0</v>
      </c>
      <c r="U178" s="2906">
        <v>0</v>
      </c>
      <c r="V178" s="4417">
        <v>0</v>
      </c>
      <c r="W178" s="4176">
        <v>0</v>
      </c>
      <c r="X178" s="4178">
        <v>0</v>
      </c>
      <c r="Y178" s="4179">
        <v>0</v>
      </c>
      <c r="Z178" s="4179">
        <v>0</v>
      </c>
      <c r="AA178" s="4180">
        <v>0</v>
      </c>
      <c r="AB178" s="4181" t="s">
        <v>3281</v>
      </c>
      <c r="AC178" s="2902" t="s">
        <v>33</v>
      </c>
      <c r="AD178" s="4182" t="s">
        <v>2833</v>
      </c>
      <c r="AE178" s="4183" t="s">
        <v>1282</v>
      </c>
      <c r="AF178" s="4183" t="s">
        <v>1282</v>
      </c>
      <c r="AG178" s="4184" t="s">
        <v>1447</v>
      </c>
      <c r="AH178" s="4168" t="s">
        <v>2923</v>
      </c>
    </row>
    <row r="179" spans="1:34" ht="26.25" outlineLevel="1" thickBot="1" x14ac:dyDescent="0.3">
      <c r="A179" s="169" t="s">
        <v>2086</v>
      </c>
      <c r="B179" s="171" t="s">
        <v>2450</v>
      </c>
      <c r="C179" s="3460" t="s">
        <v>2506</v>
      </c>
      <c r="D179" s="3738" t="s">
        <v>416</v>
      </c>
      <c r="E179" s="1266" t="s">
        <v>416</v>
      </c>
      <c r="F179" s="2607" t="s">
        <v>2087</v>
      </c>
      <c r="G179" s="50">
        <v>3000</v>
      </c>
      <c r="H179" s="50">
        <v>2163.4886299999998</v>
      </c>
      <c r="I179" s="4164">
        <v>0</v>
      </c>
      <c r="J179" s="2804">
        <v>836.51137000000017</v>
      </c>
      <c r="K179" s="371">
        <v>0</v>
      </c>
      <c r="L179" s="371">
        <v>0</v>
      </c>
      <c r="M179" s="51">
        <v>0</v>
      </c>
      <c r="N179" s="3372">
        <v>836.51137000000017</v>
      </c>
      <c r="O179" s="3540">
        <v>0</v>
      </c>
      <c r="P179" s="3484">
        <f t="shared" si="9"/>
        <v>836.51137000000017</v>
      </c>
      <c r="Q179" s="3056">
        <v>0</v>
      </c>
      <c r="R179" s="3086">
        <v>0</v>
      </c>
      <c r="S179" s="2804">
        <v>0</v>
      </c>
      <c r="T179" s="371">
        <v>0</v>
      </c>
      <c r="U179" s="51">
        <v>0</v>
      </c>
      <c r="V179" s="3612">
        <v>0</v>
      </c>
      <c r="W179" s="3610">
        <v>0</v>
      </c>
      <c r="X179" s="3350">
        <v>0</v>
      </c>
      <c r="Y179" s="3594">
        <v>0</v>
      </c>
      <c r="Z179" s="3679">
        <v>0</v>
      </c>
      <c r="AA179" s="3396">
        <v>0</v>
      </c>
      <c r="AB179" s="3395" t="s">
        <v>1209</v>
      </c>
      <c r="AC179" s="3450" t="s">
        <v>33</v>
      </c>
      <c r="AD179" s="350" t="s">
        <v>2709</v>
      </c>
      <c r="AE179" s="2331" t="s">
        <v>1282</v>
      </c>
      <c r="AF179" s="2331" t="s">
        <v>1282</v>
      </c>
      <c r="AG179" s="174" t="s">
        <v>1446</v>
      </c>
      <c r="AH179" s="3738" t="s">
        <v>2939</v>
      </c>
    </row>
    <row r="180" spans="1:34" ht="30" outlineLevel="1" x14ac:dyDescent="0.25">
      <c r="A180" s="3712" t="s">
        <v>2620</v>
      </c>
      <c r="B180" s="3715" t="s">
        <v>2704</v>
      </c>
      <c r="C180" s="3736" t="s">
        <v>3323</v>
      </c>
      <c r="D180" s="3713" t="s">
        <v>356</v>
      </c>
      <c r="E180" s="101" t="s">
        <v>356</v>
      </c>
      <c r="F180" s="1264" t="s">
        <v>2621</v>
      </c>
      <c r="G180" s="3746">
        <v>2025.652</v>
      </c>
      <c r="H180" s="3746">
        <v>243.452</v>
      </c>
      <c r="I180" s="3766">
        <v>0</v>
      </c>
      <c r="J180" s="3755">
        <v>1282.2</v>
      </c>
      <c r="K180" s="3730">
        <v>0</v>
      </c>
      <c r="L180" s="3730">
        <v>0</v>
      </c>
      <c r="M180" s="3735">
        <v>500</v>
      </c>
      <c r="N180" s="3464">
        <v>1782.2</v>
      </c>
      <c r="O180" s="3763">
        <v>0</v>
      </c>
      <c r="P180" s="3759">
        <f t="shared" si="9"/>
        <v>1782.2</v>
      </c>
      <c r="Q180" s="3455">
        <v>0</v>
      </c>
      <c r="R180" s="3745">
        <v>0</v>
      </c>
      <c r="S180" s="3755">
        <v>0</v>
      </c>
      <c r="T180" s="3730">
        <v>0</v>
      </c>
      <c r="U180" s="3735">
        <v>0</v>
      </c>
      <c r="V180" s="3732">
        <v>0</v>
      </c>
      <c r="W180" s="3455">
        <v>0</v>
      </c>
      <c r="X180" s="3721">
        <v>0</v>
      </c>
      <c r="Y180" s="3765">
        <v>0</v>
      </c>
      <c r="Z180" s="3765">
        <v>0</v>
      </c>
      <c r="AA180" s="3737">
        <v>0</v>
      </c>
      <c r="AB180" s="3461" t="s">
        <v>2902</v>
      </c>
      <c r="AC180" s="3736" t="s">
        <v>33</v>
      </c>
      <c r="AD180" s="3397" t="s">
        <v>2833</v>
      </c>
      <c r="AE180" s="2754" t="s">
        <v>1282</v>
      </c>
      <c r="AF180" s="2754" t="s">
        <v>1282</v>
      </c>
      <c r="AG180" s="1111">
        <v>1</v>
      </c>
      <c r="AH180" s="3713" t="s">
        <v>2923</v>
      </c>
    </row>
    <row r="181" spans="1:34" ht="30" outlineLevel="1" x14ac:dyDescent="0.25">
      <c r="A181" s="3727" t="s">
        <v>2622</v>
      </c>
      <c r="B181" s="3752" t="s">
        <v>1230</v>
      </c>
      <c r="C181" s="3736" t="s">
        <v>3323</v>
      </c>
      <c r="D181" s="3751" t="s">
        <v>342</v>
      </c>
      <c r="E181" s="3387" t="s">
        <v>342</v>
      </c>
      <c r="F181" s="3393" t="s">
        <v>2623</v>
      </c>
      <c r="G181" s="3748">
        <v>1000</v>
      </c>
      <c r="H181" s="3746">
        <v>0</v>
      </c>
      <c r="I181" s="3766">
        <v>0</v>
      </c>
      <c r="J181" s="3756">
        <v>0</v>
      </c>
      <c r="K181" s="3754">
        <v>0</v>
      </c>
      <c r="L181" s="3754">
        <v>0</v>
      </c>
      <c r="M181" s="3749">
        <v>1000</v>
      </c>
      <c r="N181" s="3464">
        <v>1000</v>
      </c>
      <c r="O181" s="3763">
        <v>0</v>
      </c>
      <c r="P181" s="3760">
        <f t="shared" si="9"/>
        <v>1000</v>
      </c>
      <c r="Q181" s="3456">
        <v>0</v>
      </c>
      <c r="R181" s="3757">
        <v>0</v>
      </c>
      <c r="S181" s="3756">
        <v>0</v>
      </c>
      <c r="T181" s="3754">
        <v>0</v>
      </c>
      <c r="U181" s="3749">
        <v>0</v>
      </c>
      <c r="V181" s="3732">
        <v>0</v>
      </c>
      <c r="W181" s="3455">
        <v>0</v>
      </c>
      <c r="X181" s="3724">
        <v>0</v>
      </c>
      <c r="Y181" s="3765">
        <v>0</v>
      </c>
      <c r="Z181" s="3765">
        <v>0</v>
      </c>
      <c r="AA181" s="3737">
        <v>0</v>
      </c>
      <c r="AB181" s="57" t="s">
        <v>1209</v>
      </c>
      <c r="AC181" s="3747" t="s">
        <v>33</v>
      </c>
      <c r="AD181" s="3397" t="s">
        <v>2831</v>
      </c>
      <c r="AE181" s="2754" t="s">
        <v>1282</v>
      </c>
      <c r="AF181" s="2754" t="s">
        <v>1282</v>
      </c>
      <c r="AG181" s="794">
        <v>1</v>
      </c>
      <c r="AH181" s="3751" t="s">
        <v>2936</v>
      </c>
    </row>
    <row r="182" spans="1:34" ht="25.5" outlineLevel="1" x14ac:dyDescent="0.25">
      <c r="A182" s="3727" t="s">
        <v>2624</v>
      </c>
      <c r="B182" s="3752" t="s">
        <v>2903</v>
      </c>
      <c r="C182" s="3736" t="s">
        <v>3323</v>
      </c>
      <c r="D182" s="3751" t="s">
        <v>354</v>
      </c>
      <c r="E182" s="3387" t="s">
        <v>354</v>
      </c>
      <c r="F182" s="3393" t="s">
        <v>2626</v>
      </c>
      <c r="G182" s="3748">
        <v>600</v>
      </c>
      <c r="H182" s="3746">
        <v>0</v>
      </c>
      <c r="I182" s="3766">
        <v>0</v>
      </c>
      <c r="J182" s="3756">
        <v>0</v>
      </c>
      <c r="K182" s="3754">
        <v>0</v>
      </c>
      <c r="L182" s="3754">
        <v>0</v>
      </c>
      <c r="M182" s="3749">
        <v>600</v>
      </c>
      <c r="N182" s="3464">
        <v>600</v>
      </c>
      <c r="O182" s="3763">
        <v>0</v>
      </c>
      <c r="P182" s="3760">
        <f t="shared" si="9"/>
        <v>600</v>
      </c>
      <c r="Q182" s="3456">
        <v>0</v>
      </c>
      <c r="R182" s="3757">
        <v>0</v>
      </c>
      <c r="S182" s="3756">
        <v>0</v>
      </c>
      <c r="T182" s="3754">
        <v>0</v>
      </c>
      <c r="U182" s="3749">
        <v>0</v>
      </c>
      <c r="V182" s="3732">
        <v>0</v>
      </c>
      <c r="W182" s="3455">
        <v>0</v>
      </c>
      <c r="X182" s="3724">
        <v>0</v>
      </c>
      <c r="Y182" s="3765">
        <v>0</v>
      </c>
      <c r="Z182" s="3765">
        <v>0</v>
      </c>
      <c r="AA182" s="3737">
        <v>0</v>
      </c>
      <c r="AB182" s="3461" t="s">
        <v>1209</v>
      </c>
      <c r="AC182" s="3747" t="s">
        <v>33</v>
      </c>
      <c r="AD182" s="3397" t="s">
        <v>2831</v>
      </c>
      <c r="AE182" s="2754" t="s">
        <v>1282</v>
      </c>
      <c r="AF182" s="2754" t="s">
        <v>1282</v>
      </c>
      <c r="AG182" s="794">
        <v>1</v>
      </c>
      <c r="AH182" s="3747" t="s">
        <v>2934</v>
      </c>
    </row>
    <row r="183" spans="1:34" ht="25.5" outlineLevel="1" x14ac:dyDescent="0.25">
      <c r="A183" s="173" t="s">
        <v>2625</v>
      </c>
      <c r="B183" s="144" t="s">
        <v>2904</v>
      </c>
      <c r="C183" s="83" t="s">
        <v>3323</v>
      </c>
      <c r="D183" s="76" t="s">
        <v>347</v>
      </c>
      <c r="E183" s="84" t="s">
        <v>1305</v>
      </c>
      <c r="F183" s="228" t="s">
        <v>2628</v>
      </c>
      <c r="G183" s="25">
        <v>300</v>
      </c>
      <c r="H183" s="85">
        <v>300</v>
      </c>
      <c r="I183" s="4185">
        <v>0</v>
      </c>
      <c r="J183" s="542">
        <v>0</v>
      </c>
      <c r="K183" s="375">
        <v>0</v>
      </c>
      <c r="L183" s="375">
        <v>0</v>
      </c>
      <c r="M183" s="26">
        <v>0</v>
      </c>
      <c r="N183" s="3405">
        <v>0</v>
      </c>
      <c r="O183" s="3544">
        <v>0</v>
      </c>
      <c r="P183" s="3488">
        <f t="shared" si="9"/>
        <v>0</v>
      </c>
      <c r="Q183" s="943">
        <v>0</v>
      </c>
      <c r="R183" s="377">
        <v>0</v>
      </c>
      <c r="S183" s="542">
        <v>0</v>
      </c>
      <c r="T183" s="375">
        <v>0</v>
      </c>
      <c r="U183" s="26">
        <v>0</v>
      </c>
      <c r="V183" s="3413">
        <v>0</v>
      </c>
      <c r="W183" s="3241">
        <v>0</v>
      </c>
      <c r="X183" s="1470">
        <v>0</v>
      </c>
      <c r="Y183" s="3344">
        <v>0</v>
      </c>
      <c r="Z183" s="3344">
        <v>0</v>
      </c>
      <c r="AA183" s="1763">
        <v>0</v>
      </c>
      <c r="AB183" s="150" t="s">
        <v>1209</v>
      </c>
      <c r="AC183" s="75" t="s">
        <v>1329</v>
      </c>
      <c r="AD183" s="1815" t="s">
        <v>2070</v>
      </c>
      <c r="AE183" s="3438" t="s">
        <v>1283</v>
      </c>
      <c r="AF183" s="3438" t="s">
        <v>1283</v>
      </c>
      <c r="AG183" s="795">
        <v>1</v>
      </c>
      <c r="AH183" s="76" t="s">
        <v>2930</v>
      </c>
    </row>
    <row r="184" spans="1:34" ht="26.25" outlineLevel="1" thickBot="1" x14ac:dyDescent="0.3">
      <c r="A184" s="169" t="s">
        <v>2627</v>
      </c>
      <c r="B184" s="171" t="s">
        <v>2905</v>
      </c>
      <c r="C184" s="3460" t="s">
        <v>3323</v>
      </c>
      <c r="D184" s="3738" t="s">
        <v>354</v>
      </c>
      <c r="E184" s="1266" t="s">
        <v>354</v>
      </c>
      <c r="F184" s="2607" t="s">
        <v>2629</v>
      </c>
      <c r="G184" s="50">
        <v>600</v>
      </c>
      <c r="H184" s="50">
        <v>0</v>
      </c>
      <c r="I184" s="4085">
        <v>0</v>
      </c>
      <c r="J184" s="2804">
        <v>0</v>
      </c>
      <c r="K184" s="371">
        <v>0</v>
      </c>
      <c r="L184" s="371">
        <v>600</v>
      </c>
      <c r="M184" s="51">
        <v>0</v>
      </c>
      <c r="N184" s="3373">
        <v>600</v>
      </c>
      <c r="O184" s="3538">
        <v>0</v>
      </c>
      <c r="P184" s="3484">
        <f t="shared" si="9"/>
        <v>600</v>
      </c>
      <c r="Q184" s="3056">
        <v>0</v>
      </c>
      <c r="R184" s="3086">
        <v>0</v>
      </c>
      <c r="S184" s="2804">
        <v>0</v>
      </c>
      <c r="T184" s="371">
        <v>0</v>
      </c>
      <c r="U184" s="51">
        <v>0</v>
      </c>
      <c r="V184" s="3612">
        <v>0</v>
      </c>
      <c r="W184" s="3610">
        <v>0</v>
      </c>
      <c r="X184" s="3355">
        <v>0</v>
      </c>
      <c r="Y184" s="3594">
        <v>0</v>
      </c>
      <c r="Z184" s="3679">
        <v>0</v>
      </c>
      <c r="AA184" s="3396">
        <v>0</v>
      </c>
      <c r="AB184" s="3395" t="s">
        <v>1209</v>
      </c>
      <c r="AC184" s="3450" t="s">
        <v>33</v>
      </c>
      <c r="AD184" s="350" t="s">
        <v>2709</v>
      </c>
      <c r="AE184" s="2331" t="s">
        <v>1282</v>
      </c>
      <c r="AF184" s="2331" t="s">
        <v>1282</v>
      </c>
      <c r="AG184" s="174" t="s">
        <v>1447</v>
      </c>
      <c r="AH184" s="3450" t="s">
        <v>2934</v>
      </c>
    </row>
    <row r="185" spans="1:34" ht="30" outlineLevel="1" x14ac:dyDescent="0.25">
      <c r="A185" s="3712" t="s">
        <v>2705</v>
      </c>
      <c r="B185" s="3715" t="s">
        <v>2906</v>
      </c>
      <c r="C185" s="3322" t="s">
        <v>2750</v>
      </c>
      <c r="D185" s="3713" t="s">
        <v>26</v>
      </c>
      <c r="E185" s="101" t="s">
        <v>26</v>
      </c>
      <c r="F185" s="1264" t="s">
        <v>2850</v>
      </c>
      <c r="G185" s="3746">
        <v>100</v>
      </c>
      <c r="H185" s="3746">
        <v>0</v>
      </c>
      <c r="I185" s="3766">
        <v>0</v>
      </c>
      <c r="J185" s="3755">
        <v>100</v>
      </c>
      <c r="K185" s="3730">
        <v>0</v>
      </c>
      <c r="L185" s="3730">
        <v>0</v>
      </c>
      <c r="M185" s="3735">
        <v>0</v>
      </c>
      <c r="N185" s="3464">
        <v>100</v>
      </c>
      <c r="O185" s="3763">
        <v>0</v>
      </c>
      <c r="P185" s="3759">
        <f t="shared" si="9"/>
        <v>100</v>
      </c>
      <c r="Q185" s="3455">
        <v>0</v>
      </c>
      <c r="R185" s="3745">
        <v>0</v>
      </c>
      <c r="S185" s="3755">
        <v>0</v>
      </c>
      <c r="T185" s="3730">
        <v>0</v>
      </c>
      <c r="U185" s="3735">
        <v>0</v>
      </c>
      <c r="V185" s="3732">
        <v>0</v>
      </c>
      <c r="W185" s="3455">
        <v>0</v>
      </c>
      <c r="X185" s="3721">
        <v>0</v>
      </c>
      <c r="Y185" s="3765">
        <v>0</v>
      </c>
      <c r="Z185" s="3765">
        <v>0</v>
      </c>
      <c r="AA185" s="3737">
        <v>0</v>
      </c>
      <c r="AB185" s="3461" t="s">
        <v>1209</v>
      </c>
      <c r="AC185" s="3736" t="s">
        <v>306</v>
      </c>
      <c r="AD185" s="3397" t="s">
        <v>2366</v>
      </c>
      <c r="AE185" s="2754" t="s">
        <v>1282</v>
      </c>
      <c r="AF185" s="2754" t="s">
        <v>1282</v>
      </c>
      <c r="AG185" s="3729" t="s">
        <v>1448</v>
      </c>
      <c r="AH185" s="3713" t="s">
        <v>2958</v>
      </c>
    </row>
    <row r="186" spans="1:34" ht="30.75" outlineLevel="1" thickBot="1" x14ac:dyDescent="0.3">
      <c r="A186" s="169" t="s">
        <v>2706</v>
      </c>
      <c r="B186" s="171" t="s">
        <v>2907</v>
      </c>
      <c r="C186" s="3428" t="s">
        <v>2750</v>
      </c>
      <c r="D186" s="3738" t="s">
        <v>353</v>
      </c>
      <c r="E186" s="1266" t="s">
        <v>353</v>
      </c>
      <c r="F186" s="2607" t="s">
        <v>2805</v>
      </c>
      <c r="G186" s="50">
        <v>25000</v>
      </c>
      <c r="H186" s="50">
        <v>0</v>
      </c>
      <c r="I186" s="4085">
        <v>0</v>
      </c>
      <c r="J186" s="2804">
        <v>500</v>
      </c>
      <c r="K186" s="371">
        <v>0</v>
      </c>
      <c r="L186" s="371">
        <v>0</v>
      </c>
      <c r="M186" s="51">
        <v>9500</v>
      </c>
      <c r="N186" s="3373">
        <v>10000</v>
      </c>
      <c r="O186" s="3538">
        <v>0</v>
      </c>
      <c r="P186" s="3484">
        <f t="shared" si="9"/>
        <v>10000</v>
      </c>
      <c r="Q186" s="3056">
        <v>15000</v>
      </c>
      <c r="R186" s="3086">
        <v>0</v>
      </c>
      <c r="S186" s="2804">
        <v>0</v>
      </c>
      <c r="T186" s="371">
        <v>0</v>
      </c>
      <c r="U186" s="51">
        <v>0</v>
      </c>
      <c r="V186" s="3612">
        <v>0</v>
      </c>
      <c r="W186" s="3610">
        <v>0</v>
      </c>
      <c r="X186" s="3355">
        <v>0</v>
      </c>
      <c r="Y186" s="3594">
        <v>0</v>
      </c>
      <c r="Z186" s="3679">
        <v>0</v>
      </c>
      <c r="AA186" s="3396">
        <v>0</v>
      </c>
      <c r="AB186" s="3395" t="s">
        <v>1209</v>
      </c>
      <c r="AC186" s="3450" t="s">
        <v>33</v>
      </c>
      <c r="AD186" s="350" t="s">
        <v>2435</v>
      </c>
      <c r="AE186" s="2331" t="s">
        <v>1282</v>
      </c>
      <c r="AF186" s="2331" t="s">
        <v>1282</v>
      </c>
      <c r="AG186" s="174" t="s">
        <v>1448</v>
      </c>
      <c r="AH186" s="3738" t="s">
        <v>2930</v>
      </c>
    </row>
    <row r="187" spans="1:34" s="3360" customFormat="1" ht="30" outlineLevel="1" x14ac:dyDescent="0.25">
      <c r="A187" s="381" t="s">
        <v>2825</v>
      </c>
      <c r="B187" s="3370" t="s">
        <v>2908</v>
      </c>
      <c r="C187" s="3322" t="s">
        <v>3326</v>
      </c>
      <c r="D187" s="3713" t="s">
        <v>1874</v>
      </c>
      <c r="E187" s="3713" t="s">
        <v>1874</v>
      </c>
      <c r="F187" s="3301" t="s">
        <v>2826</v>
      </c>
      <c r="G187" s="384">
        <v>65000</v>
      </c>
      <c r="H187" s="384">
        <v>0</v>
      </c>
      <c r="I187" s="4186">
        <v>0</v>
      </c>
      <c r="J187" s="3245">
        <v>0</v>
      </c>
      <c r="K187" s="1472">
        <v>0</v>
      </c>
      <c r="L187" s="1472">
        <v>2500</v>
      </c>
      <c r="M187" s="385">
        <v>2500</v>
      </c>
      <c r="N187" s="3376">
        <v>5000</v>
      </c>
      <c r="O187" s="3546">
        <v>0</v>
      </c>
      <c r="P187" s="3491">
        <f t="shared" si="9"/>
        <v>5000</v>
      </c>
      <c r="Q187" s="387">
        <v>60000</v>
      </c>
      <c r="R187" s="38">
        <v>0</v>
      </c>
      <c r="S187" s="3245">
        <v>0</v>
      </c>
      <c r="T187" s="1472">
        <v>0</v>
      </c>
      <c r="U187" s="385">
        <v>0</v>
      </c>
      <c r="V187" s="3306">
        <v>0</v>
      </c>
      <c r="W187" s="1427">
        <v>0</v>
      </c>
      <c r="X187" s="3307">
        <v>0</v>
      </c>
      <c r="Y187" s="3691">
        <v>0</v>
      </c>
      <c r="Z187" s="3691">
        <v>0</v>
      </c>
      <c r="AA187" s="1110">
        <v>0</v>
      </c>
      <c r="AB187" s="402" t="s">
        <v>1209</v>
      </c>
      <c r="AC187" s="298" t="s">
        <v>33</v>
      </c>
      <c r="AD187" s="3368" t="s">
        <v>2435</v>
      </c>
      <c r="AE187" s="1430" t="s">
        <v>1282</v>
      </c>
      <c r="AF187" s="1430" t="s">
        <v>1282</v>
      </c>
      <c r="AG187" s="3729" t="s">
        <v>1446</v>
      </c>
      <c r="AH187" s="3713" t="s">
        <v>2939</v>
      </c>
    </row>
    <row r="188" spans="1:34" s="3360" customFormat="1" ht="30" outlineLevel="1" x14ac:dyDescent="0.25">
      <c r="A188" s="393" t="s">
        <v>2827</v>
      </c>
      <c r="B188" s="3371" t="s">
        <v>2909</v>
      </c>
      <c r="C188" s="3323" t="s">
        <v>3326</v>
      </c>
      <c r="D188" s="3751" t="s">
        <v>354</v>
      </c>
      <c r="E188" s="3751" t="s">
        <v>354</v>
      </c>
      <c r="F188" s="3302" t="s">
        <v>2828</v>
      </c>
      <c r="G188" s="395">
        <v>10000</v>
      </c>
      <c r="H188" s="395">
        <v>0</v>
      </c>
      <c r="I188" s="4187">
        <v>0</v>
      </c>
      <c r="J188" s="3242">
        <v>200</v>
      </c>
      <c r="K188" s="368">
        <v>0</v>
      </c>
      <c r="L188" s="368">
        <v>0</v>
      </c>
      <c r="M188" s="37">
        <v>0</v>
      </c>
      <c r="N188" s="3377">
        <v>200</v>
      </c>
      <c r="O188" s="3547">
        <v>0</v>
      </c>
      <c r="P188" s="3492">
        <f t="shared" si="9"/>
        <v>200</v>
      </c>
      <c r="Q188" s="401">
        <v>9800</v>
      </c>
      <c r="R188" s="36">
        <v>0</v>
      </c>
      <c r="S188" s="3242">
        <v>0</v>
      </c>
      <c r="T188" s="368">
        <v>0</v>
      </c>
      <c r="U188" s="37">
        <v>0</v>
      </c>
      <c r="V188" s="3246">
        <v>0</v>
      </c>
      <c r="W188" s="2800">
        <v>0</v>
      </c>
      <c r="X188" s="1474">
        <v>0</v>
      </c>
      <c r="Y188" s="3691">
        <v>0</v>
      </c>
      <c r="Z188" s="3688">
        <v>0</v>
      </c>
      <c r="AA188" s="535">
        <v>0</v>
      </c>
      <c r="AB188" s="397" t="s">
        <v>1209</v>
      </c>
      <c r="AC188" s="398" t="s">
        <v>33</v>
      </c>
      <c r="AD188" s="3527" t="s">
        <v>2435</v>
      </c>
      <c r="AE188" s="399" t="s">
        <v>1282</v>
      </c>
      <c r="AF188" s="399" t="s">
        <v>1282</v>
      </c>
      <c r="AG188" s="3753" t="s">
        <v>1448</v>
      </c>
      <c r="AH188" s="400" t="s">
        <v>2941</v>
      </c>
    </row>
    <row r="189" spans="1:34" s="3360" customFormat="1" ht="30.75" outlineLevel="1" thickBot="1" x14ac:dyDescent="0.3">
      <c r="A189" s="3425" t="s">
        <v>2829</v>
      </c>
      <c r="B189" s="3426" t="s">
        <v>2910</v>
      </c>
      <c r="C189" s="3428" t="s">
        <v>3326</v>
      </c>
      <c r="D189" s="3728" t="s">
        <v>415</v>
      </c>
      <c r="E189" s="3728" t="s">
        <v>415</v>
      </c>
      <c r="F189" s="1191" t="s">
        <v>2830</v>
      </c>
      <c r="G189" s="2615">
        <v>2000</v>
      </c>
      <c r="H189" s="491">
        <v>0</v>
      </c>
      <c r="I189" s="4188">
        <v>0</v>
      </c>
      <c r="J189" s="3429">
        <v>0</v>
      </c>
      <c r="K189" s="1473">
        <v>0</v>
      </c>
      <c r="L189" s="1473">
        <v>0</v>
      </c>
      <c r="M189" s="260">
        <v>2000</v>
      </c>
      <c r="N189" s="3430">
        <v>2000</v>
      </c>
      <c r="O189" s="3548">
        <v>0</v>
      </c>
      <c r="P189" s="3493">
        <f t="shared" si="9"/>
        <v>2000</v>
      </c>
      <c r="Q189" s="635">
        <v>0</v>
      </c>
      <c r="R189" s="3424">
        <v>0</v>
      </c>
      <c r="S189" s="3429">
        <v>0</v>
      </c>
      <c r="T189" s="1473">
        <v>0</v>
      </c>
      <c r="U189" s="260">
        <v>0</v>
      </c>
      <c r="V189" s="3616">
        <v>0</v>
      </c>
      <c r="W189" s="3606">
        <v>0</v>
      </c>
      <c r="X189" s="3496">
        <v>0</v>
      </c>
      <c r="Y189" s="3698">
        <v>0</v>
      </c>
      <c r="Z189" s="3694">
        <v>0</v>
      </c>
      <c r="AA189" s="2626">
        <v>0</v>
      </c>
      <c r="AB189" s="927" t="s">
        <v>1209</v>
      </c>
      <c r="AC189" s="3427" t="s">
        <v>306</v>
      </c>
      <c r="AD189" s="3275" t="s">
        <v>2435</v>
      </c>
      <c r="AE189" s="2329" t="s">
        <v>1282</v>
      </c>
      <c r="AF189" s="2329" t="s">
        <v>1282</v>
      </c>
      <c r="AG189" s="174" t="s">
        <v>1448</v>
      </c>
      <c r="AH189" s="3450" t="s">
        <v>2940</v>
      </c>
    </row>
    <row r="190" spans="1:34" s="3360" customFormat="1" ht="30" outlineLevel="1" x14ac:dyDescent="0.25">
      <c r="A190" s="3439" t="s">
        <v>2846</v>
      </c>
      <c r="B190" s="3503" t="s">
        <v>2877</v>
      </c>
      <c r="C190" s="3358" t="s">
        <v>2881</v>
      </c>
      <c r="D190" s="3448" t="s">
        <v>619</v>
      </c>
      <c r="E190" s="3448" t="s">
        <v>619</v>
      </c>
      <c r="F190" s="3504" t="s">
        <v>2870</v>
      </c>
      <c r="G190" s="851">
        <f>948.49932+552.88516</f>
        <v>1501.3844800000002</v>
      </c>
      <c r="H190" s="384">
        <v>552.88516000000004</v>
      </c>
      <c r="I190" s="4189">
        <v>0</v>
      </c>
      <c r="J190" s="3244">
        <v>948.4993199999999</v>
      </c>
      <c r="K190" s="1415">
        <v>0</v>
      </c>
      <c r="L190" s="1415">
        <v>0</v>
      </c>
      <c r="M190" s="3623">
        <v>0</v>
      </c>
      <c r="N190" s="3376">
        <v>948.4993199999999</v>
      </c>
      <c r="O190" s="3546">
        <v>0</v>
      </c>
      <c r="P190" s="3491">
        <f t="shared" si="9"/>
        <v>948.4993199999999</v>
      </c>
      <c r="Q190" s="1468">
        <v>0</v>
      </c>
      <c r="R190" s="1414">
        <v>0</v>
      </c>
      <c r="S190" s="3244">
        <v>0</v>
      </c>
      <c r="T190" s="1415">
        <v>0</v>
      </c>
      <c r="U190" s="850">
        <v>0</v>
      </c>
      <c r="V190" s="3303">
        <v>0</v>
      </c>
      <c r="W190" s="3304">
        <v>0</v>
      </c>
      <c r="X190" s="3307">
        <v>0</v>
      </c>
      <c r="Y190" s="3695">
        <v>0</v>
      </c>
      <c r="Z190" s="3695">
        <v>0</v>
      </c>
      <c r="AA190" s="2797">
        <v>0</v>
      </c>
      <c r="AB190" s="754" t="s">
        <v>1209</v>
      </c>
      <c r="AC190" s="3314" t="s">
        <v>43</v>
      </c>
      <c r="AD190" s="3443" t="s">
        <v>3276</v>
      </c>
      <c r="AE190" s="3363" t="s">
        <v>1283</v>
      </c>
      <c r="AF190" s="3272" t="s">
        <v>1283</v>
      </c>
      <c r="AG190" s="128" t="s">
        <v>1447</v>
      </c>
      <c r="AH190" s="383" t="s">
        <v>2922</v>
      </c>
    </row>
    <row r="191" spans="1:34" s="3360" customFormat="1" ht="30.75" outlineLevel="1" thickBot="1" x14ac:dyDescent="0.3">
      <c r="A191" s="477" t="s">
        <v>2847</v>
      </c>
      <c r="B191" s="4190" t="s">
        <v>2911</v>
      </c>
      <c r="C191" s="4191" t="s">
        <v>2857</v>
      </c>
      <c r="D191" s="90" t="s">
        <v>26</v>
      </c>
      <c r="E191" s="90" t="s">
        <v>26</v>
      </c>
      <c r="F191" s="241" t="s">
        <v>398</v>
      </c>
      <c r="G191" s="560">
        <v>1310.4000000000001</v>
      </c>
      <c r="H191" s="560">
        <v>1310.4000000000001</v>
      </c>
      <c r="I191" s="4192">
        <v>0</v>
      </c>
      <c r="J191" s="2363">
        <v>0</v>
      </c>
      <c r="K191" s="1476">
        <v>0</v>
      </c>
      <c r="L191" s="1476">
        <v>0</v>
      </c>
      <c r="M191" s="564">
        <v>0</v>
      </c>
      <c r="N191" s="4193">
        <v>0</v>
      </c>
      <c r="O191" s="3544">
        <v>0</v>
      </c>
      <c r="P191" s="4194">
        <f t="shared" si="9"/>
        <v>0</v>
      </c>
      <c r="Q191" s="563">
        <v>0</v>
      </c>
      <c r="R191" s="438">
        <v>0</v>
      </c>
      <c r="S191" s="2363">
        <v>0</v>
      </c>
      <c r="T191" s="1476">
        <v>0</v>
      </c>
      <c r="U191" s="564">
        <v>0</v>
      </c>
      <c r="V191" s="3569">
        <v>0</v>
      </c>
      <c r="W191" s="3312">
        <v>0</v>
      </c>
      <c r="X191" s="3495">
        <v>0</v>
      </c>
      <c r="Y191" s="3692">
        <v>0</v>
      </c>
      <c r="Z191" s="3692">
        <v>0</v>
      </c>
      <c r="AA191" s="2961">
        <v>0</v>
      </c>
      <c r="AB191" s="150" t="s">
        <v>1209</v>
      </c>
      <c r="AC191" s="558" t="s">
        <v>1329</v>
      </c>
      <c r="AD191" s="4195" t="s">
        <v>2070</v>
      </c>
      <c r="AE191" s="503" t="s">
        <v>1283</v>
      </c>
      <c r="AF191" s="503" t="s">
        <v>1283</v>
      </c>
      <c r="AG191" s="1424" t="s">
        <v>1447</v>
      </c>
      <c r="AH191" s="949" t="s">
        <v>1230</v>
      </c>
    </row>
    <row r="192" spans="1:34" s="3360" customFormat="1" ht="30" outlineLevel="1" x14ac:dyDescent="0.25">
      <c r="A192" s="1668" t="s">
        <v>3007</v>
      </c>
      <c r="B192" s="4196" t="s">
        <v>3124</v>
      </c>
      <c r="C192" s="4197" t="s">
        <v>3206</v>
      </c>
      <c r="D192" s="1791" t="s">
        <v>359</v>
      </c>
      <c r="E192" s="1791" t="s">
        <v>1305</v>
      </c>
      <c r="F192" s="3108" t="s">
        <v>3008</v>
      </c>
      <c r="G192" s="1747">
        <v>1165.1349</v>
      </c>
      <c r="H192" s="1747">
        <v>1165.1349</v>
      </c>
      <c r="I192" s="4198">
        <v>0</v>
      </c>
      <c r="J192" s="2367">
        <v>0</v>
      </c>
      <c r="K192" s="1706">
        <v>0</v>
      </c>
      <c r="L192" s="1706">
        <v>0</v>
      </c>
      <c r="M192" s="1660">
        <v>0</v>
      </c>
      <c r="N192" s="4199">
        <v>34.865099999999984</v>
      </c>
      <c r="O192" s="3542">
        <v>-34.865099999999998</v>
      </c>
      <c r="P192" s="4200">
        <f t="shared" si="9"/>
        <v>0</v>
      </c>
      <c r="Q192" s="1656">
        <v>0</v>
      </c>
      <c r="R192" s="1891">
        <v>0</v>
      </c>
      <c r="S192" s="2367">
        <v>0</v>
      </c>
      <c r="T192" s="1706">
        <v>0</v>
      </c>
      <c r="U192" s="1660">
        <v>0</v>
      </c>
      <c r="V192" s="4328">
        <v>0</v>
      </c>
      <c r="W192" s="1892">
        <v>0</v>
      </c>
      <c r="X192" s="1897">
        <v>0</v>
      </c>
      <c r="Y192" s="4201">
        <v>0</v>
      </c>
      <c r="Z192" s="4201">
        <v>0</v>
      </c>
      <c r="AA192" s="1868">
        <v>0</v>
      </c>
      <c r="AB192" s="570" t="s">
        <v>3282</v>
      </c>
      <c r="AC192" s="959" t="s">
        <v>1329</v>
      </c>
      <c r="AD192" s="4202" t="s">
        <v>2070</v>
      </c>
      <c r="AE192" s="1663" t="s">
        <v>1283</v>
      </c>
      <c r="AF192" s="1663" t="s">
        <v>1283</v>
      </c>
      <c r="AG192" s="1870" t="s">
        <v>1447</v>
      </c>
      <c r="AH192" s="2586" t="s">
        <v>2930</v>
      </c>
    </row>
    <row r="193" spans="1:34" s="3360" customFormat="1" ht="30" outlineLevel="1" x14ac:dyDescent="0.25">
      <c r="A193" s="381" t="s">
        <v>3009</v>
      </c>
      <c r="B193" s="3370" t="s">
        <v>1230</v>
      </c>
      <c r="C193" s="3359" t="s">
        <v>3206</v>
      </c>
      <c r="D193" s="3713" t="s">
        <v>415</v>
      </c>
      <c r="E193" s="3713" t="s">
        <v>415</v>
      </c>
      <c r="F193" s="3301" t="s">
        <v>3010</v>
      </c>
      <c r="G193" s="384">
        <v>2695.194</v>
      </c>
      <c r="H193" s="384">
        <v>0</v>
      </c>
      <c r="I193" s="4186">
        <v>0</v>
      </c>
      <c r="J193" s="3245">
        <v>0</v>
      </c>
      <c r="K193" s="1472">
        <v>1000</v>
      </c>
      <c r="L193" s="1472">
        <v>0</v>
      </c>
      <c r="M193" s="385">
        <v>1695.194</v>
      </c>
      <c r="N193" s="3376">
        <v>2695.194</v>
      </c>
      <c r="O193" s="3546">
        <v>0</v>
      </c>
      <c r="P193" s="3491">
        <f t="shared" si="9"/>
        <v>2695.194</v>
      </c>
      <c r="Q193" s="387">
        <v>0</v>
      </c>
      <c r="R193" s="38">
        <v>0</v>
      </c>
      <c r="S193" s="3245">
        <v>0</v>
      </c>
      <c r="T193" s="1472">
        <v>0</v>
      </c>
      <c r="U193" s="385">
        <v>0</v>
      </c>
      <c r="V193" s="3306">
        <v>0</v>
      </c>
      <c r="W193" s="1427">
        <v>0</v>
      </c>
      <c r="X193" s="1474">
        <v>0</v>
      </c>
      <c r="Y193" s="3691">
        <v>0</v>
      </c>
      <c r="Z193" s="3691">
        <v>0</v>
      </c>
      <c r="AA193" s="1110">
        <v>0</v>
      </c>
      <c r="AB193" s="3461" t="s">
        <v>1209</v>
      </c>
      <c r="AC193" s="298" t="s">
        <v>43</v>
      </c>
      <c r="AD193" s="3368" t="s">
        <v>2796</v>
      </c>
      <c r="AE193" s="1430" t="s">
        <v>1283</v>
      </c>
      <c r="AF193" s="1430" t="s">
        <v>1283</v>
      </c>
      <c r="AG193" s="3729" t="s">
        <v>1447</v>
      </c>
      <c r="AH193" s="394" t="s">
        <v>2940</v>
      </c>
    </row>
    <row r="194" spans="1:34" s="3360" customFormat="1" ht="30" outlineLevel="1" x14ac:dyDescent="0.25">
      <c r="A194" s="1668" t="s">
        <v>3011</v>
      </c>
      <c r="B194" s="4196" t="s">
        <v>3283</v>
      </c>
      <c r="C194" s="4197" t="s">
        <v>3206</v>
      </c>
      <c r="D194" s="1791" t="s">
        <v>26</v>
      </c>
      <c r="E194" s="1791" t="s">
        <v>26</v>
      </c>
      <c r="F194" s="3108" t="s">
        <v>3012</v>
      </c>
      <c r="G194" s="1747">
        <v>9900</v>
      </c>
      <c r="H194" s="1747">
        <v>0</v>
      </c>
      <c r="I194" s="4198">
        <v>9900</v>
      </c>
      <c r="J194" s="2367">
        <v>9900</v>
      </c>
      <c r="K194" s="1706">
        <v>0</v>
      </c>
      <c r="L194" s="1706">
        <v>0</v>
      </c>
      <c r="M194" s="1660">
        <v>0</v>
      </c>
      <c r="N194" s="4199">
        <v>11900</v>
      </c>
      <c r="O194" s="3542">
        <v>-2000</v>
      </c>
      <c r="P194" s="4200">
        <f t="shared" si="9"/>
        <v>9900</v>
      </c>
      <c r="Q194" s="1656">
        <v>0</v>
      </c>
      <c r="R194" s="1891">
        <v>0</v>
      </c>
      <c r="S194" s="2367">
        <v>0</v>
      </c>
      <c r="T194" s="1706">
        <v>0</v>
      </c>
      <c r="U194" s="1660">
        <v>0</v>
      </c>
      <c r="V194" s="4328">
        <v>0</v>
      </c>
      <c r="W194" s="1892">
        <v>0</v>
      </c>
      <c r="X194" s="1897">
        <v>0</v>
      </c>
      <c r="Y194" s="4201">
        <v>0</v>
      </c>
      <c r="Z194" s="4201">
        <v>0</v>
      </c>
      <c r="AA194" s="1868">
        <v>0</v>
      </c>
      <c r="AB194" s="570" t="s">
        <v>3284</v>
      </c>
      <c r="AC194" s="959" t="s">
        <v>1329</v>
      </c>
      <c r="AD194" s="4202" t="s">
        <v>1552</v>
      </c>
      <c r="AE194" s="1663" t="s">
        <v>1283</v>
      </c>
      <c r="AF194" s="1663" t="s">
        <v>1283</v>
      </c>
      <c r="AG194" s="1870" t="s">
        <v>1447</v>
      </c>
      <c r="AH194" s="4420" t="s">
        <v>2932</v>
      </c>
    </row>
    <row r="195" spans="1:34" s="3360" customFormat="1" ht="30" outlineLevel="1" x14ac:dyDescent="0.25">
      <c r="A195" s="393" t="s">
        <v>3013</v>
      </c>
      <c r="B195" s="3371" t="s">
        <v>1230</v>
      </c>
      <c r="C195" s="3555" t="s">
        <v>3206</v>
      </c>
      <c r="D195" s="3751" t="s">
        <v>3014</v>
      </c>
      <c r="E195" s="3751" t="s">
        <v>336</v>
      </c>
      <c r="F195" s="3302" t="s">
        <v>3015</v>
      </c>
      <c r="G195" s="395">
        <v>2000</v>
      </c>
      <c r="H195" s="395">
        <v>0</v>
      </c>
      <c r="I195" s="4187">
        <v>0</v>
      </c>
      <c r="J195" s="3242">
        <v>0</v>
      </c>
      <c r="K195" s="368"/>
      <c r="L195" s="368">
        <v>0</v>
      </c>
      <c r="M195" s="37">
        <v>2000</v>
      </c>
      <c r="N195" s="3377">
        <v>2000</v>
      </c>
      <c r="O195" s="3547">
        <v>0</v>
      </c>
      <c r="P195" s="3492">
        <f t="shared" si="9"/>
        <v>2000</v>
      </c>
      <c r="Q195" s="401">
        <v>0</v>
      </c>
      <c r="R195" s="36">
        <v>0</v>
      </c>
      <c r="S195" s="3242">
        <v>0</v>
      </c>
      <c r="T195" s="368">
        <v>0</v>
      </c>
      <c r="U195" s="37">
        <v>0</v>
      </c>
      <c r="V195" s="3246">
        <v>0</v>
      </c>
      <c r="W195" s="2800">
        <v>0</v>
      </c>
      <c r="X195" s="1474">
        <v>0</v>
      </c>
      <c r="Y195" s="3691">
        <v>0</v>
      </c>
      <c r="Z195" s="3688">
        <v>0</v>
      </c>
      <c r="AA195" s="535">
        <v>0</v>
      </c>
      <c r="AB195" s="57" t="s">
        <v>1209</v>
      </c>
      <c r="AC195" s="398" t="s">
        <v>33</v>
      </c>
      <c r="AD195" s="3527" t="s">
        <v>2435</v>
      </c>
      <c r="AE195" s="399" t="s">
        <v>1282</v>
      </c>
      <c r="AF195" s="399" t="s">
        <v>1282</v>
      </c>
      <c r="AG195" s="3753" t="s">
        <v>1448</v>
      </c>
      <c r="AH195" s="394" t="s">
        <v>2927</v>
      </c>
    </row>
    <row r="196" spans="1:34" s="3360" customFormat="1" ht="30" outlineLevel="1" x14ac:dyDescent="0.25">
      <c r="A196" s="381" t="s">
        <v>3016</v>
      </c>
      <c r="B196" s="3370" t="s">
        <v>1230</v>
      </c>
      <c r="C196" s="3359" t="s">
        <v>3206</v>
      </c>
      <c r="D196" s="3713" t="s">
        <v>2084</v>
      </c>
      <c r="E196" s="3713" t="s">
        <v>2084</v>
      </c>
      <c r="F196" s="3301" t="s">
        <v>3017</v>
      </c>
      <c r="G196" s="384">
        <v>15000</v>
      </c>
      <c r="H196" s="384">
        <v>0</v>
      </c>
      <c r="I196" s="4186">
        <v>0</v>
      </c>
      <c r="J196" s="3245">
        <v>0</v>
      </c>
      <c r="K196" s="1472">
        <v>2500</v>
      </c>
      <c r="L196" s="1472">
        <v>0</v>
      </c>
      <c r="M196" s="385">
        <v>2500</v>
      </c>
      <c r="N196" s="3376">
        <v>5000</v>
      </c>
      <c r="O196" s="3546">
        <v>0</v>
      </c>
      <c r="P196" s="3492">
        <f t="shared" si="9"/>
        <v>5000</v>
      </c>
      <c r="Q196" s="387">
        <v>10000</v>
      </c>
      <c r="R196" s="38">
        <v>0</v>
      </c>
      <c r="S196" s="3245">
        <v>0</v>
      </c>
      <c r="T196" s="1472">
        <v>0</v>
      </c>
      <c r="U196" s="385">
        <v>0</v>
      </c>
      <c r="V196" s="3306">
        <v>0</v>
      </c>
      <c r="W196" s="1427">
        <v>0</v>
      </c>
      <c r="X196" s="1474">
        <v>0</v>
      </c>
      <c r="Y196" s="3691">
        <v>0</v>
      </c>
      <c r="Z196" s="3691">
        <v>0</v>
      </c>
      <c r="AA196" s="1110">
        <v>0</v>
      </c>
      <c r="AB196" s="3461" t="s">
        <v>1209</v>
      </c>
      <c r="AC196" s="298" t="s">
        <v>33</v>
      </c>
      <c r="AD196" s="3368" t="s">
        <v>2435</v>
      </c>
      <c r="AE196" s="1430" t="s">
        <v>1282</v>
      </c>
      <c r="AF196" s="1430" t="s">
        <v>1282</v>
      </c>
      <c r="AG196" s="3729" t="s">
        <v>1448</v>
      </c>
      <c r="AH196" s="394" t="s">
        <v>2923</v>
      </c>
    </row>
    <row r="197" spans="1:34" s="3647" customFormat="1" ht="15.75" outlineLevel="1" thickBot="1" x14ac:dyDescent="0.3">
      <c r="A197" s="174" t="s">
        <v>1361</v>
      </c>
      <c r="B197" s="171" t="s">
        <v>1361</v>
      </c>
      <c r="C197" s="167" t="s">
        <v>1361</v>
      </c>
      <c r="D197" s="3738" t="s">
        <v>1361</v>
      </c>
      <c r="E197" s="3738" t="s">
        <v>1361</v>
      </c>
      <c r="F197" s="1403" t="s">
        <v>1361</v>
      </c>
      <c r="G197" s="3418" t="s">
        <v>1361</v>
      </c>
      <c r="H197" s="3418" t="s">
        <v>1361</v>
      </c>
      <c r="I197" s="3707" t="s">
        <v>1361</v>
      </c>
      <c r="J197" s="3238" t="s">
        <v>1361</v>
      </c>
      <c r="K197" s="2823" t="s">
        <v>1361</v>
      </c>
      <c r="L197" s="2823" t="s">
        <v>1361</v>
      </c>
      <c r="M197" s="3457" t="s">
        <v>1361</v>
      </c>
      <c r="N197" s="3457" t="s">
        <v>1361</v>
      </c>
      <c r="O197" s="3457" t="s">
        <v>1361</v>
      </c>
      <c r="P197" s="3457" t="s">
        <v>1361</v>
      </c>
      <c r="Q197" s="3247" t="s">
        <v>1361</v>
      </c>
      <c r="R197" s="2827" t="s">
        <v>1361</v>
      </c>
      <c r="S197" s="3238" t="s">
        <v>1361</v>
      </c>
      <c r="T197" s="2823" t="s">
        <v>1361</v>
      </c>
      <c r="U197" s="2832" t="s">
        <v>1361</v>
      </c>
      <c r="V197" s="3238" t="s">
        <v>1361</v>
      </c>
      <c r="W197" s="2831" t="s">
        <v>1361</v>
      </c>
      <c r="X197" s="2823" t="s">
        <v>1361</v>
      </c>
      <c r="Y197" s="2828" t="s">
        <v>1361</v>
      </c>
      <c r="Z197" s="2836" t="s">
        <v>1361</v>
      </c>
      <c r="AA197" s="3457" t="s">
        <v>1361</v>
      </c>
      <c r="AB197" s="3457" t="s">
        <v>1361</v>
      </c>
      <c r="AC197" s="1361" t="s">
        <v>1361</v>
      </c>
      <c r="AD197" s="1235" t="s">
        <v>1361</v>
      </c>
      <c r="AE197" s="349" t="s">
        <v>1361</v>
      </c>
      <c r="AF197" s="349" t="s">
        <v>1361</v>
      </c>
      <c r="AG197" s="174" t="s">
        <v>1361</v>
      </c>
      <c r="AH197" s="3738" t="s">
        <v>1361</v>
      </c>
    </row>
    <row r="198" spans="1:34" ht="16.5" thickBot="1" x14ac:dyDescent="0.3">
      <c r="A198" s="2310" t="s">
        <v>1209</v>
      </c>
      <c r="B198" s="3627" t="s">
        <v>1209</v>
      </c>
      <c r="C198" s="140" t="s">
        <v>1209</v>
      </c>
      <c r="D198" s="3717" t="s">
        <v>1209</v>
      </c>
      <c r="E198" s="3717" t="s">
        <v>1209</v>
      </c>
      <c r="F198" s="2621" t="s">
        <v>1463</v>
      </c>
      <c r="G198" s="3741">
        <f>SUM(G167:G197)</f>
        <v>587435.72852999996</v>
      </c>
      <c r="H198" s="3741">
        <f t="shared" ref="H198:AA198" si="10">SUM(H167:H197)</f>
        <v>79904.420620000034</v>
      </c>
      <c r="I198" s="2814">
        <f t="shared" si="10"/>
        <v>9900</v>
      </c>
      <c r="J198" s="2814">
        <f t="shared" si="10"/>
        <v>20621.368290000002</v>
      </c>
      <c r="K198" s="2815">
        <f t="shared" si="10"/>
        <v>4650</v>
      </c>
      <c r="L198" s="2815">
        <f t="shared" si="10"/>
        <v>5750.7</v>
      </c>
      <c r="M198" s="3453">
        <f t="shared" si="10"/>
        <v>35991.993999999999</v>
      </c>
      <c r="N198" s="3741">
        <f t="shared" si="10"/>
        <v>117337.83921999999</v>
      </c>
      <c r="O198" s="3741">
        <f t="shared" si="10"/>
        <v>-50323.77693</v>
      </c>
      <c r="P198" s="3741">
        <f t="shared" si="10"/>
        <v>67014.062290000002</v>
      </c>
      <c r="Q198" s="3741">
        <f t="shared" si="10"/>
        <v>400347.24562</v>
      </c>
      <c r="R198" s="3741">
        <f t="shared" si="10"/>
        <v>40170</v>
      </c>
      <c r="S198" s="2814">
        <f t="shared" si="10"/>
        <v>0</v>
      </c>
      <c r="T198" s="2815">
        <f t="shared" si="10"/>
        <v>0</v>
      </c>
      <c r="U198" s="3453">
        <f t="shared" si="10"/>
        <v>0</v>
      </c>
      <c r="V198" s="2814">
        <f t="shared" si="10"/>
        <v>0</v>
      </c>
      <c r="W198" s="2815">
        <f t="shared" si="10"/>
        <v>0</v>
      </c>
      <c r="X198" s="2815">
        <f t="shared" si="10"/>
        <v>0</v>
      </c>
      <c r="Y198" s="2815">
        <f t="shared" si="10"/>
        <v>0</v>
      </c>
      <c r="Z198" s="2815">
        <f t="shared" si="10"/>
        <v>0</v>
      </c>
      <c r="AA198" s="3453">
        <f t="shared" si="10"/>
        <v>0</v>
      </c>
      <c r="AB198" s="165" t="s">
        <v>3145</v>
      </c>
      <c r="AC198" s="3470" t="s">
        <v>1209</v>
      </c>
      <c r="AD198" s="3471" t="s">
        <v>1209</v>
      </c>
      <c r="AE198" s="3472" t="s">
        <v>1209</v>
      </c>
      <c r="AF198" s="3471" t="s">
        <v>1209</v>
      </c>
      <c r="AG198" s="3470" t="s">
        <v>1209</v>
      </c>
      <c r="AH198" s="3717" t="s">
        <v>1209</v>
      </c>
    </row>
    <row r="199" spans="1:34" ht="56.25" outlineLevel="1" x14ac:dyDescent="0.25">
      <c r="A199" s="2928" t="s">
        <v>3095</v>
      </c>
      <c r="B199" s="2929" t="s">
        <v>459</v>
      </c>
      <c r="C199" s="650" t="s">
        <v>1708</v>
      </c>
      <c r="D199" s="1125" t="s">
        <v>460</v>
      </c>
      <c r="E199" s="573" t="s">
        <v>460</v>
      </c>
      <c r="F199" s="4041" t="s">
        <v>461</v>
      </c>
      <c r="G199" s="654">
        <v>360000</v>
      </c>
      <c r="H199" s="4042">
        <v>7804.0595499999999</v>
      </c>
      <c r="I199" s="4317">
        <v>0</v>
      </c>
      <c r="J199" s="4043">
        <v>0</v>
      </c>
      <c r="K199" s="4044">
        <v>30000</v>
      </c>
      <c r="L199" s="4045">
        <v>30000</v>
      </c>
      <c r="M199" s="4046">
        <v>94625</v>
      </c>
      <c r="N199" s="4047">
        <v>154625</v>
      </c>
      <c r="O199" s="3791">
        <v>0</v>
      </c>
      <c r="P199" s="3792">
        <f t="shared" ref="P199:P211" si="11">N199+O199</f>
        <v>154625</v>
      </c>
      <c r="Q199" s="1531">
        <f>197570.94+0.00045</f>
        <v>197570.94044999999</v>
      </c>
      <c r="R199" s="4048">
        <v>0</v>
      </c>
      <c r="S199" s="2882">
        <v>0</v>
      </c>
      <c r="T199" s="1532">
        <v>0</v>
      </c>
      <c r="U199" s="1533">
        <v>0</v>
      </c>
      <c r="V199" s="3793">
        <f>270000-7804.05955</f>
        <v>262195.94044999999</v>
      </c>
      <c r="W199" s="4049">
        <v>0</v>
      </c>
      <c r="X199" s="3794">
        <v>0</v>
      </c>
      <c r="Y199" s="4050">
        <v>154625</v>
      </c>
      <c r="Z199" s="4050">
        <v>107570.94045000001</v>
      </c>
      <c r="AA199" s="4051">
        <v>0</v>
      </c>
      <c r="AB199" s="4052" t="s">
        <v>3258</v>
      </c>
      <c r="AC199" s="607" t="s">
        <v>28</v>
      </c>
      <c r="AD199" s="4053" t="s">
        <v>2366</v>
      </c>
      <c r="AE199" s="4053" t="s">
        <v>1282</v>
      </c>
      <c r="AF199" s="2962" t="s">
        <v>1283</v>
      </c>
      <c r="AG199" s="4053" t="s">
        <v>1447</v>
      </c>
      <c r="AH199" s="1125" t="s">
        <v>2939</v>
      </c>
    </row>
    <row r="200" spans="1:34" ht="30" outlineLevel="1" x14ac:dyDescent="0.25">
      <c r="A200" s="3727" t="s">
        <v>3096</v>
      </c>
      <c r="B200" s="106" t="s">
        <v>466</v>
      </c>
      <c r="C200" s="93" t="s">
        <v>467</v>
      </c>
      <c r="D200" s="92" t="s">
        <v>468</v>
      </c>
      <c r="E200" s="1227" t="s">
        <v>468</v>
      </c>
      <c r="F200" s="1269" t="s">
        <v>469</v>
      </c>
      <c r="G200" s="28">
        <v>86727</v>
      </c>
      <c r="H200" s="3748">
        <v>0</v>
      </c>
      <c r="I200" s="4318">
        <v>0</v>
      </c>
      <c r="J200" s="2812">
        <v>0</v>
      </c>
      <c r="K200" s="1465">
        <v>0</v>
      </c>
      <c r="L200" s="1465">
        <v>0</v>
      </c>
      <c r="M200" s="29">
        <v>71647.25</v>
      </c>
      <c r="N200" s="3464">
        <v>71647.25</v>
      </c>
      <c r="O200" s="3763">
        <v>0</v>
      </c>
      <c r="P200" s="3760">
        <f t="shared" si="11"/>
        <v>71647.25</v>
      </c>
      <c r="Q200" s="3726">
        <v>0</v>
      </c>
      <c r="R200" s="3385">
        <v>0</v>
      </c>
      <c r="S200" s="3756">
        <v>0</v>
      </c>
      <c r="T200" s="3754">
        <v>0</v>
      </c>
      <c r="U200" s="3459">
        <v>15079.75</v>
      </c>
      <c r="V200" s="3731">
        <v>0</v>
      </c>
      <c r="W200" s="3702">
        <v>0</v>
      </c>
      <c r="X200" s="3724">
        <v>0</v>
      </c>
      <c r="Y200" s="3765">
        <v>0</v>
      </c>
      <c r="Z200" s="3733">
        <v>0</v>
      </c>
      <c r="AA200" s="3750">
        <v>0</v>
      </c>
      <c r="AB200" s="57" t="s">
        <v>2707</v>
      </c>
      <c r="AC200" s="3747" t="s">
        <v>2708</v>
      </c>
      <c r="AD200" s="488" t="s">
        <v>1009</v>
      </c>
      <c r="AE200" s="3753" t="s">
        <v>1283</v>
      </c>
      <c r="AF200" s="3462" t="s">
        <v>1283</v>
      </c>
      <c r="AG200" s="3753" t="s">
        <v>1448</v>
      </c>
      <c r="AH200" s="3747" t="s">
        <v>2934</v>
      </c>
    </row>
    <row r="201" spans="1:34" ht="26.25" outlineLevel="1" thickBot="1" x14ac:dyDescent="0.3">
      <c r="A201" s="169" t="s">
        <v>3097</v>
      </c>
      <c r="B201" s="171" t="s">
        <v>486</v>
      </c>
      <c r="C201" s="3450" t="s">
        <v>3329</v>
      </c>
      <c r="D201" s="3738" t="s">
        <v>487</v>
      </c>
      <c r="E201" s="1266" t="s">
        <v>487</v>
      </c>
      <c r="F201" s="1276" t="s">
        <v>488</v>
      </c>
      <c r="G201" s="2796">
        <v>64134.499000000003</v>
      </c>
      <c r="H201" s="2796">
        <v>51668.417599999993</v>
      </c>
      <c r="I201" s="4147">
        <v>0</v>
      </c>
      <c r="J201" s="2804">
        <v>0</v>
      </c>
      <c r="K201" s="371">
        <v>0</v>
      </c>
      <c r="L201" s="371">
        <v>0</v>
      </c>
      <c r="M201" s="51">
        <v>0</v>
      </c>
      <c r="N201" s="3373">
        <v>0</v>
      </c>
      <c r="O201" s="3538">
        <v>0</v>
      </c>
      <c r="P201" s="3484">
        <f t="shared" si="11"/>
        <v>0</v>
      </c>
      <c r="Q201" s="52">
        <v>0</v>
      </c>
      <c r="R201" s="53">
        <v>0</v>
      </c>
      <c r="S201" s="2804">
        <v>0</v>
      </c>
      <c r="T201" s="371">
        <v>0</v>
      </c>
      <c r="U201" s="116">
        <v>12466.081399999999</v>
      </c>
      <c r="V201" s="3408">
        <v>0</v>
      </c>
      <c r="W201" s="4390">
        <v>0</v>
      </c>
      <c r="X201" s="3355">
        <v>0</v>
      </c>
      <c r="Y201" s="3594">
        <v>0</v>
      </c>
      <c r="Z201" s="3594">
        <v>0</v>
      </c>
      <c r="AA201" s="1267">
        <v>0</v>
      </c>
      <c r="AB201" s="3575" t="s">
        <v>1209</v>
      </c>
      <c r="AC201" s="1361" t="s">
        <v>2708</v>
      </c>
      <c r="AD201" s="1235" t="s">
        <v>2832</v>
      </c>
      <c r="AE201" s="174" t="s">
        <v>1283</v>
      </c>
      <c r="AF201" s="174" t="s">
        <v>1283</v>
      </c>
      <c r="AG201" s="174" t="s">
        <v>1447</v>
      </c>
      <c r="AH201" s="3738" t="s">
        <v>2926</v>
      </c>
    </row>
    <row r="202" spans="1:34" ht="30" outlineLevel="1" x14ac:dyDescent="0.25">
      <c r="A202" s="3712" t="s">
        <v>2764</v>
      </c>
      <c r="B202" s="3715" t="s">
        <v>2765</v>
      </c>
      <c r="C202" s="3359" t="s">
        <v>2821</v>
      </c>
      <c r="D202" s="3713" t="s">
        <v>521</v>
      </c>
      <c r="E202" s="3713" t="s">
        <v>521</v>
      </c>
      <c r="F202" s="1268" t="s">
        <v>2766</v>
      </c>
      <c r="G202" s="133">
        <v>587000</v>
      </c>
      <c r="H202" s="3746">
        <v>30000</v>
      </c>
      <c r="I202" s="3766">
        <v>0</v>
      </c>
      <c r="J202" s="3755">
        <v>15000</v>
      </c>
      <c r="K202" s="3730">
        <v>33000</v>
      </c>
      <c r="L202" s="3730">
        <v>70000</v>
      </c>
      <c r="M202" s="3735">
        <v>102000</v>
      </c>
      <c r="N202" s="3464">
        <v>220000</v>
      </c>
      <c r="O202" s="3763">
        <v>0</v>
      </c>
      <c r="P202" s="3759">
        <f t="shared" si="11"/>
        <v>220000</v>
      </c>
      <c r="Q202" s="3708">
        <v>337000</v>
      </c>
      <c r="R202" s="6">
        <v>0</v>
      </c>
      <c r="S202" s="3755">
        <v>0</v>
      </c>
      <c r="T202" s="3730">
        <v>0</v>
      </c>
      <c r="U202" s="3446">
        <v>0</v>
      </c>
      <c r="V202" s="3732">
        <v>587000</v>
      </c>
      <c r="W202" s="3703">
        <v>30000</v>
      </c>
      <c r="X202" s="3721">
        <v>0</v>
      </c>
      <c r="Y202" s="3765">
        <v>220000</v>
      </c>
      <c r="Z202" s="3765">
        <v>337000</v>
      </c>
      <c r="AA202" s="3737">
        <v>0</v>
      </c>
      <c r="AB202" s="3461" t="s">
        <v>1209</v>
      </c>
      <c r="AC202" s="3736" t="s">
        <v>43</v>
      </c>
      <c r="AD202" s="3729" t="s">
        <v>2462</v>
      </c>
      <c r="AE202" s="3729" t="s">
        <v>1283</v>
      </c>
      <c r="AF202" s="3729" t="s">
        <v>1283</v>
      </c>
      <c r="AG202" s="3729" t="s">
        <v>1447</v>
      </c>
      <c r="AH202" s="3713" t="s">
        <v>2929</v>
      </c>
    </row>
    <row r="203" spans="1:34" ht="30" outlineLevel="1" x14ac:dyDescent="0.25">
      <c r="A203" s="2933" t="s">
        <v>2767</v>
      </c>
      <c r="B203" s="2907" t="s">
        <v>2768</v>
      </c>
      <c r="C203" s="4054" t="s">
        <v>2821</v>
      </c>
      <c r="D203" s="1611" t="s">
        <v>468</v>
      </c>
      <c r="E203" s="1611" t="s">
        <v>468</v>
      </c>
      <c r="F203" s="2876" t="s">
        <v>2769</v>
      </c>
      <c r="G203" s="1581">
        <v>350335</v>
      </c>
      <c r="H203" s="1573">
        <v>13001.042460000001</v>
      </c>
      <c r="I203" s="4155">
        <v>0</v>
      </c>
      <c r="J203" s="2879">
        <v>0</v>
      </c>
      <c r="K203" s="2880">
        <v>60310</v>
      </c>
      <c r="L203" s="2880">
        <v>0</v>
      </c>
      <c r="M203" s="4057">
        <f>139690-0.00246</f>
        <v>139689.99754000001</v>
      </c>
      <c r="N203" s="3764">
        <v>337333.95753999997</v>
      </c>
      <c r="O203" s="3559">
        <v>-137333.96</v>
      </c>
      <c r="P203" s="3759">
        <f t="shared" si="11"/>
        <v>199999.99753999998</v>
      </c>
      <c r="Q203" s="1614">
        <v>137333.96</v>
      </c>
      <c r="R203" s="1614">
        <v>0</v>
      </c>
      <c r="S203" s="2879">
        <v>0</v>
      </c>
      <c r="T203" s="2880">
        <v>0</v>
      </c>
      <c r="U203" s="1575">
        <v>0</v>
      </c>
      <c r="V203" s="4055">
        <v>350335</v>
      </c>
      <c r="W203" s="4056">
        <v>13001.042460000001</v>
      </c>
      <c r="X203" s="3874">
        <v>0</v>
      </c>
      <c r="Y203" s="3842">
        <v>200000</v>
      </c>
      <c r="Z203" s="3889">
        <f>137333.96-0.00246</f>
        <v>137333.95754</v>
      </c>
      <c r="AA203" s="3010">
        <v>0</v>
      </c>
      <c r="AB203" s="4383" t="s">
        <v>3312</v>
      </c>
      <c r="AC203" s="1275" t="s">
        <v>43</v>
      </c>
      <c r="AD203" s="1578" t="s">
        <v>2795</v>
      </c>
      <c r="AE203" s="1578" t="s">
        <v>1283</v>
      </c>
      <c r="AF203" s="1578" t="s">
        <v>1283</v>
      </c>
      <c r="AG203" s="1578" t="s">
        <v>1447</v>
      </c>
      <c r="AH203" s="1275" t="s">
        <v>2934</v>
      </c>
    </row>
    <row r="204" spans="1:34" ht="38.25" outlineLevel="1" x14ac:dyDescent="0.25">
      <c r="A204" s="2933" t="s">
        <v>2770</v>
      </c>
      <c r="B204" s="2907" t="s">
        <v>2783</v>
      </c>
      <c r="C204" s="4054" t="s">
        <v>2821</v>
      </c>
      <c r="D204" s="1611" t="s">
        <v>468</v>
      </c>
      <c r="E204" s="1611" t="s">
        <v>468</v>
      </c>
      <c r="F204" s="2876" t="s">
        <v>2771</v>
      </c>
      <c r="G204" s="1581">
        <v>128408</v>
      </c>
      <c r="H204" s="1573">
        <v>0</v>
      </c>
      <c r="I204" s="4155">
        <v>0</v>
      </c>
      <c r="J204" s="2879">
        <v>0</v>
      </c>
      <c r="K204" s="2880">
        <v>0</v>
      </c>
      <c r="L204" s="2880">
        <v>0</v>
      </c>
      <c r="M204" s="4057">
        <v>0</v>
      </c>
      <c r="N204" s="3464">
        <v>4000</v>
      </c>
      <c r="O204" s="3763">
        <v>-4000</v>
      </c>
      <c r="P204" s="3759">
        <f t="shared" si="11"/>
        <v>0</v>
      </c>
      <c r="Q204" s="3068">
        <v>128408</v>
      </c>
      <c r="R204" s="1614">
        <v>0</v>
      </c>
      <c r="S204" s="2879">
        <v>0</v>
      </c>
      <c r="T204" s="2880">
        <v>0</v>
      </c>
      <c r="U204" s="1575">
        <v>0</v>
      </c>
      <c r="V204" s="4055">
        <v>128408</v>
      </c>
      <c r="W204" s="4056">
        <v>0</v>
      </c>
      <c r="X204" s="3874">
        <v>0</v>
      </c>
      <c r="Y204" s="3842">
        <v>0</v>
      </c>
      <c r="Z204" s="3889">
        <v>128408</v>
      </c>
      <c r="AA204" s="3010">
        <v>0</v>
      </c>
      <c r="AB204" s="1275" t="s">
        <v>3259</v>
      </c>
      <c r="AC204" s="1275" t="s">
        <v>33</v>
      </c>
      <c r="AD204" s="4058" t="s">
        <v>2709</v>
      </c>
      <c r="AE204" s="1578" t="s">
        <v>1282</v>
      </c>
      <c r="AF204" s="1578" t="s">
        <v>1282</v>
      </c>
      <c r="AG204" s="1578" t="s">
        <v>1447</v>
      </c>
      <c r="AH204" s="1275" t="s">
        <v>2934</v>
      </c>
    </row>
    <row r="205" spans="1:34" ht="30" outlineLevel="1" x14ac:dyDescent="0.25">
      <c r="A205" s="173" t="s">
        <v>2772</v>
      </c>
      <c r="B205" s="144" t="s">
        <v>2773</v>
      </c>
      <c r="C205" s="3549" t="s">
        <v>2821</v>
      </c>
      <c r="D205" s="76" t="s">
        <v>457</v>
      </c>
      <c r="E205" s="76" t="s">
        <v>457</v>
      </c>
      <c r="F205" s="229" t="s">
        <v>2774</v>
      </c>
      <c r="G205" s="661">
        <f>128267-0.098</f>
        <v>128266.902</v>
      </c>
      <c r="H205" s="85">
        <v>114880.61</v>
      </c>
      <c r="I205" s="4185">
        <v>0</v>
      </c>
      <c r="J205" s="542">
        <v>0</v>
      </c>
      <c r="K205" s="375">
        <v>0</v>
      </c>
      <c r="L205" s="375">
        <v>0</v>
      </c>
      <c r="M205" s="541">
        <v>0</v>
      </c>
      <c r="N205" s="3405">
        <v>0</v>
      </c>
      <c r="O205" s="3544">
        <v>0</v>
      </c>
      <c r="P205" s="3490">
        <f t="shared" si="11"/>
        <v>0</v>
      </c>
      <c r="Q205" s="44">
        <v>0</v>
      </c>
      <c r="R205" s="27">
        <v>0</v>
      </c>
      <c r="S205" s="542">
        <v>0</v>
      </c>
      <c r="T205" s="375">
        <v>3935.6860000000001</v>
      </c>
      <c r="U205" s="44">
        <v>9450.6059999999998</v>
      </c>
      <c r="V205" s="3434">
        <v>107250</v>
      </c>
      <c r="W205" s="3704">
        <v>107250</v>
      </c>
      <c r="X205" s="1470">
        <v>0</v>
      </c>
      <c r="Y205" s="3344">
        <v>0</v>
      </c>
      <c r="Z205" s="3337">
        <v>0</v>
      </c>
      <c r="AA205" s="378">
        <v>0</v>
      </c>
      <c r="AB205" s="143" t="s">
        <v>3260</v>
      </c>
      <c r="AC205" s="75" t="s">
        <v>1329</v>
      </c>
      <c r="AD205" s="3550" t="s">
        <v>2608</v>
      </c>
      <c r="AE205" s="74" t="s">
        <v>1283</v>
      </c>
      <c r="AF205" s="74" t="s">
        <v>1283</v>
      </c>
      <c r="AG205" s="3753" t="s">
        <v>1447</v>
      </c>
      <c r="AH205" s="76" t="s">
        <v>2922</v>
      </c>
    </row>
    <row r="206" spans="1:34" ht="30" outlineLevel="1" x14ac:dyDescent="0.25">
      <c r="A206" s="2933" t="s">
        <v>2776</v>
      </c>
      <c r="B206" s="2907" t="s">
        <v>1230</v>
      </c>
      <c r="C206" s="3650" t="s">
        <v>2821</v>
      </c>
      <c r="D206" s="1611" t="s">
        <v>2775</v>
      </c>
      <c r="E206" s="1611" t="s">
        <v>2775</v>
      </c>
      <c r="F206" s="2876" t="s">
        <v>2777</v>
      </c>
      <c r="G206" s="1581">
        <v>40000</v>
      </c>
      <c r="H206" s="1573">
        <v>0</v>
      </c>
      <c r="I206" s="4155">
        <v>0</v>
      </c>
      <c r="J206" s="2879">
        <v>0</v>
      </c>
      <c r="K206" s="2880">
        <v>350</v>
      </c>
      <c r="L206" s="2880">
        <v>0</v>
      </c>
      <c r="M206" s="4057">
        <v>500</v>
      </c>
      <c r="N206" s="4003">
        <v>40000</v>
      </c>
      <c r="O206" s="3837">
        <v>-39150</v>
      </c>
      <c r="P206" s="3837">
        <f t="shared" si="11"/>
        <v>850</v>
      </c>
      <c r="Q206" s="3068">
        <v>19575</v>
      </c>
      <c r="R206" s="1614">
        <v>19575</v>
      </c>
      <c r="S206" s="2879">
        <v>0</v>
      </c>
      <c r="T206" s="2880">
        <v>0</v>
      </c>
      <c r="U206" s="1575">
        <v>0</v>
      </c>
      <c r="V206" s="4055">
        <v>40000</v>
      </c>
      <c r="W206" s="4056">
        <v>0</v>
      </c>
      <c r="X206" s="3874">
        <v>0</v>
      </c>
      <c r="Y206" s="3842">
        <v>850</v>
      </c>
      <c r="Z206" s="3022">
        <v>19575</v>
      </c>
      <c r="AA206" s="2881">
        <v>19575</v>
      </c>
      <c r="AB206" s="939" t="s">
        <v>3261</v>
      </c>
      <c r="AC206" s="1275" t="s">
        <v>33</v>
      </c>
      <c r="AD206" s="1578" t="s">
        <v>2709</v>
      </c>
      <c r="AE206" s="1578" t="s">
        <v>1282</v>
      </c>
      <c r="AF206" s="1578" t="s">
        <v>1282</v>
      </c>
      <c r="AG206" s="1578" t="s">
        <v>1447</v>
      </c>
      <c r="AH206" s="1611" t="s">
        <v>2929</v>
      </c>
    </row>
    <row r="207" spans="1:34" ht="30" outlineLevel="1" x14ac:dyDescent="0.25">
      <c r="A207" s="3727" t="s">
        <v>2778</v>
      </c>
      <c r="B207" s="3752" t="s">
        <v>1230</v>
      </c>
      <c r="C207" s="3555" t="s">
        <v>2821</v>
      </c>
      <c r="D207" s="3751" t="s">
        <v>2775</v>
      </c>
      <c r="E207" s="3751" t="s">
        <v>2775</v>
      </c>
      <c r="F207" s="1270" t="s">
        <v>2779</v>
      </c>
      <c r="G207" s="15">
        <v>30000</v>
      </c>
      <c r="H207" s="3746">
        <v>0</v>
      </c>
      <c r="I207" s="3766">
        <v>0</v>
      </c>
      <c r="J207" s="3756">
        <v>0</v>
      </c>
      <c r="K207" s="3754">
        <v>0</v>
      </c>
      <c r="L207" s="3754">
        <v>0</v>
      </c>
      <c r="M207" s="3233">
        <v>30000</v>
      </c>
      <c r="N207" s="3723">
        <v>30000</v>
      </c>
      <c r="O207" s="3763">
        <v>0</v>
      </c>
      <c r="P207" s="3759">
        <f t="shared" si="11"/>
        <v>30000</v>
      </c>
      <c r="Q207" s="266">
        <v>0</v>
      </c>
      <c r="R207" s="3385">
        <v>0</v>
      </c>
      <c r="S207" s="3756">
        <v>0</v>
      </c>
      <c r="T207" s="3754">
        <v>0</v>
      </c>
      <c r="U207" s="3459">
        <v>0</v>
      </c>
      <c r="V207" s="3617">
        <v>30000</v>
      </c>
      <c r="W207" s="3702">
        <v>0</v>
      </c>
      <c r="X207" s="3724">
        <v>0</v>
      </c>
      <c r="Y207" s="3765">
        <v>30000</v>
      </c>
      <c r="Z207" s="253">
        <v>0</v>
      </c>
      <c r="AA207" s="3749">
        <v>0</v>
      </c>
      <c r="AB207" s="57" t="s">
        <v>1209</v>
      </c>
      <c r="AC207" s="3747" t="s">
        <v>33</v>
      </c>
      <c r="AD207" s="3753" t="s">
        <v>2709</v>
      </c>
      <c r="AE207" s="3753" t="s">
        <v>1282</v>
      </c>
      <c r="AF207" s="3753" t="s">
        <v>1282</v>
      </c>
      <c r="AG207" s="3753" t="s">
        <v>1448</v>
      </c>
      <c r="AH207" s="3751" t="s">
        <v>2926</v>
      </c>
    </row>
    <row r="208" spans="1:34" ht="30" outlineLevel="1" x14ac:dyDescent="0.25">
      <c r="A208" s="2933" t="s">
        <v>2780</v>
      </c>
      <c r="B208" s="2907" t="s">
        <v>3122</v>
      </c>
      <c r="C208" s="3650" t="s">
        <v>2821</v>
      </c>
      <c r="D208" s="1611" t="s">
        <v>2781</v>
      </c>
      <c r="E208" s="1611" t="s">
        <v>2781</v>
      </c>
      <c r="F208" s="2876" t="s">
        <v>2871</v>
      </c>
      <c r="G208" s="4059">
        <v>465333</v>
      </c>
      <c r="H208" s="1573">
        <v>7893.8282900000004</v>
      </c>
      <c r="I208" s="4155">
        <v>0</v>
      </c>
      <c r="J208" s="2879">
        <v>14850</v>
      </c>
      <c r="K208" s="2880">
        <v>19758</v>
      </c>
      <c r="L208" s="2880">
        <v>34481</v>
      </c>
      <c r="M208" s="4057">
        <v>31783</v>
      </c>
      <c r="N208" s="3259">
        <v>132106.17171</v>
      </c>
      <c r="O208" s="4060">
        <v>-31234.171709999999</v>
      </c>
      <c r="P208" s="3837">
        <f t="shared" si="11"/>
        <v>100872</v>
      </c>
      <c r="Q208" s="1614">
        <v>230330</v>
      </c>
      <c r="R208" s="3010">
        <v>31234.171709999999</v>
      </c>
      <c r="S208" s="2879">
        <v>0</v>
      </c>
      <c r="T208" s="2880">
        <v>95003</v>
      </c>
      <c r="U208" s="2881">
        <v>0</v>
      </c>
      <c r="V208" s="4055">
        <v>370330</v>
      </c>
      <c r="W208" s="4056">
        <v>7893.8282900000004</v>
      </c>
      <c r="X208" s="3874">
        <v>0</v>
      </c>
      <c r="Y208" s="3842">
        <v>100872</v>
      </c>
      <c r="Z208" s="3889">
        <v>230330</v>
      </c>
      <c r="AA208" s="3010">
        <v>31234.171709999999</v>
      </c>
      <c r="AB208" s="939" t="s">
        <v>3262</v>
      </c>
      <c r="AC208" s="1275" t="s">
        <v>43</v>
      </c>
      <c r="AD208" s="1578" t="s">
        <v>2070</v>
      </c>
      <c r="AE208" s="1578" t="s">
        <v>1283</v>
      </c>
      <c r="AF208" s="4058" t="s">
        <v>1283</v>
      </c>
      <c r="AG208" s="1578" t="s">
        <v>1447</v>
      </c>
      <c r="AH208" s="1275" t="s">
        <v>2940</v>
      </c>
    </row>
    <row r="209" spans="1:34" ht="30.75" outlineLevel="1" thickBot="1" x14ac:dyDescent="0.3">
      <c r="A209" s="2292" t="s">
        <v>2782</v>
      </c>
      <c r="B209" s="2683" t="s">
        <v>2783</v>
      </c>
      <c r="C209" s="4061" t="s">
        <v>2821</v>
      </c>
      <c r="D209" s="2744" t="s">
        <v>2781</v>
      </c>
      <c r="E209" s="2744" t="s">
        <v>2781</v>
      </c>
      <c r="F209" s="4062" t="s">
        <v>2784</v>
      </c>
      <c r="G209" s="978">
        <v>37598.975470000005</v>
      </c>
      <c r="H209" s="978">
        <v>37598.975470000005</v>
      </c>
      <c r="I209" s="3799">
        <v>0</v>
      </c>
      <c r="J209" s="2628">
        <v>0</v>
      </c>
      <c r="K209" s="2749">
        <v>0</v>
      </c>
      <c r="L209" s="2749">
        <v>0</v>
      </c>
      <c r="M209" s="4063">
        <v>0</v>
      </c>
      <c r="N209" s="4064">
        <v>1.0245299999999999</v>
      </c>
      <c r="O209" s="4065">
        <v>-1.0245299999999999</v>
      </c>
      <c r="P209" s="3808">
        <f t="shared" si="11"/>
        <v>0</v>
      </c>
      <c r="Q209" s="4066">
        <v>0</v>
      </c>
      <c r="R209" s="2297">
        <v>0</v>
      </c>
      <c r="S209" s="2628">
        <v>0</v>
      </c>
      <c r="T209" s="2749">
        <v>0</v>
      </c>
      <c r="U209" s="2748">
        <v>0</v>
      </c>
      <c r="V209" s="4067">
        <v>37598.975470000005</v>
      </c>
      <c r="W209" s="4067">
        <v>37598.975470000005</v>
      </c>
      <c r="X209" s="4068">
        <v>0</v>
      </c>
      <c r="Y209" s="4069">
        <v>0</v>
      </c>
      <c r="Z209" s="4069">
        <v>0</v>
      </c>
      <c r="AA209" s="2752">
        <v>0</v>
      </c>
      <c r="AB209" s="4070" t="s">
        <v>2168</v>
      </c>
      <c r="AC209" s="977" t="s">
        <v>1329</v>
      </c>
      <c r="AD209" s="2306" t="s">
        <v>2070</v>
      </c>
      <c r="AE209" s="2306" t="s">
        <v>1283</v>
      </c>
      <c r="AF209" s="2306" t="s">
        <v>1283</v>
      </c>
      <c r="AG209" s="2306" t="s">
        <v>1447</v>
      </c>
      <c r="AH209" s="977" t="s">
        <v>2940</v>
      </c>
    </row>
    <row r="210" spans="1:34" ht="51.75" outlineLevel="1" thickBot="1" x14ac:dyDescent="0.3">
      <c r="A210" s="4347" t="s">
        <v>2844</v>
      </c>
      <c r="B210" s="4348" t="s">
        <v>3263</v>
      </c>
      <c r="C210" s="4167" t="s">
        <v>2857</v>
      </c>
      <c r="D210" s="4349" t="s">
        <v>460</v>
      </c>
      <c r="E210" s="4349" t="s">
        <v>460</v>
      </c>
      <c r="F210" s="4350" t="s">
        <v>2845</v>
      </c>
      <c r="G210" s="4351">
        <v>155000</v>
      </c>
      <c r="H210" s="4352">
        <v>0</v>
      </c>
      <c r="I210" s="4353">
        <v>0</v>
      </c>
      <c r="J210" s="4354">
        <v>0</v>
      </c>
      <c r="K210" s="4355">
        <v>2300</v>
      </c>
      <c r="L210" s="4355">
        <v>21160</v>
      </c>
      <c r="M210" s="4356">
        <v>0</v>
      </c>
      <c r="N210" s="4173">
        <v>62300</v>
      </c>
      <c r="O210" s="4357">
        <v>-38840</v>
      </c>
      <c r="P210" s="4174">
        <f t="shared" si="11"/>
        <v>23460</v>
      </c>
      <c r="Q210" s="2903">
        <f>92700+38840</f>
        <v>131540</v>
      </c>
      <c r="R210" s="2903">
        <v>0</v>
      </c>
      <c r="S210" s="4354">
        <v>0</v>
      </c>
      <c r="T210" s="4355">
        <v>0</v>
      </c>
      <c r="U210" s="4379">
        <v>0</v>
      </c>
      <c r="V210" s="4358">
        <v>23460</v>
      </c>
      <c r="W210" s="4359">
        <v>0</v>
      </c>
      <c r="X210" s="4360">
        <v>0</v>
      </c>
      <c r="Y210" s="4361">
        <v>23460</v>
      </c>
      <c r="Z210" s="4362">
        <v>0</v>
      </c>
      <c r="AA210" s="4173">
        <v>0</v>
      </c>
      <c r="AB210" s="4382" t="s">
        <v>3311</v>
      </c>
      <c r="AC210" s="4167" t="s">
        <v>33</v>
      </c>
      <c r="AD210" s="4363" t="s">
        <v>2798</v>
      </c>
      <c r="AE210" s="4363" t="s">
        <v>1282</v>
      </c>
      <c r="AF210" s="4363" t="s">
        <v>1282</v>
      </c>
      <c r="AG210" s="4363" t="s">
        <v>1447</v>
      </c>
      <c r="AH210" s="4421" t="s">
        <v>2939</v>
      </c>
    </row>
    <row r="211" spans="1:34" ht="30" outlineLevel="1" x14ac:dyDescent="0.25">
      <c r="A211" s="2938" t="s">
        <v>2945</v>
      </c>
      <c r="B211" s="3028" t="s">
        <v>1230</v>
      </c>
      <c r="C211" s="1605" t="s">
        <v>2955</v>
      </c>
      <c r="D211" s="3012" t="s">
        <v>2775</v>
      </c>
      <c r="E211" s="3012" t="s">
        <v>2775</v>
      </c>
      <c r="F211" s="2863" t="s">
        <v>2946</v>
      </c>
      <c r="G211" s="1574">
        <v>25000</v>
      </c>
      <c r="H211" s="3256">
        <v>0</v>
      </c>
      <c r="I211" s="4319">
        <v>0</v>
      </c>
      <c r="J211" s="2868">
        <v>283.5</v>
      </c>
      <c r="K211" s="2869">
        <v>249.4</v>
      </c>
      <c r="L211" s="2869">
        <v>0</v>
      </c>
      <c r="M211" s="1617">
        <v>436.9</v>
      </c>
      <c r="N211" s="3029">
        <v>25000</v>
      </c>
      <c r="O211" s="3837">
        <v>-24030.2</v>
      </c>
      <c r="P211" s="3837">
        <f t="shared" si="11"/>
        <v>969.79999999999927</v>
      </c>
      <c r="Q211" s="1625">
        <v>10049.049999999999</v>
      </c>
      <c r="R211" s="1615">
        <v>13981.15</v>
      </c>
      <c r="S211" s="2868">
        <v>0</v>
      </c>
      <c r="T211" s="2869">
        <v>0</v>
      </c>
      <c r="U211" s="1625">
        <v>0</v>
      </c>
      <c r="V211" s="3860">
        <v>25000</v>
      </c>
      <c r="W211" s="4071">
        <v>0</v>
      </c>
      <c r="X211" s="3861">
        <v>0</v>
      </c>
      <c r="Y211" s="3842">
        <v>969.8</v>
      </c>
      <c r="Z211" s="3842">
        <v>10049.049999999999</v>
      </c>
      <c r="AA211" s="3029">
        <v>13981.15</v>
      </c>
      <c r="AB211" s="1605" t="s">
        <v>3264</v>
      </c>
      <c r="AC211" s="1273" t="s">
        <v>33</v>
      </c>
      <c r="AD211" s="3864" t="s">
        <v>2709</v>
      </c>
      <c r="AE211" s="2964" t="s">
        <v>1282</v>
      </c>
      <c r="AF211" s="2964" t="s">
        <v>1282</v>
      </c>
      <c r="AG211" s="2965" t="s">
        <v>1447</v>
      </c>
      <c r="AH211" s="1273" t="s">
        <v>2961</v>
      </c>
    </row>
    <row r="212" spans="1:34" s="3647" customFormat="1" ht="15.75" outlineLevel="1" thickBot="1" x14ac:dyDescent="0.3">
      <c r="A212" s="327" t="s">
        <v>1361</v>
      </c>
      <c r="B212" s="328" t="s">
        <v>1361</v>
      </c>
      <c r="C212" s="3395" t="s">
        <v>1361</v>
      </c>
      <c r="D212" s="3728" t="s">
        <v>1361</v>
      </c>
      <c r="E212" s="3728" t="s">
        <v>1361</v>
      </c>
      <c r="F212" s="2762" t="s">
        <v>1361</v>
      </c>
      <c r="G212" s="3509" t="s">
        <v>1361</v>
      </c>
      <c r="H212" s="3418" t="s">
        <v>1361</v>
      </c>
      <c r="I212" s="3707" t="s">
        <v>1361</v>
      </c>
      <c r="J212" s="3054" t="s">
        <v>1361</v>
      </c>
      <c r="K212" s="2824" t="s">
        <v>1361</v>
      </c>
      <c r="L212" s="2824" t="s">
        <v>1361</v>
      </c>
      <c r="M212" s="2624" t="s">
        <v>1361</v>
      </c>
      <c r="N212" s="2624" t="s">
        <v>1361</v>
      </c>
      <c r="O212" s="2624" t="s">
        <v>1361</v>
      </c>
      <c r="P212" s="2624" t="s">
        <v>1361</v>
      </c>
      <c r="Q212" s="2624" t="s">
        <v>1361</v>
      </c>
      <c r="R212" s="1243" t="s">
        <v>1361</v>
      </c>
      <c r="S212" s="3054" t="s">
        <v>1361</v>
      </c>
      <c r="T212" s="2824" t="s">
        <v>1361</v>
      </c>
      <c r="U212" s="2822" t="s">
        <v>1361</v>
      </c>
      <c r="V212" s="3054" t="s">
        <v>1361</v>
      </c>
      <c r="W212" s="2824" t="s">
        <v>1361</v>
      </c>
      <c r="X212" s="2825" t="s">
        <v>1361</v>
      </c>
      <c r="Y212" s="2825" t="s">
        <v>1361</v>
      </c>
      <c r="Z212" s="2828" t="s">
        <v>1361</v>
      </c>
      <c r="AA212" s="2624" t="s">
        <v>1361</v>
      </c>
      <c r="AB212" s="2624" t="s">
        <v>1361</v>
      </c>
      <c r="AC212" s="3251" t="s">
        <v>1361</v>
      </c>
      <c r="AD212" s="2326" t="s">
        <v>1361</v>
      </c>
      <c r="AE212" s="350" t="s">
        <v>1361</v>
      </c>
      <c r="AF212" s="350" t="s">
        <v>1361</v>
      </c>
      <c r="AG212" s="327" t="s">
        <v>1361</v>
      </c>
      <c r="AH212" s="92" t="s">
        <v>1361</v>
      </c>
    </row>
    <row r="213" spans="1:34" ht="26.25" thickBot="1" x14ac:dyDescent="0.3">
      <c r="A213" s="2310" t="s">
        <v>1209</v>
      </c>
      <c r="B213" s="3627" t="s">
        <v>1209</v>
      </c>
      <c r="C213" s="140" t="s">
        <v>1209</v>
      </c>
      <c r="D213" s="3717" t="s">
        <v>1209</v>
      </c>
      <c r="E213" s="3717" t="s">
        <v>1209</v>
      </c>
      <c r="F213" s="2621" t="s">
        <v>1462</v>
      </c>
      <c r="G213" s="3741">
        <f>SUM(G199:G212)</f>
        <v>2457803.37647</v>
      </c>
      <c r="H213" s="3741">
        <f t="shared" ref="H213:AA213" si="12">SUM(H199:H212)</f>
        <v>262846.93336999998</v>
      </c>
      <c r="I213" s="2814">
        <f t="shared" si="12"/>
        <v>0</v>
      </c>
      <c r="J213" s="2814">
        <f t="shared" si="12"/>
        <v>30133.5</v>
      </c>
      <c r="K213" s="2815">
        <f t="shared" si="12"/>
        <v>145967.4</v>
      </c>
      <c r="L213" s="2815">
        <f t="shared" si="12"/>
        <v>155641</v>
      </c>
      <c r="M213" s="3453">
        <f t="shared" si="12"/>
        <v>470682.14754000003</v>
      </c>
      <c r="N213" s="3741">
        <f t="shared" si="12"/>
        <v>1077013.4037800001</v>
      </c>
      <c r="O213" s="3741">
        <f t="shared" si="12"/>
        <v>-274589.35623999999</v>
      </c>
      <c r="P213" s="3741">
        <f t="shared" si="12"/>
        <v>802424.04754000006</v>
      </c>
      <c r="Q213" s="3741">
        <f t="shared" si="12"/>
        <v>1191806.9504500001</v>
      </c>
      <c r="R213" s="3741">
        <f t="shared" si="12"/>
        <v>64790.321709999997</v>
      </c>
      <c r="S213" s="2814">
        <f t="shared" si="12"/>
        <v>0</v>
      </c>
      <c r="T213" s="2815">
        <f t="shared" si="12"/>
        <v>98938.686000000002</v>
      </c>
      <c r="U213" s="3453">
        <f t="shared" si="12"/>
        <v>36996.437399999995</v>
      </c>
      <c r="V213" s="2814">
        <f t="shared" si="12"/>
        <v>1961577.9159200001</v>
      </c>
      <c r="W213" s="2815">
        <f t="shared" si="12"/>
        <v>195743.84622000001</v>
      </c>
      <c r="X213" s="2815">
        <f t="shared" si="12"/>
        <v>0</v>
      </c>
      <c r="Y213" s="2815">
        <f t="shared" si="12"/>
        <v>730776.8</v>
      </c>
      <c r="Z213" s="2815">
        <f t="shared" si="12"/>
        <v>970266.94799000002</v>
      </c>
      <c r="AA213" s="3453">
        <f t="shared" si="12"/>
        <v>64790.321709999997</v>
      </c>
      <c r="AB213" s="165" t="s">
        <v>3146</v>
      </c>
      <c r="AC213" s="140" t="s">
        <v>1209</v>
      </c>
      <c r="AD213" s="3469" t="s">
        <v>1209</v>
      </c>
      <c r="AE213" s="1506" t="s">
        <v>1209</v>
      </c>
      <c r="AF213" s="3469" t="s">
        <v>1209</v>
      </c>
      <c r="AG213" s="602" t="s">
        <v>1209</v>
      </c>
      <c r="AH213" s="3717" t="s">
        <v>1209</v>
      </c>
    </row>
    <row r="214" spans="1:34" ht="30" outlineLevel="1" x14ac:dyDescent="0.25">
      <c r="A214" s="139" t="s">
        <v>3098</v>
      </c>
      <c r="B214" s="3715" t="s">
        <v>616</v>
      </c>
      <c r="C214" s="3736" t="s">
        <v>1704</v>
      </c>
      <c r="D214" s="3713" t="s">
        <v>26</v>
      </c>
      <c r="E214" s="101" t="s">
        <v>26</v>
      </c>
      <c r="F214" s="231" t="s">
        <v>617</v>
      </c>
      <c r="G214" s="3746">
        <v>3978</v>
      </c>
      <c r="H214" s="3746">
        <v>2047</v>
      </c>
      <c r="I214" s="3766">
        <v>0</v>
      </c>
      <c r="J214" s="3232">
        <v>0</v>
      </c>
      <c r="K214" s="3452">
        <v>1931</v>
      </c>
      <c r="L214" s="3452">
        <v>0</v>
      </c>
      <c r="M214" s="17">
        <v>0</v>
      </c>
      <c r="N214" s="3464">
        <v>1931</v>
      </c>
      <c r="O214" s="3763">
        <v>0</v>
      </c>
      <c r="P214" s="3759">
        <f>N214+O214</f>
        <v>1931</v>
      </c>
      <c r="Q214" s="1499">
        <v>0</v>
      </c>
      <c r="R214" s="38">
        <v>0</v>
      </c>
      <c r="S214" s="3245">
        <v>0</v>
      </c>
      <c r="T214" s="1415">
        <v>0</v>
      </c>
      <c r="U214" s="1468">
        <v>0</v>
      </c>
      <c r="V214" s="3306">
        <v>0</v>
      </c>
      <c r="W214" s="3305">
        <v>0</v>
      </c>
      <c r="X214" s="3305">
        <v>0</v>
      </c>
      <c r="Y214" s="3305">
        <v>0</v>
      </c>
      <c r="Z214" s="3691">
        <v>0</v>
      </c>
      <c r="AA214" s="1110">
        <v>0</v>
      </c>
      <c r="AB214" s="101" t="s">
        <v>2806</v>
      </c>
      <c r="AC214" s="3314" t="s">
        <v>43</v>
      </c>
      <c r="AD214" s="1429" t="s">
        <v>1565</v>
      </c>
      <c r="AE214" s="1429" t="s">
        <v>1283</v>
      </c>
      <c r="AF214" s="1429" t="s">
        <v>1283</v>
      </c>
      <c r="AG214" s="3380" t="s">
        <v>1448</v>
      </c>
      <c r="AH214" s="3713" t="s">
        <v>2923</v>
      </c>
    </row>
    <row r="215" spans="1:34" s="3647" customFormat="1" ht="15.75" outlineLevel="1" thickBot="1" x14ac:dyDescent="0.3">
      <c r="A215" s="327" t="s">
        <v>1361</v>
      </c>
      <c r="B215" s="328" t="s">
        <v>1361</v>
      </c>
      <c r="C215" s="3460" t="s">
        <v>1361</v>
      </c>
      <c r="D215" s="3728" t="s">
        <v>1361</v>
      </c>
      <c r="E215" s="3728" t="s">
        <v>1361</v>
      </c>
      <c r="F215" s="1191" t="s">
        <v>1361</v>
      </c>
      <c r="G215" s="3419" t="s">
        <v>1361</v>
      </c>
      <c r="H215" s="3418" t="s">
        <v>1361</v>
      </c>
      <c r="I215" s="3707" t="s">
        <v>1361</v>
      </c>
      <c r="J215" s="3238" t="s">
        <v>1361</v>
      </c>
      <c r="K215" s="2823" t="s">
        <v>1361</v>
      </c>
      <c r="L215" s="2823" t="s">
        <v>1361</v>
      </c>
      <c r="M215" s="3457" t="s">
        <v>1361</v>
      </c>
      <c r="N215" s="3457" t="s">
        <v>1361</v>
      </c>
      <c r="O215" s="3457" t="s">
        <v>1361</v>
      </c>
      <c r="P215" s="3457" t="s">
        <v>1361</v>
      </c>
      <c r="Q215" s="3457" t="s">
        <v>1361</v>
      </c>
      <c r="R215" s="2835" t="s">
        <v>1361</v>
      </c>
      <c r="S215" s="3279" t="s">
        <v>1361</v>
      </c>
      <c r="T215" s="2833" t="s">
        <v>1361</v>
      </c>
      <c r="U215" s="352" t="s">
        <v>1361</v>
      </c>
      <c r="V215" s="3279" t="s">
        <v>1361</v>
      </c>
      <c r="W215" s="2833" t="s">
        <v>1361</v>
      </c>
      <c r="X215" s="3675" t="s">
        <v>1361</v>
      </c>
      <c r="Y215" s="3675" t="s">
        <v>1361</v>
      </c>
      <c r="Z215" s="2838" t="s">
        <v>1361</v>
      </c>
      <c r="AA215" s="2834" t="s">
        <v>1361</v>
      </c>
      <c r="AB215" s="2834" t="s">
        <v>1361</v>
      </c>
      <c r="AC215" s="3450" t="s">
        <v>1361</v>
      </c>
      <c r="AD215" s="3239" t="s">
        <v>1361</v>
      </c>
      <c r="AE215" s="3093" t="s">
        <v>1361</v>
      </c>
      <c r="AF215" s="3093" t="s">
        <v>1361</v>
      </c>
      <c r="AG215" s="3239" t="s">
        <v>1361</v>
      </c>
      <c r="AH215" s="3738" t="s">
        <v>1361</v>
      </c>
    </row>
    <row r="216" spans="1:34" ht="16.5" thickBot="1" x14ac:dyDescent="0.3">
      <c r="A216" s="2310" t="s">
        <v>1209</v>
      </c>
      <c r="B216" s="3627" t="s">
        <v>1209</v>
      </c>
      <c r="C216" s="140" t="s">
        <v>1209</v>
      </c>
      <c r="D216" s="3717" t="s">
        <v>1209</v>
      </c>
      <c r="E216" s="3717" t="s">
        <v>1209</v>
      </c>
      <c r="F216" s="2621" t="s">
        <v>2879</v>
      </c>
      <c r="G216" s="3741">
        <f>SUM(G214:G215)</f>
        <v>3978</v>
      </c>
      <c r="H216" s="3741">
        <f t="shared" ref="H216:AA216" si="13">SUM(H214:H215)</f>
        <v>2047</v>
      </c>
      <c r="I216" s="2814">
        <f t="shared" si="13"/>
        <v>0</v>
      </c>
      <c r="J216" s="2814">
        <f t="shared" si="13"/>
        <v>0</v>
      </c>
      <c r="K216" s="2815">
        <f t="shared" si="13"/>
        <v>1931</v>
      </c>
      <c r="L216" s="2815">
        <f t="shared" si="13"/>
        <v>0</v>
      </c>
      <c r="M216" s="3453">
        <f t="shared" si="13"/>
        <v>0</v>
      </c>
      <c r="N216" s="3741">
        <f t="shared" si="13"/>
        <v>1931</v>
      </c>
      <c r="O216" s="3741">
        <f t="shared" si="13"/>
        <v>0</v>
      </c>
      <c r="P216" s="3741">
        <f t="shared" si="13"/>
        <v>1931</v>
      </c>
      <c r="Q216" s="3741">
        <f t="shared" si="13"/>
        <v>0</v>
      </c>
      <c r="R216" s="3741">
        <f t="shared" si="13"/>
        <v>0</v>
      </c>
      <c r="S216" s="2814">
        <f t="shared" si="13"/>
        <v>0</v>
      </c>
      <c r="T216" s="2815">
        <f t="shared" si="13"/>
        <v>0</v>
      </c>
      <c r="U216" s="3453">
        <f t="shared" si="13"/>
        <v>0</v>
      </c>
      <c r="V216" s="2814">
        <f t="shared" si="13"/>
        <v>0</v>
      </c>
      <c r="W216" s="2815">
        <f t="shared" si="13"/>
        <v>0</v>
      </c>
      <c r="X216" s="2815">
        <f t="shared" si="13"/>
        <v>0</v>
      </c>
      <c r="Y216" s="2815">
        <f t="shared" si="13"/>
        <v>0</v>
      </c>
      <c r="Z216" s="2815">
        <f t="shared" si="13"/>
        <v>0</v>
      </c>
      <c r="AA216" s="3453">
        <f t="shared" si="13"/>
        <v>0</v>
      </c>
      <c r="AB216" s="165" t="s">
        <v>3147</v>
      </c>
      <c r="AC216" s="140" t="s">
        <v>1209</v>
      </c>
      <c r="AD216" s="3469" t="s">
        <v>1209</v>
      </c>
      <c r="AE216" s="1506" t="s">
        <v>1209</v>
      </c>
      <c r="AF216" s="3469" t="s">
        <v>1209</v>
      </c>
      <c r="AG216" s="602" t="s">
        <v>1209</v>
      </c>
      <c r="AH216" s="3717" t="s">
        <v>1209</v>
      </c>
    </row>
    <row r="217" spans="1:34" ht="30" outlineLevel="1" x14ac:dyDescent="0.25">
      <c r="A217" s="3727" t="s">
        <v>2677</v>
      </c>
      <c r="B217" s="3752" t="s">
        <v>2747</v>
      </c>
      <c r="C217" s="3323" t="s">
        <v>2750</v>
      </c>
      <c r="D217" s="3751" t="s">
        <v>622</v>
      </c>
      <c r="E217" s="3751" t="s">
        <v>622</v>
      </c>
      <c r="F217" s="3302" t="s">
        <v>2676</v>
      </c>
      <c r="G217" s="3748">
        <v>1362.8</v>
      </c>
      <c r="H217" s="3746">
        <v>622.79999999999995</v>
      </c>
      <c r="I217" s="3785">
        <v>0</v>
      </c>
      <c r="J217" s="3232">
        <v>0</v>
      </c>
      <c r="K217" s="250">
        <v>740</v>
      </c>
      <c r="L217" s="3452">
        <v>0</v>
      </c>
      <c r="M217" s="17">
        <v>0</v>
      </c>
      <c r="N217" s="3464">
        <v>740</v>
      </c>
      <c r="O217" s="3763">
        <v>0</v>
      </c>
      <c r="P217" s="3759">
        <f>N217+O217</f>
        <v>740</v>
      </c>
      <c r="Q217" s="3459">
        <v>0</v>
      </c>
      <c r="R217" s="3385">
        <v>0</v>
      </c>
      <c r="S217" s="3756">
        <v>0</v>
      </c>
      <c r="T217" s="3754">
        <v>0</v>
      </c>
      <c r="U217" s="3459">
        <v>0</v>
      </c>
      <c r="V217" s="3731">
        <v>0</v>
      </c>
      <c r="W217" s="3458">
        <v>0</v>
      </c>
      <c r="X217" s="3458">
        <v>0</v>
      </c>
      <c r="Y217" s="3458">
        <v>0</v>
      </c>
      <c r="Z217" s="3765">
        <v>0</v>
      </c>
      <c r="AA217" s="3750">
        <v>0</v>
      </c>
      <c r="AB217" s="3398" t="s">
        <v>1209</v>
      </c>
      <c r="AC217" s="57" t="s">
        <v>43</v>
      </c>
      <c r="AD217" s="3462" t="s">
        <v>1227</v>
      </c>
      <c r="AE217" s="3462" t="s">
        <v>1283</v>
      </c>
      <c r="AF217" s="3397" t="s">
        <v>1283</v>
      </c>
      <c r="AG217" s="3729" t="s">
        <v>1447</v>
      </c>
      <c r="AH217" s="3713" t="s">
        <v>1230</v>
      </c>
    </row>
    <row r="218" spans="1:34" s="3647" customFormat="1" ht="15.75" outlineLevel="1" thickBot="1" x14ac:dyDescent="0.3">
      <c r="A218" s="327" t="s">
        <v>1361</v>
      </c>
      <c r="B218" s="328" t="s">
        <v>1361</v>
      </c>
      <c r="C218" s="3460" t="s">
        <v>1361</v>
      </c>
      <c r="D218" s="3728" t="s">
        <v>1361</v>
      </c>
      <c r="E218" s="3728" t="s">
        <v>1361</v>
      </c>
      <c r="F218" s="1191" t="s">
        <v>1361</v>
      </c>
      <c r="G218" s="3419" t="s">
        <v>1361</v>
      </c>
      <c r="H218" s="3418" t="s">
        <v>1361</v>
      </c>
      <c r="I218" s="3707" t="s">
        <v>1361</v>
      </c>
      <c r="J218" s="3238" t="s">
        <v>1361</v>
      </c>
      <c r="K218" s="2823" t="s">
        <v>1361</v>
      </c>
      <c r="L218" s="2823" t="s">
        <v>1361</v>
      </c>
      <c r="M218" s="3457" t="s">
        <v>1361</v>
      </c>
      <c r="N218" s="3457" t="s">
        <v>1361</v>
      </c>
      <c r="O218" s="3457" t="s">
        <v>1361</v>
      </c>
      <c r="P218" s="3457" t="s">
        <v>1361</v>
      </c>
      <c r="Q218" s="2822" t="s">
        <v>1361</v>
      </c>
      <c r="R218" s="1243" t="s">
        <v>1361</v>
      </c>
      <c r="S218" s="3054" t="s">
        <v>1361</v>
      </c>
      <c r="T218" s="2824" t="s">
        <v>1361</v>
      </c>
      <c r="U218" s="2822" t="s">
        <v>1361</v>
      </c>
      <c r="V218" s="3054" t="s">
        <v>1361</v>
      </c>
      <c r="W218" s="2824" t="s">
        <v>1361</v>
      </c>
      <c r="X218" s="2825" t="s">
        <v>1361</v>
      </c>
      <c r="Y218" s="2825" t="s">
        <v>1361</v>
      </c>
      <c r="Z218" s="2828" t="s">
        <v>1361</v>
      </c>
      <c r="AA218" s="2624" t="s">
        <v>1361</v>
      </c>
      <c r="AB218" s="2624" t="s">
        <v>1361</v>
      </c>
      <c r="AC218" s="3395" t="s">
        <v>1361</v>
      </c>
      <c r="AD218" s="350" t="s">
        <v>1361</v>
      </c>
      <c r="AE218" s="350" t="s">
        <v>1361</v>
      </c>
      <c r="AF218" s="350" t="s">
        <v>1361</v>
      </c>
      <c r="AG218" s="174" t="s">
        <v>1361</v>
      </c>
      <c r="AH218" s="3738" t="s">
        <v>1361</v>
      </c>
    </row>
    <row r="219" spans="1:34" ht="16.5" thickBot="1" x14ac:dyDescent="0.3">
      <c r="A219" s="2310" t="s">
        <v>1209</v>
      </c>
      <c r="B219" s="3627" t="s">
        <v>1209</v>
      </c>
      <c r="C219" s="140" t="s">
        <v>1209</v>
      </c>
      <c r="D219" s="3717" t="s">
        <v>1209</v>
      </c>
      <c r="E219" s="3717" t="s">
        <v>1209</v>
      </c>
      <c r="F219" s="2621" t="s">
        <v>1460</v>
      </c>
      <c r="G219" s="3741">
        <f>SUM(G217:G218)</f>
        <v>1362.8</v>
      </c>
      <c r="H219" s="3741">
        <f t="shared" ref="H219:AA219" si="14">SUM(H217:H218)</f>
        <v>622.79999999999995</v>
      </c>
      <c r="I219" s="2814">
        <f t="shared" si="14"/>
        <v>0</v>
      </c>
      <c r="J219" s="2814">
        <f t="shared" si="14"/>
        <v>0</v>
      </c>
      <c r="K219" s="2815">
        <f t="shared" si="14"/>
        <v>740</v>
      </c>
      <c r="L219" s="2815">
        <f t="shared" si="14"/>
        <v>0</v>
      </c>
      <c r="M219" s="3453">
        <f t="shared" si="14"/>
        <v>0</v>
      </c>
      <c r="N219" s="3741">
        <f t="shared" si="14"/>
        <v>740</v>
      </c>
      <c r="O219" s="3741">
        <f t="shared" si="14"/>
        <v>0</v>
      </c>
      <c r="P219" s="3741">
        <f t="shared" si="14"/>
        <v>740</v>
      </c>
      <c r="Q219" s="3741">
        <f t="shared" si="14"/>
        <v>0</v>
      </c>
      <c r="R219" s="3741">
        <f t="shared" si="14"/>
        <v>0</v>
      </c>
      <c r="S219" s="2814">
        <f t="shared" si="14"/>
        <v>0</v>
      </c>
      <c r="T219" s="2815">
        <f t="shared" si="14"/>
        <v>0</v>
      </c>
      <c r="U219" s="3453">
        <f t="shared" si="14"/>
        <v>0</v>
      </c>
      <c r="V219" s="2814">
        <f t="shared" si="14"/>
        <v>0</v>
      </c>
      <c r="W219" s="2815">
        <f t="shared" si="14"/>
        <v>0</v>
      </c>
      <c r="X219" s="2815">
        <f t="shared" si="14"/>
        <v>0</v>
      </c>
      <c r="Y219" s="2815">
        <f t="shared" si="14"/>
        <v>0</v>
      </c>
      <c r="Z219" s="2815">
        <f t="shared" si="14"/>
        <v>0</v>
      </c>
      <c r="AA219" s="3453">
        <f t="shared" si="14"/>
        <v>0</v>
      </c>
      <c r="AB219" s="165" t="s">
        <v>3147</v>
      </c>
      <c r="AC219" s="140" t="s">
        <v>1209</v>
      </c>
      <c r="AD219" s="3469" t="s">
        <v>1209</v>
      </c>
      <c r="AE219" s="1506" t="s">
        <v>1209</v>
      </c>
      <c r="AF219" s="3469" t="s">
        <v>1209</v>
      </c>
      <c r="AG219" s="602" t="s">
        <v>1209</v>
      </c>
      <c r="AH219" s="3717" t="s">
        <v>1209</v>
      </c>
    </row>
    <row r="220" spans="1:34" ht="30" outlineLevel="1" x14ac:dyDescent="0.25">
      <c r="A220" s="3388" t="s">
        <v>3099</v>
      </c>
      <c r="B220" s="3391" t="s">
        <v>625</v>
      </c>
      <c r="C220" s="3383" t="s">
        <v>1702</v>
      </c>
      <c r="D220" s="3390" t="s">
        <v>26</v>
      </c>
      <c r="E220" s="3389" t="s">
        <v>26</v>
      </c>
      <c r="F220" s="288" t="s">
        <v>2117</v>
      </c>
      <c r="G220" s="3381">
        <v>8610.36</v>
      </c>
      <c r="H220" s="3746">
        <v>5759.6</v>
      </c>
      <c r="I220" s="3766">
        <v>0</v>
      </c>
      <c r="J220" s="3232">
        <v>358.16</v>
      </c>
      <c r="K220" s="3452">
        <v>375.1</v>
      </c>
      <c r="L220" s="3452">
        <v>2117.5</v>
      </c>
      <c r="M220" s="281">
        <v>0</v>
      </c>
      <c r="N220" s="3464">
        <v>2850.76</v>
      </c>
      <c r="O220" s="3763">
        <v>0</v>
      </c>
      <c r="P220" s="3759">
        <f>N220+O220</f>
        <v>2850.76</v>
      </c>
      <c r="Q220" s="875">
        <v>0</v>
      </c>
      <c r="R220" s="3382">
        <v>0</v>
      </c>
      <c r="S220" s="2813">
        <v>0</v>
      </c>
      <c r="T220" s="3399">
        <v>0</v>
      </c>
      <c r="U220" s="3392">
        <v>0</v>
      </c>
      <c r="V220" s="3618">
        <v>0</v>
      </c>
      <c r="W220" s="3601">
        <v>0</v>
      </c>
      <c r="X220" s="3458">
        <v>0</v>
      </c>
      <c r="Y220" s="3458">
        <v>0</v>
      </c>
      <c r="Z220" s="3696">
        <v>0</v>
      </c>
      <c r="AA220" s="3505">
        <v>0</v>
      </c>
      <c r="AB220" s="3402" t="s">
        <v>1209</v>
      </c>
      <c r="AC220" s="3736" t="s">
        <v>43</v>
      </c>
      <c r="AD220" s="3397" t="s">
        <v>2798</v>
      </c>
      <c r="AE220" s="3463" t="s">
        <v>1283</v>
      </c>
      <c r="AF220" s="3397" t="s">
        <v>1283</v>
      </c>
      <c r="AG220" s="3729" t="s">
        <v>1447</v>
      </c>
      <c r="AH220" s="3448" t="s">
        <v>1230</v>
      </c>
    </row>
    <row r="221" spans="1:34" ht="45" outlineLevel="1" x14ac:dyDescent="0.25">
      <c r="A221" s="173" t="s">
        <v>3100</v>
      </c>
      <c r="B221" s="144" t="s">
        <v>987</v>
      </c>
      <c r="C221" s="75" t="s">
        <v>3328</v>
      </c>
      <c r="D221" s="76" t="s">
        <v>26</v>
      </c>
      <c r="E221" s="76" t="s">
        <v>26</v>
      </c>
      <c r="F221" s="228" t="s">
        <v>627</v>
      </c>
      <c r="G221" s="25">
        <v>7477.8</v>
      </c>
      <c r="H221" s="25">
        <v>7477.8</v>
      </c>
      <c r="I221" s="3706">
        <v>0</v>
      </c>
      <c r="J221" s="542">
        <v>0</v>
      </c>
      <c r="K221" s="375">
        <v>0</v>
      </c>
      <c r="L221" s="375">
        <v>0</v>
      </c>
      <c r="M221" s="26">
        <v>0</v>
      </c>
      <c r="N221" s="3533">
        <v>0</v>
      </c>
      <c r="O221" s="3545">
        <v>0</v>
      </c>
      <c r="P221" s="3488">
        <f>N221+O221</f>
        <v>0</v>
      </c>
      <c r="Q221" s="40">
        <v>0</v>
      </c>
      <c r="R221" s="27">
        <v>0</v>
      </c>
      <c r="S221" s="4374">
        <v>0</v>
      </c>
      <c r="T221" s="2979">
        <v>0</v>
      </c>
      <c r="U221" s="44">
        <v>0</v>
      </c>
      <c r="V221" s="3434">
        <v>0</v>
      </c>
      <c r="W221" s="1470">
        <v>0</v>
      </c>
      <c r="X221" s="3345">
        <v>0</v>
      </c>
      <c r="Y221" s="3345">
        <v>0</v>
      </c>
      <c r="Z221" s="3337">
        <v>0</v>
      </c>
      <c r="AA221" s="378">
        <v>0</v>
      </c>
      <c r="AB221" s="41" t="s">
        <v>1209</v>
      </c>
      <c r="AC221" s="75" t="s">
        <v>1329</v>
      </c>
      <c r="AD221" s="379" t="s">
        <v>2070</v>
      </c>
      <c r="AE221" s="379" t="s">
        <v>1283</v>
      </c>
      <c r="AF221" s="379" t="s">
        <v>1283</v>
      </c>
      <c r="AG221" s="74" t="s">
        <v>1447</v>
      </c>
      <c r="AH221" s="3713" t="s">
        <v>1230</v>
      </c>
    </row>
    <row r="222" spans="1:34" s="3647" customFormat="1" ht="15.75" outlineLevel="1" thickBot="1" x14ac:dyDescent="0.3">
      <c r="A222" s="327" t="s">
        <v>1361</v>
      </c>
      <c r="B222" s="328" t="s">
        <v>1361</v>
      </c>
      <c r="C222" s="3460" t="s">
        <v>1361</v>
      </c>
      <c r="D222" s="3728" t="s">
        <v>1361</v>
      </c>
      <c r="E222" s="3728" t="s">
        <v>1361</v>
      </c>
      <c r="F222" s="1191" t="s">
        <v>1361</v>
      </c>
      <c r="G222" s="3419" t="s">
        <v>1361</v>
      </c>
      <c r="H222" s="3418" t="s">
        <v>1361</v>
      </c>
      <c r="I222" s="3707" t="s">
        <v>1361</v>
      </c>
      <c r="J222" s="3054" t="s">
        <v>1361</v>
      </c>
      <c r="K222" s="2824" t="s">
        <v>1361</v>
      </c>
      <c r="L222" s="2824" t="s">
        <v>1361</v>
      </c>
      <c r="M222" s="2624" t="s">
        <v>1361</v>
      </c>
      <c r="N222" s="2624" t="s">
        <v>1361</v>
      </c>
      <c r="O222" s="2624" t="s">
        <v>1361</v>
      </c>
      <c r="P222" s="2624" t="s">
        <v>1361</v>
      </c>
      <c r="Q222" s="3067" t="s">
        <v>1361</v>
      </c>
      <c r="R222" s="1243" t="s">
        <v>1361</v>
      </c>
      <c r="S222" s="3054" t="s">
        <v>1361</v>
      </c>
      <c r="T222" s="2824" t="s">
        <v>1361</v>
      </c>
      <c r="U222" s="2822" t="s">
        <v>1361</v>
      </c>
      <c r="V222" s="3054" t="s">
        <v>1361</v>
      </c>
      <c r="W222" s="2824" t="s">
        <v>1361</v>
      </c>
      <c r="X222" s="2823" t="s">
        <v>1361</v>
      </c>
      <c r="Y222" s="2823" t="s">
        <v>1361</v>
      </c>
      <c r="Z222" s="2828" t="s">
        <v>1361</v>
      </c>
      <c r="AA222" s="2624" t="s">
        <v>1361</v>
      </c>
      <c r="AB222" s="2624" t="s">
        <v>1361</v>
      </c>
      <c r="AC222" s="3395" t="s">
        <v>1361</v>
      </c>
      <c r="AD222" s="350" t="s">
        <v>1361</v>
      </c>
      <c r="AE222" s="350" t="s">
        <v>1361</v>
      </c>
      <c r="AF222" s="350" t="s">
        <v>1361</v>
      </c>
      <c r="AG222" s="327" t="s">
        <v>1361</v>
      </c>
      <c r="AH222" s="3738" t="s">
        <v>1361</v>
      </c>
    </row>
    <row r="223" spans="1:34" ht="32.25" thickBot="1" x14ac:dyDescent="0.3">
      <c r="A223" s="2310" t="s">
        <v>1209</v>
      </c>
      <c r="B223" s="3627" t="s">
        <v>1209</v>
      </c>
      <c r="C223" s="140" t="s">
        <v>1209</v>
      </c>
      <c r="D223" s="3717" t="s">
        <v>1209</v>
      </c>
      <c r="E223" s="3717" t="s">
        <v>1209</v>
      </c>
      <c r="F223" s="2621" t="s">
        <v>1459</v>
      </c>
      <c r="G223" s="3741">
        <f>SUM(G220:G222)</f>
        <v>16088.16</v>
      </c>
      <c r="H223" s="3741">
        <f t="shared" ref="H223:AA223" si="15">SUM(H220:H222)</f>
        <v>13237.400000000001</v>
      </c>
      <c r="I223" s="2814">
        <f t="shared" si="15"/>
        <v>0</v>
      </c>
      <c r="J223" s="2814">
        <f t="shared" si="15"/>
        <v>358.16</v>
      </c>
      <c r="K223" s="2815">
        <f t="shared" si="15"/>
        <v>375.1</v>
      </c>
      <c r="L223" s="2815">
        <f t="shared" si="15"/>
        <v>2117.5</v>
      </c>
      <c r="M223" s="3453">
        <f t="shared" si="15"/>
        <v>0</v>
      </c>
      <c r="N223" s="3741">
        <f t="shared" si="15"/>
        <v>2850.76</v>
      </c>
      <c r="O223" s="3741">
        <f t="shared" si="15"/>
        <v>0</v>
      </c>
      <c r="P223" s="3741">
        <f t="shared" si="15"/>
        <v>2850.76</v>
      </c>
      <c r="Q223" s="3741">
        <f t="shared" si="15"/>
        <v>0</v>
      </c>
      <c r="R223" s="3741">
        <f t="shared" si="15"/>
        <v>0</v>
      </c>
      <c r="S223" s="2814">
        <f t="shared" si="15"/>
        <v>0</v>
      </c>
      <c r="T223" s="2815">
        <f t="shared" si="15"/>
        <v>0</v>
      </c>
      <c r="U223" s="3453">
        <f t="shared" si="15"/>
        <v>0</v>
      </c>
      <c r="V223" s="2814">
        <f t="shared" si="15"/>
        <v>0</v>
      </c>
      <c r="W223" s="2815">
        <f t="shared" si="15"/>
        <v>0</v>
      </c>
      <c r="X223" s="2815">
        <f t="shared" si="15"/>
        <v>0</v>
      </c>
      <c r="Y223" s="2815">
        <f t="shared" si="15"/>
        <v>0</v>
      </c>
      <c r="Z223" s="2815">
        <f t="shared" si="15"/>
        <v>0</v>
      </c>
      <c r="AA223" s="3453">
        <f t="shared" si="15"/>
        <v>0</v>
      </c>
      <c r="AB223" s="165" t="s">
        <v>3148</v>
      </c>
      <c r="AC223" s="140" t="s">
        <v>1209</v>
      </c>
      <c r="AD223" s="3469" t="s">
        <v>1209</v>
      </c>
      <c r="AE223" s="1506" t="s">
        <v>1209</v>
      </c>
      <c r="AF223" s="3469" t="s">
        <v>1209</v>
      </c>
      <c r="AG223" s="602" t="s">
        <v>1209</v>
      </c>
      <c r="AH223" s="3717" t="s">
        <v>1209</v>
      </c>
    </row>
    <row r="224" spans="1:34" ht="30" outlineLevel="1" x14ac:dyDescent="0.25">
      <c r="A224" s="393" t="s">
        <v>3101</v>
      </c>
      <c r="B224" s="382" t="s">
        <v>641</v>
      </c>
      <c r="C224" s="3736" t="s">
        <v>1702</v>
      </c>
      <c r="D224" s="3448" t="s">
        <v>642</v>
      </c>
      <c r="E224" s="3448" t="s">
        <v>642</v>
      </c>
      <c r="F224" s="231" t="s">
        <v>643</v>
      </c>
      <c r="G224" s="384">
        <v>7900</v>
      </c>
      <c r="H224" s="384">
        <v>0</v>
      </c>
      <c r="I224" s="4186">
        <v>0</v>
      </c>
      <c r="J224" s="3232">
        <v>0</v>
      </c>
      <c r="K224" s="3452">
        <v>3000</v>
      </c>
      <c r="L224" s="3452">
        <v>0</v>
      </c>
      <c r="M224" s="17">
        <v>4900</v>
      </c>
      <c r="N224" s="4205">
        <v>7900</v>
      </c>
      <c r="O224" s="3763">
        <v>0</v>
      </c>
      <c r="P224" s="4206">
        <f t="shared" ref="P224:P254" si="16">N224+O224</f>
        <v>7900</v>
      </c>
      <c r="Q224" s="387">
        <v>0</v>
      </c>
      <c r="R224" s="38">
        <v>0</v>
      </c>
      <c r="S224" s="3245">
        <v>0</v>
      </c>
      <c r="T224" s="1472">
        <v>0</v>
      </c>
      <c r="U224" s="387">
        <v>0</v>
      </c>
      <c r="V224" s="3306">
        <v>0</v>
      </c>
      <c r="W224" s="3307">
        <v>0</v>
      </c>
      <c r="X224" s="3307">
        <v>0</v>
      </c>
      <c r="Y224" s="3307">
        <v>0</v>
      </c>
      <c r="Z224" s="3691">
        <v>0</v>
      </c>
      <c r="AA224" s="1110">
        <v>0</v>
      </c>
      <c r="AB224" s="3447" t="s">
        <v>1209</v>
      </c>
      <c r="AC224" s="398" t="s">
        <v>33</v>
      </c>
      <c r="AD224" s="399" t="s">
        <v>2831</v>
      </c>
      <c r="AE224" s="399" t="s">
        <v>1282</v>
      </c>
      <c r="AF224" s="1430" t="s">
        <v>1282</v>
      </c>
      <c r="AG224" s="2617" t="s">
        <v>1448</v>
      </c>
      <c r="AH224" s="383" t="s">
        <v>2942</v>
      </c>
    </row>
    <row r="225" spans="1:34" ht="25.5" outlineLevel="1" x14ac:dyDescent="0.25">
      <c r="A225" s="2861" t="s">
        <v>3102</v>
      </c>
      <c r="B225" s="2862" t="s">
        <v>667</v>
      </c>
      <c r="C225" s="1273" t="s">
        <v>1701</v>
      </c>
      <c r="D225" s="3012" t="s">
        <v>1534</v>
      </c>
      <c r="E225" s="3012" t="s">
        <v>1534</v>
      </c>
      <c r="F225" s="2863" t="s">
        <v>668</v>
      </c>
      <c r="G225" s="2864">
        <v>14000</v>
      </c>
      <c r="H225" s="2864">
        <v>0</v>
      </c>
      <c r="I225" s="4207">
        <v>0</v>
      </c>
      <c r="J225" s="2868">
        <v>0</v>
      </c>
      <c r="K225" s="2869">
        <v>0</v>
      </c>
      <c r="L225" s="2869">
        <v>0</v>
      </c>
      <c r="M225" s="1617">
        <v>7000</v>
      </c>
      <c r="N225" s="3029">
        <v>14000</v>
      </c>
      <c r="O225" s="3837">
        <v>-7000</v>
      </c>
      <c r="P225" s="3872">
        <f t="shared" si="16"/>
        <v>7000</v>
      </c>
      <c r="Q225" s="2866">
        <v>7000</v>
      </c>
      <c r="R225" s="1650">
        <v>0</v>
      </c>
      <c r="S225" s="4375">
        <v>0</v>
      </c>
      <c r="T225" s="2867">
        <v>0</v>
      </c>
      <c r="U225" s="2866">
        <v>0</v>
      </c>
      <c r="V225" s="4208">
        <v>0</v>
      </c>
      <c r="W225" s="4209">
        <v>0</v>
      </c>
      <c r="X225" s="4209">
        <v>0</v>
      </c>
      <c r="Y225" s="4209">
        <v>0</v>
      </c>
      <c r="Z225" s="3959">
        <v>0</v>
      </c>
      <c r="AA225" s="4210">
        <v>0</v>
      </c>
      <c r="AB225" s="1275" t="s">
        <v>3285</v>
      </c>
      <c r="AC225" s="1651" t="s">
        <v>33</v>
      </c>
      <c r="AD225" s="2870" t="s">
        <v>2833</v>
      </c>
      <c r="AE225" s="2870" t="s">
        <v>1282</v>
      </c>
      <c r="AF225" s="2870" t="s">
        <v>1282</v>
      </c>
      <c r="AG225" s="2871" t="s">
        <v>1452</v>
      </c>
      <c r="AH225" s="2875" t="s">
        <v>2923</v>
      </c>
    </row>
    <row r="226" spans="1:34" ht="30" outlineLevel="1" x14ac:dyDescent="0.25">
      <c r="A226" s="393" t="s">
        <v>3103</v>
      </c>
      <c r="B226" s="382" t="s">
        <v>704</v>
      </c>
      <c r="C226" s="3736" t="s">
        <v>1701</v>
      </c>
      <c r="D226" s="3713" t="s">
        <v>1525</v>
      </c>
      <c r="E226" s="3713" t="s">
        <v>1525</v>
      </c>
      <c r="F226" s="1270" t="s">
        <v>2679</v>
      </c>
      <c r="G226" s="384">
        <v>2500</v>
      </c>
      <c r="H226" s="384">
        <v>2192.41275</v>
      </c>
      <c r="I226" s="4186">
        <v>0</v>
      </c>
      <c r="J226" s="3755">
        <v>3.5000000002582965E-4</v>
      </c>
      <c r="K226" s="3730">
        <v>307.58690000000001</v>
      </c>
      <c r="L226" s="3730">
        <v>0</v>
      </c>
      <c r="M226" s="3735">
        <v>0</v>
      </c>
      <c r="N226" s="4205">
        <v>307.58725000000004</v>
      </c>
      <c r="O226" s="3763">
        <v>0</v>
      </c>
      <c r="P226" s="4211">
        <f t="shared" si="16"/>
        <v>307.58725000000004</v>
      </c>
      <c r="Q226" s="387">
        <v>0</v>
      </c>
      <c r="R226" s="38">
        <v>0</v>
      </c>
      <c r="S226" s="3245">
        <v>0</v>
      </c>
      <c r="T226" s="1472">
        <v>0</v>
      </c>
      <c r="U226" s="387">
        <v>0</v>
      </c>
      <c r="V226" s="3306">
        <v>0</v>
      </c>
      <c r="W226" s="3307">
        <v>0</v>
      </c>
      <c r="X226" s="3307">
        <v>0</v>
      </c>
      <c r="Y226" s="3307">
        <v>0</v>
      </c>
      <c r="Z226" s="3691">
        <v>0</v>
      </c>
      <c r="AA226" s="1110">
        <v>0</v>
      </c>
      <c r="AB226" s="3736" t="s">
        <v>1209</v>
      </c>
      <c r="AC226" s="398" t="s">
        <v>43</v>
      </c>
      <c r="AD226" s="399" t="s">
        <v>1565</v>
      </c>
      <c r="AE226" s="399" t="s">
        <v>1283</v>
      </c>
      <c r="AF226" s="399" t="s">
        <v>1283</v>
      </c>
      <c r="AG226" s="282" t="s">
        <v>1447</v>
      </c>
      <c r="AH226" s="400" t="s">
        <v>2934</v>
      </c>
    </row>
    <row r="227" spans="1:34" ht="30.75" outlineLevel="1" thickBot="1" x14ac:dyDescent="0.3">
      <c r="A227" s="490" t="s">
        <v>3104</v>
      </c>
      <c r="B227" s="3556" t="s">
        <v>931</v>
      </c>
      <c r="C227" s="3460" t="s">
        <v>3328</v>
      </c>
      <c r="D227" s="3738" t="s">
        <v>653</v>
      </c>
      <c r="E227" s="3728" t="s">
        <v>653</v>
      </c>
      <c r="F227" s="2762" t="s">
        <v>2920</v>
      </c>
      <c r="G227" s="2615">
        <v>3500</v>
      </c>
      <c r="H227" s="491">
        <v>1725</v>
      </c>
      <c r="I227" s="4188">
        <v>0</v>
      </c>
      <c r="J227" s="2374">
        <v>1775</v>
      </c>
      <c r="K227" s="706">
        <v>0</v>
      </c>
      <c r="L227" s="706">
        <v>0</v>
      </c>
      <c r="M227" s="13">
        <v>0</v>
      </c>
      <c r="N227" s="4212">
        <v>1775</v>
      </c>
      <c r="O227" s="3538">
        <v>0</v>
      </c>
      <c r="P227" s="4213">
        <f t="shared" si="16"/>
        <v>1775</v>
      </c>
      <c r="Q227" s="635">
        <v>0</v>
      </c>
      <c r="R227" s="3424">
        <v>0</v>
      </c>
      <c r="S227" s="3429">
        <v>0</v>
      </c>
      <c r="T227" s="1473">
        <v>0</v>
      </c>
      <c r="U227" s="635">
        <v>0</v>
      </c>
      <c r="V227" s="3616">
        <v>0</v>
      </c>
      <c r="W227" s="3602">
        <v>0</v>
      </c>
      <c r="X227" s="3602">
        <v>0</v>
      </c>
      <c r="Y227" s="3496">
        <v>0</v>
      </c>
      <c r="Z227" s="3694">
        <v>0</v>
      </c>
      <c r="AA227" s="2626">
        <v>0</v>
      </c>
      <c r="AB227" s="12"/>
      <c r="AC227" s="405" t="s">
        <v>43</v>
      </c>
      <c r="AD227" s="501" t="s">
        <v>2831</v>
      </c>
      <c r="AE227" s="501" t="s">
        <v>1283</v>
      </c>
      <c r="AF227" s="501" t="s">
        <v>1283</v>
      </c>
      <c r="AG227" s="486" t="s">
        <v>1447</v>
      </c>
      <c r="AH227" s="3738" t="s">
        <v>2929</v>
      </c>
    </row>
    <row r="228" spans="1:34" ht="25.5" outlineLevel="1" x14ac:dyDescent="0.25">
      <c r="A228" s="381" t="s">
        <v>998</v>
      </c>
      <c r="B228" s="393" t="s">
        <v>1230</v>
      </c>
      <c r="C228" s="3747" t="s">
        <v>3322</v>
      </c>
      <c r="D228" s="3751" t="s">
        <v>1536</v>
      </c>
      <c r="E228" s="3751" t="s">
        <v>1536</v>
      </c>
      <c r="F228" s="1270" t="s">
        <v>2682</v>
      </c>
      <c r="G228" s="395">
        <v>5000</v>
      </c>
      <c r="H228" s="384">
        <v>0</v>
      </c>
      <c r="I228" s="4186">
        <v>0</v>
      </c>
      <c r="J228" s="3756">
        <v>0</v>
      </c>
      <c r="K228" s="3754">
        <v>0</v>
      </c>
      <c r="L228" s="3754">
        <v>0</v>
      </c>
      <c r="M228" s="3749">
        <v>5000</v>
      </c>
      <c r="N228" s="3464">
        <v>5000</v>
      </c>
      <c r="O228" s="3763">
        <v>0</v>
      </c>
      <c r="P228" s="3760">
        <f t="shared" si="16"/>
        <v>5000</v>
      </c>
      <c r="Q228" s="2800">
        <v>0</v>
      </c>
      <c r="R228" s="498">
        <v>0</v>
      </c>
      <c r="S228" s="3242">
        <v>0</v>
      </c>
      <c r="T228" s="368">
        <v>0</v>
      </c>
      <c r="U228" s="401">
        <v>0</v>
      </c>
      <c r="V228" s="3246">
        <v>0</v>
      </c>
      <c r="W228" s="1474">
        <v>0</v>
      </c>
      <c r="X228" s="3307">
        <v>0</v>
      </c>
      <c r="Y228" s="3307">
        <v>0</v>
      </c>
      <c r="Z228" s="3688">
        <v>0</v>
      </c>
      <c r="AA228" s="535">
        <v>0</v>
      </c>
      <c r="AB228" s="3447" t="s">
        <v>1209</v>
      </c>
      <c r="AC228" s="398" t="s">
        <v>33</v>
      </c>
      <c r="AD228" s="406" t="s">
        <v>1565</v>
      </c>
      <c r="AE228" s="399" t="s">
        <v>1282</v>
      </c>
      <c r="AF228" s="399" t="s">
        <v>1282</v>
      </c>
      <c r="AG228" s="2617" t="s">
        <v>1447</v>
      </c>
      <c r="AH228" s="383" t="s">
        <v>2937</v>
      </c>
    </row>
    <row r="229" spans="1:34" ht="25.5" outlineLevel="1" x14ac:dyDescent="0.25">
      <c r="A229" s="1668" t="s">
        <v>1001</v>
      </c>
      <c r="B229" s="1712" t="s">
        <v>3111</v>
      </c>
      <c r="C229" s="979" t="s">
        <v>3322</v>
      </c>
      <c r="D229" s="1536" t="s">
        <v>1531</v>
      </c>
      <c r="E229" s="1536" t="s">
        <v>1531</v>
      </c>
      <c r="F229" s="1671" t="s">
        <v>964</v>
      </c>
      <c r="G229" s="960">
        <f>3000-813.6</f>
        <v>2186.4</v>
      </c>
      <c r="H229" s="1747">
        <v>2186.4</v>
      </c>
      <c r="I229" s="4198">
        <v>0</v>
      </c>
      <c r="J229" s="2361">
        <v>0</v>
      </c>
      <c r="K229" s="1541">
        <v>0</v>
      </c>
      <c r="L229" s="1541">
        <v>0</v>
      </c>
      <c r="M229" s="1542">
        <v>0</v>
      </c>
      <c r="N229" s="3478">
        <v>813.59999999999991</v>
      </c>
      <c r="O229" s="3542">
        <v>-813.6</v>
      </c>
      <c r="P229" s="3489">
        <f t="shared" si="16"/>
        <v>0</v>
      </c>
      <c r="Q229" s="1898">
        <v>0</v>
      </c>
      <c r="R229" s="1674">
        <v>0</v>
      </c>
      <c r="S229" s="2364">
        <v>0</v>
      </c>
      <c r="T229" s="1657">
        <v>0</v>
      </c>
      <c r="U229" s="1672">
        <v>0</v>
      </c>
      <c r="V229" s="4214">
        <v>0</v>
      </c>
      <c r="W229" s="1897">
        <v>0</v>
      </c>
      <c r="X229" s="4215">
        <v>0</v>
      </c>
      <c r="Y229" s="4215">
        <v>0</v>
      </c>
      <c r="Z229" s="4216">
        <v>0</v>
      </c>
      <c r="AA229" s="1675">
        <v>0</v>
      </c>
      <c r="AB229" s="4217" t="s">
        <v>3286</v>
      </c>
      <c r="AC229" s="1662" t="s">
        <v>1329</v>
      </c>
      <c r="AD229" s="1676" t="s">
        <v>2607</v>
      </c>
      <c r="AE229" s="1677" t="s">
        <v>1283</v>
      </c>
      <c r="AF229" s="1677" t="s">
        <v>1283</v>
      </c>
      <c r="AG229" s="1571" t="s">
        <v>1447</v>
      </c>
      <c r="AH229" s="979" t="s">
        <v>2961</v>
      </c>
    </row>
    <row r="230" spans="1:34" ht="26.25" outlineLevel="1" thickBot="1" x14ac:dyDescent="0.3">
      <c r="A230" s="490" t="s">
        <v>1006</v>
      </c>
      <c r="B230" s="490" t="s">
        <v>1230</v>
      </c>
      <c r="C230" s="3450" t="s">
        <v>3322</v>
      </c>
      <c r="D230" s="3738" t="s">
        <v>1532</v>
      </c>
      <c r="E230" s="3738" t="s">
        <v>1532</v>
      </c>
      <c r="F230" s="1276" t="s">
        <v>970</v>
      </c>
      <c r="G230" s="491">
        <v>3500</v>
      </c>
      <c r="H230" s="491">
        <v>0</v>
      </c>
      <c r="I230" s="4218">
        <v>0</v>
      </c>
      <c r="J230" s="2804">
        <v>0</v>
      </c>
      <c r="K230" s="371"/>
      <c r="L230" s="371">
        <v>3500</v>
      </c>
      <c r="M230" s="51">
        <v>0</v>
      </c>
      <c r="N230" s="3372">
        <v>3500</v>
      </c>
      <c r="O230" s="3540">
        <v>0</v>
      </c>
      <c r="P230" s="3484">
        <f t="shared" si="16"/>
        <v>3500</v>
      </c>
      <c r="Q230" s="3311">
        <v>0</v>
      </c>
      <c r="R230" s="492">
        <v>0</v>
      </c>
      <c r="S230" s="3243">
        <v>0</v>
      </c>
      <c r="T230" s="1471">
        <v>0</v>
      </c>
      <c r="U230" s="1467">
        <v>0</v>
      </c>
      <c r="V230" s="3568">
        <v>0</v>
      </c>
      <c r="W230" s="3496">
        <v>0</v>
      </c>
      <c r="X230" s="3496">
        <v>0</v>
      </c>
      <c r="Y230" s="3496">
        <v>0</v>
      </c>
      <c r="Z230" s="3689">
        <v>0</v>
      </c>
      <c r="AA230" s="537">
        <v>0</v>
      </c>
      <c r="AB230" s="3450" t="s">
        <v>1209</v>
      </c>
      <c r="AC230" s="405" t="s">
        <v>33</v>
      </c>
      <c r="AD230" s="501" t="s">
        <v>2831</v>
      </c>
      <c r="AE230" s="501" t="s">
        <v>1282</v>
      </c>
      <c r="AF230" s="501" t="s">
        <v>1282</v>
      </c>
      <c r="AG230" s="486" t="s">
        <v>1447</v>
      </c>
      <c r="AH230" s="3738" t="s">
        <v>2933</v>
      </c>
    </row>
    <row r="231" spans="1:34" ht="26.25" outlineLevel="1" thickBot="1" x14ac:dyDescent="0.3">
      <c r="A231" s="2682" t="s">
        <v>1345</v>
      </c>
      <c r="B231" s="2682" t="s">
        <v>2291</v>
      </c>
      <c r="C231" s="1872" t="s">
        <v>1485</v>
      </c>
      <c r="D231" s="2744" t="s">
        <v>639</v>
      </c>
      <c r="E231" s="2744" t="s">
        <v>639</v>
      </c>
      <c r="F231" s="3107" t="s">
        <v>1471</v>
      </c>
      <c r="G231" s="3316">
        <f>9000-998.20807</f>
        <v>8001.7919300000003</v>
      </c>
      <c r="H231" s="3316">
        <v>8001.7919300000012</v>
      </c>
      <c r="I231" s="4219">
        <v>0</v>
      </c>
      <c r="J231" s="2628">
        <v>0</v>
      </c>
      <c r="K231" s="2749">
        <v>0</v>
      </c>
      <c r="L231" s="2749">
        <v>0</v>
      </c>
      <c r="M231" s="4063">
        <v>0</v>
      </c>
      <c r="N231" s="3802">
        <v>998.20807000000002</v>
      </c>
      <c r="O231" s="4065">
        <v>-998.20807000000002</v>
      </c>
      <c r="P231" s="4112">
        <f t="shared" si="16"/>
        <v>0</v>
      </c>
      <c r="Q231" s="3318">
        <v>0</v>
      </c>
      <c r="R231" s="2305">
        <v>0</v>
      </c>
      <c r="S231" s="2369">
        <v>0</v>
      </c>
      <c r="T231" s="3320">
        <v>0</v>
      </c>
      <c r="U231" s="3319">
        <v>0</v>
      </c>
      <c r="V231" s="4220">
        <v>0</v>
      </c>
      <c r="W231" s="2301">
        <v>0</v>
      </c>
      <c r="X231" s="4221">
        <v>0</v>
      </c>
      <c r="Y231" s="4221">
        <v>0</v>
      </c>
      <c r="Z231" s="4222">
        <v>0</v>
      </c>
      <c r="AA231" s="2370">
        <v>0</v>
      </c>
      <c r="AB231" s="977" t="s">
        <v>3287</v>
      </c>
      <c r="AC231" s="977" t="s">
        <v>1329</v>
      </c>
      <c r="AD231" s="3321" t="s">
        <v>2607</v>
      </c>
      <c r="AE231" s="2690" t="s">
        <v>1283</v>
      </c>
      <c r="AF231" s="2690" t="s">
        <v>1283</v>
      </c>
      <c r="AG231" s="4223" t="s">
        <v>1447</v>
      </c>
      <c r="AH231" s="4422" t="s">
        <v>2924</v>
      </c>
    </row>
    <row r="232" spans="1:34" ht="25.5" outlineLevel="1" x14ac:dyDescent="0.25">
      <c r="A232" s="381" t="s">
        <v>1501</v>
      </c>
      <c r="B232" s="381" t="s">
        <v>1230</v>
      </c>
      <c r="C232" s="3736" t="s">
        <v>3330</v>
      </c>
      <c r="D232" s="3713" t="s">
        <v>698</v>
      </c>
      <c r="E232" s="3713" t="s">
        <v>698</v>
      </c>
      <c r="F232" s="2681" t="s">
        <v>961</v>
      </c>
      <c r="G232" s="384">
        <v>2869</v>
      </c>
      <c r="H232" s="384">
        <v>0</v>
      </c>
      <c r="I232" s="4186">
        <v>0</v>
      </c>
      <c r="J232" s="3755">
        <v>0</v>
      </c>
      <c r="K232" s="3730">
        <v>0</v>
      </c>
      <c r="L232" s="3730">
        <v>0</v>
      </c>
      <c r="M232" s="3735">
        <v>2869</v>
      </c>
      <c r="N232" s="3519">
        <v>2869</v>
      </c>
      <c r="O232" s="3763">
        <v>0</v>
      </c>
      <c r="P232" s="3759">
        <f t="shared" si="16"/>
        <v>2869</v>
      </c>
      <c r="Q232" s="3289">
        <v>0</v>
      </c>
      <c r="R232" s="1109">
        <v>0</v>
      </c>
      <c r="S232" s="3245">
        <v>0</v>
      </c>
      <c r="T232" s="1472">
        <v>0</v>
      </c>
      <c r="U232" s="387">
        <v>0</v>
      </c>
      <c r="V232" s="3306">
        <v>0</v>
      </c>
      <c r="W232" s="3307">
        <v>0</v>
      </c>
      <c r="X232" s="3307">
        <v>0</v>
      </c>
      <c r="Y232" s="3307">
        <v>0</v>
      </c>
      <c r="Z232" s="3691">
        <v>0</v>
      </c>
      <c r="AA232" s="1110">
        <v>0</v>
      </c>
      <c r="AB232" s="3447" t="s">
        <v>1209</v>
      </c>
      <c r="AC232" s="3736" t="s">
        <v>33</v>
      </c>
      <c r="AD232" s="1430" t="s">
        <v>2831</v>
      </c>
      <c r="AE232" s="1430" t="s">
        <v>1282</v>
      </c>
      <c r="AF232" s="1430" t="s">
        <v>1282</v>
      </c>
      <c r="AG232" s="2617" t="s">
        <v>1447</v>
      </c>
      <c r="AH232" s="383" t="s">
        <v>2957</v>
      </c>
    </row>
    <row r="233" spans="1:34" ht="25.5" outlineLevel="1" x14ac:dyDescent="0.25">
      <c r="A233" s="393" t="s">
        <v>1502</v>
      </c>
      <c r="B233" s="381" t="s">
        <v>1230</v>
      </c>
      <c r="C233" s="3747" t="s">
        <v>3330</v>
      </c>
      <c r="D233" s="3751" t="s">
        <v>767</v>
      </c>
      <c r="E233" s="3751" t="s">
        <v>767</v>
      </c>
      <c r="F233" s="1278" t="s">
        <v>1503</v>
      </c>
      <c r="G233" s="395">
        <v>600</v>
      </c>
      <c r="H233" s="384">
        <v>0</v>
      </c>
      <c r="I233" s="4186">
        <v>0</v>
      </c>
      <c r="J233" s="3756">
        <v>0</v>
      </c>
      <c r="K233" s="3754">
        <v>0</v>
      </c>
      <c r="L233" s="3754">
        <v>0</v>
      </c>
      <c r="M233" s="3749">
        <v>600</v>
      </c>
      <c r="N233" s="3723">
        <v>600</v>
      </c>
      <c r="O233" s="3763">
        <v>0</v>
      </c>
      <c r="P233" s="3760">
        <f t="shared" si="16"/>
        <v>600</v>
      </c>
      <c r="Q233" s="3309">
        <v>0</v>
      </c>
      <c r="R233" s="498">
        <v>0</v>
      </c>
      <c r="S233" s="3242">
        <v>0</v>
      </c>
      <c r="T233" s="368">
        <v>0</v>
      </c>
      <c r="U233" s="401">
        <v>0</v>
      </c>
      <c r="V233" s="3246">
        <v>0</v>
      </c>
      <c r="W233" s="1474">
        <v>0</v>
      </c>
      <c r="X233" s="3307">
        <v>0</v>
      </c>
      <c r="Y233" s="3307">
        <v>0</v>
      </c>
      <c r="Z233" s="3688">
        <v>0</v>
      </c>
      <c r="AA233" s="535">
        <v>0</v>
      </c>
      <c r="AB233" s="3747" t="s">
        <v>1209</v>
      </c>
      <c r="AC233" s="3747" t="s">
        <v>33</v>
      </c>
      <c r="AD233" s="399" t="s">
        <v>2831</v>
      </c>
      <c r="AE233" s="399" t="s">
        <v>1282</v>
      </c>
      <c r="AF233" s="399" t="s">
        <v>1282</v>
      </c>
      <c r="AG233" s="282" t="s">
        <v>1447</v>
      </c>
      <c r="AH233" s="400" t="s">
        <v>2930</v>
      </c>
    </row>
    <row r="234" spans="1:34" ht="25.5" outlineLevel="1" x14ac:dyDescent="0.25">
      <c r="A234" s="393" t="s">
        <v>1504</v>
      </c>
      <c r="B234" s="381" t="s">
        <v>1230</v>
      </c>
      <c r="C234" s="3747" t="s">
        <v>3330</v>
      </c>
      <c r="D234" s="3751" t="s">
        <v>1538</v>
      </c>
      <c r="E234" s="3751" t="s">
        <v>1538</v>
      </c>
      <c r="F234" s="1278" t="s">
        <v>1505</v>
      </c>
      <c r="G234" s="395">
        <v>12000</v>
      </c>
      <c r="H234" s="384">
        <v>0</v>
      </c>
      <c r="I234" s="4186">
        <v>0</v>
      </c>
      <c r="J234" s="3756">
        <v>0</v>
      </c>
      <c r="K234" s="3754">
        <v>0</v>
      </c>
      <c r="L234" s="3754">
        <v>0</v>
      </c>
      <c r="M234" s="3749">
        <v>0</v>
      </c>
      <c r="N234" s="3723">
        <v>0</v>
      </c>
      <c r="O234" s="3763">
        <v>0</v>
      </c>
      <c r="P234" s="3760">
        <f t="shared" si="16"/>
        <v>0</v>
      </c>
      <c r="Q234" s="3309">
        <v>12000</v>
      </c>
      <c r="R234" s="498">
        <v>0</v>
      </c>
      <c r="S234" s="3242">
        <v>0</v>
      </c>
      <c r="T234" s="368">
        <v>0</v>
      </c>
      <c r="U234" s="401">
        <v>0</v>
      </c>
      <c r="V234" s="3246">
        <v>0</v>
      </c>
      <c r="W234" s="1474">
        <v>0</v>
      </c>
      <c r="X234" s="3307">
        <v>0</v>
      </c>
      <c r="Y234" s="3307">
        <v>0</v>
      </c>
      <c r="Z234" s="3688">
        <v>0</v>
      </c>
      <c r="AA234" s="535">
        <v>0</v>
      </c>
      <c r="AB234" s="3747" t="s">
        <v>1209</v>
      </c>
      <c r="AC234" s="3747" t="s">
        <v>33</v>
      </c>
      <c r="AD234" s="399" t="s">
        <v>2796</v>
      </c>
      <c r="AE234" s="399" t="s">
        <v>1282</v>
      </c>
      <c r="AF234" s="399" t="s">
        <v>1282</v>
      </c>
      <c r="AG234" s="282" t="s">
        <v>1447</v>
      </c>
      <c r="AH234" s="3751" t="s">
        <v>2958</v>
      </c>
    </row>
    <row r="235" spans="1:34" ht="25.5" outlineLevel="1" x14ac:dyDescent="0.25">
      <c r="A235" s="393" t="s">
        <v>1506</v>
      </c>
      <c r="B235" s="381" t="s">
        <v>1230</v>
      </c>
      <c r="C235" s="3747" t="s">
        <v>3330</v>
      </c>
      <c r="D235" s="3751" t="s">
        <v>761</v>
      </c>
      <c r="E235" s="3751" t="s">
        <v>761</v>
      </c>
      <c r="F235" s="1278" t="s">
        <v>1507</v>
      </c>
      <c r="G235" s="395">
        <v>1000</v>
      </c>
      <c r="H235" s="384">
        <v>0</v>
      </c>
      <c r="I235" s="4186">
        <v>0</v>
      </c>
      <c r="J235" s="3756">
        <v>0</v>
      </c>
      <c r="K235" s="3754">
        <v>0</v>
      </c>
      <c r="L235" s="3754">
        <v>0</v>
      </c>
      <c r="M235" s="3749">
        <v>1000</v>
      </c>
      <c r="N235" s="3723">
        <v>1000</v>
      </c>
      <c r="O235" s="3763">
        <v>0</v>
      </c>
      <c r="P235" s="3760">
        <f t="shared" si="16"/>
        <v>1000</v>
      </c>
      <c r="Q235" s="3309">
        <v>0</v>
      </c>
      <c r="R235" s="498">
        <v>0</v>
      </c>
      <c r="S235" s="3242">
        <v>0</v>
      </c>
      <c r="T235" s="368">
        <v>0</v>
      </c>
      <c r="U235" s="401">
        <v>0</v>
      </c>
      <c r="V235" s="3246">
        <v>0</v>
      </c>
      <c r="W235" s="1474">
        <v>0</v>
      </c>
      <c r="X235" s="3307">
        <v>0</v>
      </c>
      <c r="Y235" s="3307">
        <v>0</v>
      </c>
      <c r="Z235" s="3688">
        <v>0</v>
      </c>
      <c r="AA235" s="535">
        <v>0</v>
      </c>
      <c r="AB235" s="3747" t="s">
        <v>1209</v>
      </c>
      <c r="AC235" s="3747" t="s">
        <v>33</v>
      </c>
      <c r="AD235" s="399" t="s">
        <v>2831</v>
      </c>
      <c r="AE235" s="399" t="s">
        <v>1282</v>
      </c>
      <c r="AF235" s="399" t="s">
        <v>1282</v>
      </c>
      <c r="AG235" s="282" t="s">
        <v>1447</v>
      </c>
      <c r="AH235" s="400" t="s">
        <v>2938</v>
      </c>
    </row>
    <row r="236" spans="1:34" ht="25.5" outlineLevel="1" x14ac:dyDescent="0.25">
      <c r="A236" s="393" t="s">
        <v>1508</v>
      </c>
      <c r="B236" s="381" t="s">
        <v>1230</v>
      </c>
      <c r="C236" s="3747" t="s">
        <v>3330</v>
      </c>
      <c r="D236" s="3751" t="s">
        <v>639</v>
      </c>
      <c r="E236" s="3751" t="s">
        <v>639</v>
      </c>
      <c r="F236" s="3743" t="s">
        <v>2685</v>
      </c>
      <c r="G236" s="395">
        <v>10400</v>
      </c>
      <c r="H236" s="384">
        <v>0</v>
      </c>
      <c r="I236" s="4186">
        <v>0</v>
      </c>
      <c r="J236" s="3756">
        <v>0</v>
      </c>
      <c r="K236" s="3754">
        <v>0</v>
      </c>
      <c r="L236" s="3754">
        <v>5200</v>
      </c>
      <c r="M236" s="3749">
        <v>5200</v>
      </c>
      <c r="N236" s="3723">
        <v>10400</v>
      </c>
      <c r="O236" s="3763">
        <v>0</v>
      </c>
      <c r="P236" s="3760">
        <f t="shared" si="16"/>
        <v>10400</v>
      </c>
      <c r="Q236" s="3309">
        <v>0</v>
      </c>
      <c r="R236" s="498">
        <v>0</v>
      </c>
      <c r="S236" s="3242">
        <v>0</v>
      </c>
      <c r="T236" s="368">
        <v>0</v>
      </c>
      <c r="U236" s="401">
        <v>0</v>
      </c>
      <c r="V236" s="3246">
        <v>0</v>
      </c>
      <c r="W236" s="1474">
        <v>0</v>
      </c>
      <c r="X236" s="3307">
        <v>0</v>
      </c>
      <c r="Y236" s="3307">
        <v>0</v>
      </c>
      <c r="Z236" s="3688">
        <v>0</v>
      </c>
      <c r="AA236" s="535">
        <v>0</v>
      </c>
      <c r="AB236" s="3747" t="s">
        <v>1209</v>
      </c>
      <c r="AC236" s="3747" t="s">
        <v>33</v>
      </c>
      <c r="AD236" s="399" t="s">
        <v>2366</v>
      </c>
      <c r="AE236" s="399" t="s">
        <v>1282</v>
      </c>
      <c r="AF236" s="399" t="s">
        <v>1282</v>
      </c>
      <c r="AG236" s="282" t="s">
        <v>1447</v>
      </c>
      <c r="AH236" s="400" t="s">
        <v>2924</v>
      </c>
    </row>
    <row r="237" spans="1:34" ht="38.25" outlineLevel="1" x14ac:dyDescent="0.25">
      <c r="A237" s="393" t="s">
        <v>1509</v>
      </c>
      <c r="B237" s="381" t="s">
        <v>2950</v>
      </c>
      <c r="C237" s="3747" t="s">
        <v>3330</v>
      </c>
      <c r="D237" s="3751" t="s">
        <v>794</v>
      </c>
      <c r="E237" s="3751" t="s">
        <v>794</v>
      </c>
      <c r="F237" s="1278" t="s">
        <v>2836</v>
      </c>
      <c r="G237" s="395">
        <f>1300+1600</f>
        <v>2900</v>
      </c>
      <c r="H237" s="384">
        <v>2160.6111300000002</v>
      </c>
      <c r="I237" s="4186">
        <v>0</v>
      </c>
      <c r="J237" s="3756">
        <v>0</v>
      </c>
      <c r="K237" s="3754">
        <v>739.38887</v>
      </c>
      <c r="L237" s="3754">
        <v>0</v>
      </c>
      <c r="M237" s="3749">
        <v>0</v>
      </c>
      <c r="N237" s="4224">
        <v>739.38887</v>
      </c>
      <c r="O237" s="3763">
        <v>0</v>
      </c>
      <c r="P237" s="4211">
        <f t="shared" si="16"/>
        <v>739.38887</v>
      </c>
      <c r="Q237" s="3309">
        <v>0</v>
      </c>
      <c r="R237" s="498">
        <v>0</v>
      </c>
      <c r="S237" s="3242">
        <v>0</v>
      </c>
      <c r="T237" s="368">
        <v>0</v>
      </c>
      <c r="U237" s="401">
        <v>0</v>
      </c>
      <c r="V237" s="3246">
        <v>0</v>
      </c>
      <c r="W237" s="1474">
        <v>0</v>
      </c>
      <c r="X237" s="3307">
        <v>0</v>
      </c>
      <c r="Y237" s="3307">
        <v>0</v>
      </c>
      <c r="Z237" s="3688">
        <v>0</v>
      </c>
      <c r="AA237" s="535">
        <v>0</v>
      </c>
      <c r="AB237" s="3736" t="s">
        <v>3288</v>
      </c>
      <c r="AC237" s="3747" t="s">
        <v>43</v>
      </c>
      <c r="AD237" s="399" t="s">
        <v>2709</v>
      </c>
      <c r="AE237" s="399" t="s">
        <v>1283</v>
      </c>
      <c r="AF237" s="399" t="s">
        <v>1283</v>
      </c>
      <c r="AG237" s="282" t="s">
        <v>1447</v>
      </c>
      <c r="AH237" s="400" t="s">
        <v>2937</v>
      </c>
    </row>
    <row r="238" spans="1:34" ht="38.25" outlineLevel="1" x14ac:dyDescent="0.25">
      <c r="A238" s="2888" t="s">
        <v>1510</v>
      </c>
      <c r="B238" s="2889" t="s">
        <v>2753</v>
      </c>
      <c r="C238" s="1354" t="s">
        <v>3330</v>
      </c>
      <c r="D238" s="2927" t="s">
        <v>2423</v>
      </c>
      <c r="E238" s="2927" t="s">
        <v>2423</v>
      </c>
      <c r="F238" s="4225" t="s">
        <v>2424</v>
      </c>
      <c r="G238" s="2892">
        <v>23000</v>
      </c>
      <c r="H238" s="4226">
        <v>555.74</v>
      </c>
      <c r="I238" s="4227">
        <v>0</v>
      </c>
      <c r="J238" s="2896">
        <v>500</v>
      </c>
      <c r="K238" s="2897">
        <v>0</v>
      </c>
      <c r="L238" s="2897">
        <v>0</v>
      </c>
      <c r="M238" s="1769">
        <v>4000</v>
      </c>
      <c r="N238" s="4228">
        <v>20444.259999999998</v>
      </c>
      <c r="O238" s="4229">
        <v>-15944.26</v>
      </c>
      <c r="P238" s="3845">
        <f t="shared" si="16"/>
        <v>4499.9999999999982</v>
      </c>
      <c r="Q238" s="4230">
        <v>8598.5249999999996</v>
      </c>
      <c r="R238" s="2899">
        <v>0</v>
      </c>
      <c r="S238" s="4013">
        <v>0</v>
      </c>
      <c r="T238" s="2895">
        <v>9345.7350000000006</v>
      </c>
      <c r="U238" s="2894">
        <v>0</v>
      </c>
      <c r="V238" s="4011">
        <v>0</v>
      </c>
      <c r="W238" s="4012">
        <v>0</v>
      </c>
      <c r="X238" s="4231">
        <v>0</v>
      </c>
      <c r="Y238" s="4231">
        <v>0</v>
      </c>
      <c r="Z238" s="4232">
        <v>0</v>
      </c>
      <c r="AA238" s="2898">
        <v>0</v>
      </c>
      <c r="AB238" s="1354" t="s">
        <v>3289</v>
      </c>
      <c r="AC238" s="1354" t="s">
        <v>33</v>
      </c>
      <c r="AD238" s="2900" t="s">
        <v>2366</v>
      </c>
      <c r="AE238" s="2900" t="s">
        <v>1282</v>
      </c>
      <c r="AF238" s="2900" t="s">
        <v>1282</v>
      </c>
      <c r="AG238" s="2901" t="s">
        <v>1447</v>
      </c>
      <c r="AH238" s="2890" t="s">
        <v>2960</v>
      </c>
    </row>
    <row r="239" spans="1:34" ht="25.5" outlineLevel="1" x14ac:dyDescent="0.25">
      <c r="A239" s="393" t="s">
        <v>1512</v>
      </c>
      <c r="B239" s="381" t="s">
        <v>1230</v>
      </c>
      <c r="C239" s="3747" t="s">
        <v>3330</v>
      </c>
      <c r="D239" s="3751" t="s">
        <v>1530</v>
      </c>
      <c r="E239" s="3751" t="s">
        <v>1530</v>
      </c>
      <c r="F239" s="3743" t="s">
        <v>1513</v>
      </c>
      <c r="G239" s="395">
        <v>840</v>
      </c>
      <c r="H239" s="384">
        <v>0</v>
      </c>
      <c r="I239" s="4186">
        <v>0</v>
      </c>
      <c r="J239" s="3756">
        <v>0</v>
      </c>
      <c r="K239" s="3754">
        <v>0</v>
      </c>
      <c r="L239" s="3754">
        <v>0</v>
      </c>
      <c r="M239" s="3749">
        <v>840</v>
      </c>
      <c r="N239" s="3723">
        <v>840</v>
      </c>
      <c r="O239" s="3763">
        <v>0</v>
      </c>
      <c r="P239" s="3760">
        <f t="shared" si="16"/>
        <v>840</v>
      </c>
      <c r="Q239" s="3309">
        <v>0</v>
      </c>
      <c r="R239" s="498">
        <v>0</v>
      </c>
      <c r="S239" s="3242">
        <v>0</v>
      </c>
      <c r="T239" s="368">
        <v>0</v>
      </c>
      <c r="U239" s="401">
        <v>0</v>
      </c>
      <c r="V239" s="3246">
        <v>0</v>
      </c>
      <c r="W239" s="1474">
        <v>0</v>
      </c>
      <c r="X239" s="3307">
        <v>0</v>
      </c>
      <c r="Y239" s="3307">
        <v>0</v>
      </c>
      <c r="Z239" s="3688">
        <v>0</v>
      </c>
      <c r="AA239" s="535">
        <v>0</v>
      </c>
      <c r="AB239" s="3747" t="s">
        <v>1209</v>
      </c>
      <c r="AC239" s="3747" t="s">
        <v>33</v>
      </c>
      <c r="AD239" s="399" t="s">
        <v>2366</v>
      </c>
      <c r="AE239" s="399" t="s">
        <v>1282</v>
      </c>
      <c r="AF239" s="399" t="s">
        <v>1282</v>
      </c>
      <c r="AG239" s="282" t="s">
        <v>1447</v>
      </c>
      <c r="AH239" s="400" t="s">
        <v>2926</v>
      </c>
    </row>
    <row r="240" spans="1:34" ht="25.5" outlineLevel="1" x14ac:dyDescent="0.25">
      <c r="A240" s="2612" t="s">
        <v>1514</v>
      </c>
      <c r="B240" s="4203" t="s">
        <v>2664</v>
      </c>
      <c r="C240" s="93" t="s">
        <v>3330</v>
      </c>
      <c r="D240" s="92" t="s">
        <v>784</v>
      </c>
      <c r="E240" s="92" t="s">
        <v>784</v>
      </c>
      <c r="F240" s="2601" t="s">
        <v>1721</v>
      </c>
      <c r="G240" s="538">
        <v>5800</v>
      </c>
      <c r="H240" s="404">
        <v>3615.3130000000001</v>
      </c>
      <c r="I240" s="4233">
        <v>0</v>
      </c>
      <c r="J240" s="2812">
        <v>2184.6869999999999</v>
      </c>
      <c r="K240" s="786">
        <v>0</v>
      </c>
      <c r="L240" s="786">
        <v>0</v>
      </c>
      <c r="M240" s="29">
        <v>0</v>
      </c>
      <c r="N240" s="4234">
        <v>2184.6869999999999</v>
      </c>
      <c r="O240" s="4235">
        <v>0</v>
      </c>
      <c r="P240" s="4236">
        <f t="shared" si="16"/>
        <v>2184.6869999999999</v>
      </c>
      <c r="Q240" s="3551">
        <v>0</v>
      </c>
      <c r="R240" s="3285">
        <v>0</v>
      </c>
      <c r="S240" s="4376">
        <v>0</v>
      </c>
      <c r="T240" s="2614">
        <v>0</v>
      </c>
      <c r="U240" s="2803">
        <v>0</v>
      </c>
      <c r="V240" s="4204">
        <v>0</v>
      </c>
      <c r="W240" s="3553">
        <v>0</v>
      </c>
      <c r="X240" s="3468">
        <v>0</v>
      </c>
      <c r="Y240" s="3468">
        <v>0</v>
      </c>
      <c r="Z240" s="3697">
        <v>0</v>
      </c>
      <c r="AA240" s="2801">
        <v>0</v>
      </c>
      <c r="AB240" s="3433" t="s">
        <v>1209</v>
      </c>
      <c r="AC240" s="93" t="s">
        <v>2708</v>
      </c>
      <c r="AD240" s="3444" t="s">
        <v>2831</v>
      </c>
      <c r="AE240" s="3444" t="s">
        <v>1283</v>
      </c>
      <c r="AF240" s="3444" t="s">
        <v>1283</v>
      </c>
      <c r="AG240" s="3273" t="s">
        <v>1447</v>
      </c>
      <c r="AH240" s="394" t="s">
        <v>2924</v>
      </c>
    </row>
    <row r="241" spans="1:34" ht="26.25" outlineLevel="1" thickBot="1" x14ac:dyDescent="0.3">
      <c r="A241" s="4237" t="s">
        <v>1515</v>
      </c>
      <c r="B241" s="4237" t="s">
        <v>2814</v>
      </c>
      <c r="C241" s="2024" t="s">
        <v>3330</v>
      </c>
      <c r="D241" s="4238" t="s">
        <v>967</v>
      </c>
      <c r="E241" s="4238" t="s">
        <v>967</v>
      </c>
      <c r="F241" s="4239" t="s">
        <v>2425</v>
      </c>
      <c r="G241" s="4240">
        <f>5900+570+775.9035+739.38887</f>
        <v>7985.2923700000001</v>
      </c>
      <c r="H241" s="4240">
        <v>7209.3888699999998</v>
      </c>
      <c r="I241" s="4241">
        <v>0</v>
      </c>
      <c r="J241" s="4242">
        <v>0</v>
      </c>
      <c r="K241" s="4243">
        <v>0</v>
      </c>
      <c r="L241" s="4243">
        <v>0</v>
      </c>
      <c r="M241" s="1786">
        <v>0</v>
      </c>
      <c r="N241" s="4244">
        <v>-739.38887</v>
      </c>
      <c r="O241" s="4245">
        <v>739.38887</v>
      </c>
      <c r="P241" s="4246">
        <f t="shared" si="16"/>
        <v>0</v>
      </c>
      <c r="Q241" s="4247">
        <v>0</v>
      </c>
      <c r="R241" s="4248">
        <v>0</v>
      </c>
      <c r="S241" s="4377">
        <v>325.47300000000001</v>
      </c>
      <c r="T241" s="4250">
        <v>0</v>
      </c>
      <c r="U241" s="4249">
        <v>450.43049999999999</v>
      </c>
      <c r="V241" s="4251">
        <v>0</v>
      </c>
      <c r="W241" s="4252">
        <v>0</v>
      </c>
      <c r="X241" s="4252">
        <v>0</v>
      </c>
      <c r="Y241" s="4252">
        <v>0</v>
      </c>
      <c r="Z241" s="4253">
        <v>0</v>
      </c>
      <c r="AA241" s="4254">
        <v>0</v>
      </c>
      <c r="AB241" s="2024" t="s">
        <v>3290</v>
      </c>
      <c r="AC241" s="2024" t="s">
        <v>1329</v>
      </c>
      <c r="AD241" s="4380" t="s">
        <v>2610</v>
      </c>
      <c r="AE241" s="4380" t="s">
        <v>1283</v>
      </c>
      <c r="AF241" s="4380" t="s">
        <v>1283</v>
      </c>
      <c r="AG241" s="4381" t="s">
        <v>1447</v>
      </c>
      <c r="AH241" s="4423" t="s">
        <v>2935</v>
      </c>
    </row>
    <row r="242" spans="1:34" ht="30.75" outlineLevel="1" thickBot="1" x14ac:dyDescent="0.3">
      <c r="A242" s="3425" t="s">
        <v>2686</v>
      </c>
      <c r="B242" s="328" t="s">
        <v>3110</v>
      </c>
      <c r="C242" s="3324" t="s">
        <v>2750</v>
      </c>
      <c r="D242" s="3728" t="s">
        <v>1526</v>
      </c>
      <c r="E242" s="3728" t="s">
        <v>1526</v>
      </c>
      <c r="F242" s="3109" t="s">
        <v>2817</v>
      </c>
      <c r="G242" s="2615">
        <v>4500</v>
      </c>
      <c r="H242" s="2615">
        <v>4178.52034</v>
      </c>
      <c r="I242" s="4188">
        <v>0</v>
      </c>
      <c r="J242" s="2374">
        <v>321.47965999999997</v>
      </c>
      <c r="K242" s="706">
        <v>0</v>
      </c>
      <c r="L242" s="706">
        <v>0</v>
      </c>
      <c r="M242" s="13">
        <v>0</v>
      </c>
      <c r="N242" s="4212">
        <v>321.47965999999997</v>
      </c>
      <c r="O242" s="3538">
        <v>0</v>
      </c>
      <c r="P242" s="4391">
        <f t="shared" si="16"/>
        <v>321.47965999999997</v>
      </c>
      <c r="Q242" s="4392">
        <v>0</v>
      </c>
      <c r="R242" s="3423">
        <v>0</v>
      </c>
      <c r="S242" s="3429">
        <v>0</v>
      </c>
      <c r="T242" s="1473">
        <v>0</v>
      </c>
      <c r="U242" s="635">
        <v>0</v>
      </c>
      <c r="V242" s="4393">
        <v>0</v>
      </c>
      <c r="W242" s="4394">
        <v>0</v>
      </c>
      <c r="X242" s="4394">
        <v>0</v>
      </c>
      <c r="Y242" s="4394">
        <v>0</v>
      </c>
      <c r="Z242" s="4395">
        <v>0</v>
      </c>
      <c r="AA242" s="4396">
        <v>0</v>
      </c>
      <c r="AB242" s="658" t="s">
        <v>1209</v>
      </c>
      <c r="AC242" s="62" t="s">
        <v>43</v>
      </c>
      <c r="AD242" s="4397" t="s">
        <v>2831</v>
      </c>
      <c r="AE242" s="4397" t="s">
        <v>1283</v>
      </c>
      <c r="AF242" s="4397" t="s">
        <v>1283</v>
      </c>
      <c r="AG242" s="3274" t="s">
        <v>1447</v>
      </c>
      <c r="AH242" s="62" t="s">
        <v>2928</v>
      </c>
    </row>
    <row r="243" spans="1:34" s="3325" customFormat="1" ht="63.75" outlineLevel="1" x14ac:dyDescent="0.25">
      <c r="A243" s="268" t="s">
        <v>2785</v>
      </c>
      <c r="B243" s="146" t="s">
        <v>1230</v>
      </c>
      <c r="C243" s="3475" t="s">
        <v>2818</v>
      </c>
      <c r="D243" s="83" t="s">
        <v>26</v>
      </c>
      <c r="E243" s="83" t="s">
        <v>752</v>
      </c>
      <c r="F243" s="1551" t="s">
        <v>3291</v>
      </c>
      <c r="G243" s="2955">
        <v>0</v>
      </c>
      <c r="H243" s="3269">
        <v>0</v>
      </c>
      <c r="I243" s="4255">
        <v>0</v>
      </c>
      <c r="J243" s="2373">
        <v>0</v>
      </c>
      <c r="K243" s="1553">
        <v>0</v>
      </c>
      <c r="L243" s="1553">
        <v>0</v>
      </c>
      <c r="M243" s="46">
        <v>0</v>
      </c>
      <c r="N243" s="4256">
        <v>21500</v>
      </c>
      <c r="O243" s="3544">
        <v>-21500</v>
      </c>
      <c r="P243" s="4257">
        <f t="shared" si="16"/>
        <v>0</v>
      </c>
      <c r="Q243" s="563">
        <v>0</v>
      </c>
      <c r="R243" s="438">
        <v>0</v>
      </c>
      <c r="S243" s="2363">
        <v>0</v>
      </c>
      <c r="T243" s="1476">
        <v>0</v>
      </c>
      <c r="U243" s="563">
        <v>0</v>
      </c>
      <c r="V243" s="3569">
        <v>0</v>
      </c>
      <c r="W243" s="3619">
        <v>0</v>
      </c>
      <c r="X243" s="3619">
        <v>0</v>
      </c>
      <c r="Y243" s="3619">
        <v>0</v>
      </c>
      <c r="Z243" s="3692">
        <v>0</v>
      </c>
      <c r="AA243" s="2961">
        <v>0</v>
      </c>
      <c r="AB243" s="3308" t="s">
        <v>3292</v>
      </c>
      <c r="AC243" s="558" t="s">
        <v>1300</v>
      </c>
      <c r="AD243" s="503" t="s">
        <v>2366</v>
      </c>
      <c r="AE243" s="503" t="s">
        <v>1282</v>
      </c>
      <c r="AF243" s="476" t="s">
        <v>1282</v>
      </c>
      <c r="AG243" s="476" t="s">
        <v>1452</v>
      </c>
      <c r="AH243" s="559" t="s">
        <v>2943</v>
      </c>
    </row>
    <row r="244" spans="1:34" s="3325" customFormat="1" ht="30" outlineLevel="1" x14ac:dyDescent="0.25">
      <c r="A244" s="2938" t="s">
        <v>2786</v>
      </c>
      <c r="B244" s="3028" t="s">
        <v>1230</v>
      </c>
      <c r="C244" s="4258" t="s">
        <v>2818</v>
      </c>
      <c r="D244" s="1273" t="s">
        <v>2787</v>
      </c>
      <c r="E244" s="1273" t="s">
        <v>2787</v>
      </c>
      <c r="F244" s="4259" t="s">
        <v>2788</v>
      </c>
      <c r="G244" s="2963">
        <v>55000</v>
      </c>
      <c r="H244" s="4260">
        <v>0</v>
      </c>
      <c r="I244" s="4261">
        <v>0</v>
      </c>
      <c r="J244" s="2868">
        <v>0</v>
      </c>
      <c r="K244" s="2869">
        <v>2000</v>
      </c>
      <c r="L244" s="2869">
        <v>0</v>
      </c>
      <c r="M244" s="1617">
        <v>1000</v>
      </c>
      <c r="N244" s="3029">
        <v>12000</v>
      </c>
      <c r="O244" s="3837">
        <v>-9000</v>
      </c>
      <c r="P244" s="3837">
        <f t="shared" si="16"/>
        <v>3000</v>
      </c>
      <c r="Q244" s="2866">
        <v>20000</v>
      </c>
      <c r="R244" s="1650">
        <v>32000</v>
      </c>
      <c r="S244" s="4375">
        <v>0</v>
      </c>
      <c r="T244" s="2867">
        <v>0</v>
      </c>
      <c r="U244" s="2866">
        <v>0</v>
      </c>
      <c r="V244" s="4208">
        <v>55000</v>
      </c>
      <c r="W244" s="4209">
        <v>0</v>
      </c>
      <c r="X244" s="4209">
        <v>0</v>
      </c>
      <c r="Y244" s="4209">
        <v>3000</v>
      </c>
      <c r="Z244" s="3959">
        <v>20000</v>
      </c>
      <c r="AA244" s="4210">
        <v>32000</v>
      </c>
      <c r="AB244" s="3257" t="s">
        <v>3293</v>
      </c>
      <c r="AC244" s="1272" t="s">
        <v>33</v>
      </c>
      <c r="AD244" s="4262" t="s">
        <v>1565</v>
      </c>
      <c r="AE244" s="4262" t="s">
        <v>1282</v>
      </c>
      <c r="AF244" s="4262" t="s">
        <v>1282</v>
      </c>
      <c r="AG244" s="2871" t="s">
        <v>1447</v>
      </c>
      <c r="AH244" s="3012" t="s">
        <v>2961</v>
      </c>
    </row>
    <row r="245" spans="1:34" s="3325" customFormat="1" ht="51" outlineLevel="1" x14ac:dyDescent="0.25">
      <c r="A245" s="2938" t="s">
        <v>2789</v>
      </c>
      <c r="B245" s="3028" t="s">
        <v>1230</v>
      </c>
      <c r="C245" s="4258" t="s">
        <v>2818</v>
      </c>
      <c r="D245" s="1273" t="s">
        <v>2432</v>
      </c>
      <c r="E245" s="1273" t="s">
        <v>2432</v>
      </c>
      <c r="F245" s="4259" t="s">
        <v>2790</v>
      </c>
      <c r="G245" s="2963">
        <v>15000</v>
      </c>
      <c r="H245" s="4260">
        <v>0</v>
      </c>
      <c r="I245" s="4261">
        <v>0</v>
      </c>
      <c r="J245" s="2868">
        <v>0</v>
      </c>
      <c r="K245" s="2869">
        <v>1000</v>
      </c>
      <c r="L245" s="2869">
        <v>500</v>
      </c>
      <c r="M245" s="1617">
        <v>0</v>
      </c>
      <c r="N245" s="3029">
        <v>9500</v>
      </c>
      <c r="O245" s="3837">
        <v>-8000</v>
      </c>
      <c r="P245" s="3837">
        <f t="shared" si="16"/>
        <v>1500</v>
      </c>
      <c r="Q245" s="2866">
        <v>10000</v>
      </c>
      <c r="R245" s="1650">
        <v>3500</v>
      </c>
      <c r="S245" s="4375">
        <v>0</v>
      </c>
      <c r="T245" s="2867">
        <v>0</v>
      </c>
      <c r="U245" s="2866">
        <v>0</v>
      </c>
      <c r="V245" s="4208">
        <v>15000</v>
      </c>
      <c r="W245" s="4209">
        <v>0</v>
      </c>
      <c r="X245" s="4209">
        <v>0</v>
      </c>
      <c r="Y245" s="4209">
        <v>1500</v>
      </c>
      <c r="Z245" s="3959">
        <v>10000</v>
      </c>
      <c r="AA245" s="4210">
        <v>3500</v>
      </c>
      <c r="AB245" s="3257" t="s">
        <v>3294</v>
      </c>
      <c r="AC245" s="1272" t="s">
        <v>33</v>
      </c>
      <c r="AD245" s="4262" t="s">
        <v>1565</v>
      </c>
      <c r="AE245" s="4262" t="s">
        <v>1282</v>
      </c>
      <c r="AF245" s="4262" t="s">
        <v>1282</v>
      </c>
      <c r="AG245" s="2871" t="s">
        <v>1447</v>
      </c>
      <c r="AH245" s="2875" t="s">
        <v>2922</v>
      </c>
    </row>
    <row r="246" spans="1:34" s="3325" customFormat="1" ht="30" outlineLevel="1" x14ac:dyDescent="0.25">
      <c r="A246" s="3712" t="s">
        <v>2791</v>
      </c>
      <c r="B246" s="3715" t="s">
        <v>1230</v>
      </c>
      <c r="C246" s="3322" t="s">
        <v>2818</v>
      </c>
      <c r="D246" s="3736" t="s">
        <v>642</v>
      </c>
      <c r="E246" s="3736" t="s">
        <v>642</v>
      </c>
      <c r="F246" s="2616" t="s">
        <v>2792</v>
      </c>
      <c r="G246" s="1108">
        <v>17000</v>
      </c>
      <c r="H246" s="1109">
        <v>0</v>
      </c>
      <c r="I246" s="4263">
        <v>0</v>
      </c>
      <c r="J246" s="3755">
        <v>0</v>
      </c>
      <c r="K246" s="3730">
        <v>0</v>
      </c>
      <c r="L246" s="3730">
        <v>1000</v>
      </c>
      <c r="M246" s="3735">
        <v>1000</v>
      </c>
      <c r="N246" s="3464">
        <v>2000</v>
      </c>
      <c r="O246" s="3763">
        <v>0</v>
      </c>
      <c r="P246" s="3759">
        <f t="shared" si="16"/>
        <v>2000</v>
      </c>
      <c r="Q246" s="387">
        <v>15000</v>
      </c>
      <c r="R246" s="38">
        <v>0</v>
      </c>
      <c r="S246" s="3245">
        <v>0</v>
      </c>
      <c r="T246" s="1472">
        <v>0</v>
      </c>
      <c r="U246" s="387">
        <v>0</v>
      </c>
      <c r="V246" s="3306">
        <v>17000</v>
      </c>
      <c r="W246" s="3307">
        <v>0</v>
      </c>
      <c r="X246" s="3307">
        <v>0</v>
      </c>
      <c r="Y246" s="3307">
        <v>2000</v>
      </c>
      <c r="Z246" s="3691">
        <v>15000</v>
      </c>
      <c r="AA246" s="1110">
        <v>0</v>
      </c>
      <c r="AB246" s="2924" t="s">
        <v>1209</v>
      </c>
      <c r="AC246" s="298" t="s">
        <v>33</v>
      </c>
      <c r="AD246" s="1430" t="s">
        <v>2366</v>
      </c>
      <c r="AE246" s="1430" t="s">
        <v>1282</v>
      </c>
      <c r="AF246" s="1430" t="s">
        <v>1282</v>
      </c>
      <c r="AG246" s="282" t="s">
        <v>1447</v>
      </c>
      <c r="AH246" s="383" t="s">
        <v>2942</v>
      </c>
    </row>
    <row r="247" spans="1:34" s="3325" customFormat="1" ht="39" outlineLevel="1" thickBot="1" x14ac:dyDescent="0.3">
      <c r="A247" s="2943" t="s">
        <v>2793</v>
      </c>
      <c r="B247" s="2909" t="s">
        <v>1230</v>
      </c>
      <c r="C247" s="3902" t="s">
        <v>2818</v>
      </c>
      <c r="D247" s="1620" t="s">
        <v>26</v>
      </c>
      <c r="E247" s="1620" t="s">
        <v>639</v>
      </c>
      <c r="F247" s="2910" t="s">
        <v>2999</v>
      </c>
      <c r="G247" s="4398">
        <v>103000</v>
      </c>
      <c r="H247" s="4399">
        <v>0</v>
      </c>
      <c r="I247" s="4400">
        <v>0</v>
      </c>
      <c r="J247" s="2913">
        <v>0</v>
      </c>
      <c r="K247" s="2914">
        <v>0</v>
      </c>
      <c r="L247" s="2914">
        <v>0</v>
      </c>
      <c r="M247" s="2915">
        <v>10000</v>
      </c>
      <c r="N247" s="3825">
        <v>63000</v>
      </c>
      <c r="O247" s="3850">
        <v>-53000</v>
      </c>
      <c r="P247" s="2944">
        <f t="shared" si="16"/>
        <v>10000</v>
      </c>
      <c r="Q247" s="2911">
        <v>40000</v>
      </c>
      <c r="R247" s="2076">
        <v>53000</v>
      </c>
      <c r="S247" s="4401">
        <v>0</v>
      </c>
      <c r="T247" s="2912">
        <v>0</v>
      </c>
      <c r="U247" s="2911">
        <v>0</v>
      </c>
      <c r="V247" s="4402">
        <v>0</v>
      </c>
      <c r="W247" s="4403">
        <v>0</v>
      </c>
      <c r="X247" s="4404">
        <v>0</v>
      </c>
      <c r="Y247" s="4404">
        <v>0</v>
      </c>
      <c r="Z247" s="4405">
        <v>0</v>
      </c>
      <c r="AA247" s="2916">
        <v>0</v>
      </c>
      <c r="AB247" s="770" t="s">
        <v>3295</v>
      </c>
      <c r="AC247" s="3262" t="s">
        <v>33</v>
      </c>
      <c r="AD247" s="2917" t="s">
        <v>1565</v>
      </c>
      <c r="AE247" s="2917" t="s">
        <v>1282</v>
      </c>
      <c r="AF247" s="2917" t="s">
        <v>1282</v>
      </c>
      <c r="AG247" s="2918" t="s">
        <v>1448</v>
      </c>
      <c r="AH247" s="4424" t="s">
        <v>2924</v>
      </c>
    </row>
    <row r="248" spans="1:34" s="3651" customFormat="1" ht="25.5" outlineLevel="1" x14ac:dyDescent="0.2">
      <c r="A248" s="139" t="s">
        <v>2861</v>
      </c>
      <c r="B248" s="139" t="s">
        <v>1230</v>
      </c>
      <c r="C248" s="3447" t="s">
        <v>2882</v>
      </c>
      <c r="D248" s="3448" t="s">
        <v>967</v>
      </c>
      <c r="E248" s="3448" t="s">
        <v>967</v>
      </c>
      <c r="F248" s="168" t="s">
        <v>2862</v>
      </c>
      <c r="G248" s="3286">
        <v>5750</v>
      </c>
      <c r="H248" s="3286">
        <v>0</v>
      </c>
      <c r="I248" s="4410">
        <v>0</v>
      </c>
      <c r="J248" s="3442">
        <v>0</v>
      </c>
      <c r="K248" s="3458">
        <v>0</v>
      </c>
      <c r="L248" s="3458">
        <v>0</v>
      </c>
      <c r="M248" s="3362">
        <v>5750</v>
      </c>
      <c r="N248" s="3375">
        <v>5750</v>
      </c>
      <c r="O248" s="4411">
        <v>0</v>
      </c>
      <c r="P248" s="3487">
        <f>N248+O248</f>
        <v>5750</v>
      </c>
      <c r="Q248" s="4412">
        <v>0</v>
      </c>
      <c r="R248" s="3286">
        <v>0</v>
      </c>
      <c r="S248" s="3303">
        <v>0</v>
      </c>
      <c r="T248" s="3305">
        <v>0</v>
      </c>
      <c r="U248" s="3304">
        <v>0</v>
      </c>
      <c r="V248" s="3303">
        <v>0</v>
      </c>
      <c r="W248" s="3305">
        <v>0</v>
      </c>
      <c r="X248" s="3305">
        <v>0</v>
      </c>
      <c r="Y248" s="3305">
        <v>0</v>
      </c>
      <c r="Z248" s="3695">
        <v>0</v>
      </c>
      <c r="AA248" s="2797">
        <v>0</v>
      </c>
      <c r="AB248" s="3562" t="s">
        <v>1209</v>
      </c>
      <c r="AC248" s="3314" t="s">
        <v>33</v>
      </c>
      <c r="AD248" s="3363" t="s">
        <v>2831</v>
      </c>
      <c r="AE248" s="4413" t="s">
        <v>1282</v>
      </c>
      <c r="AF248" s="4413" t="s">
        <v>1282</v>
      </c>
      <c r="AG248" s="3314">
        <v>1</v>
      </c>
      <c r="AH248" s="4425" t="s">
        <v>2935</v>
      </c>
    </row>
    <row r="249" spans="1:34" s="3651" customFormat="1" ht="26.25" outlineLevel="1" thickBot="1" x14ac:dyDescent="0.25">
      <c r="A249" s="169" t="s">
        <v>2859</v>
      </c>
      <c r="B249" s="169" t="s">
        <v>1230</v>
      </c>
      <c r="C249" s="3450" t="s">
        <v>2882</v>
      </c>
      <c r="D249" s="3738" t="s">
        <v>841</v>
      </c>
      <c r="E249" s="3738" t="s">
        <v>841</v>
      </c>
      <c r="F249" s="167" t="s">
        <v>2860</v>
      </c>
      <c r="G249" s="492">
        <v>4273</v>
      </c>
      <c r="H249" s="492">
        <v>0</v>
      </c>
      <c r="I249" s="4266">
        <v>0</v>
      </c>
      <c r="J249" s="3408">
        <v>2273</v>
      </c>
      <c r="K249" s="3355">
        <v>2000</v>
      </c>
      <c r="L249" s="3355">
        <v>0</v>
      </c>
      <c r="M249" s="1267">
        <v>0</v>
      </c>
      <c r="N249" s="4414">
        <v>4273</v>
      </c>
      <c r="O249" s="3538">
        <v>0</v>
      </c>
      <c r="P249" s="4213">
        <f t="shared" si="16"/>
        <v>4273</v>
      </c>
      <c r="Q249" s="3310">
        <v>0</v>
      </c>
      <c r="R249" s="492">
        <v>0</v>
      </c>
      <c r="S249" s="3568">
        <v>0</v>
      </c>
      <c r="T249" s="3496">
        <v>0</v>
      </c>
      <c r="U249" s="3311">
        <v>0</v>
      </c>
      <c r="V249" s="3568">
        <v>0</v>
      </c>
      <c r="W249" s="3496">
        <v>0</v>
      </c>
      <c r="X249" s="3602">
        <v>0</v>
      </c>
      <c r="Y249" s="3602">
        <v>0</v>
      </c>
      <c r="Z249" s="3689">
        <v>0</v>
      </c>
      <c r="AA249" s="537">
        <v>0</v>
      </c>
      <c r="AB249" s="3457" t="s">
        <v>1209</v>
      </c>
      <c r="AC249" s="405" t="s">
        <v>43</v>
      </c>
      <c r="AD249" s="501" t="s">
        <v>1565</v>
      </c>
      <c r="AE249" s="4269" t="s">
        <v>1283</v>
      </c>
      <c r="AF249" s="4269" t="s">
        <v>1283</v>
      </c>
      <c r="AG249" s="405">
        <v>1</v>
      </c>
      <c r="AH249" s="3738" t="s">
        <v>2939</v>
      </c>
    </row>
    <row r="250" spans="1:34" s="3651" customFormat="1" ht="25.5" outlineLevel="1" x14ac:dyDescent="0.2">
      <c r="A250" s="3388" t="s">
        <v>2883</v>
      </c>
      <c r="B250" s="3388" t="s">
        <v>3123</v>
      </c>
      <c r="C250" s="3383" t="s">
        <v>2955</v>
      </c>
      <c r="D250" s="3736" t="s">
        <v>752</v>
      </c>
      <c r="E250" s="3736" t="s">
        <v>752</v>
      </c>
      <c r="F250" s="58" t="s">
        <v>2884</v>
      </c>
      <c r="G250" s="3466">
        <v>5700</v>
      </c>
      <c r="H250" s="3466">
        <v>2246.2950000000001</v>
      </c>
      <c r="I250" s="4406">
        <v>0</v>
      </c>
      <c r="J250" s="3406">
        <v>1453.7049999999999</v>
      </c>
      <c r="K250" s="3365">
        <v>2000</v>
      </c>
      <c r="L250" s="3365">
        <v>0</v>
      </c>
      <c r="M250" s="334">
        <v>0</v>
      </c>
      <c r="N250" s="4407">
        <v>3453.7049999999999</v>
      </c>
      <c r="O250" s="3763">
        <v>0</v>
      </c>
      <c r="P250" s="4408">
        <f t="shared" si="16"/>
        <v>3453.7049999999999</v>
      </c>
      <c r="Q250" s="3498">
        <v>0</v>
      </c>
      <c r="R250" s="3466">
        <v>0</v>
      </c>
      <c r="S250" s="3467">
        <v>0</v>
      </c>
      <c r="T250" s="3468">
        <v>0</v>
      </c>
      <c r="U250" s="553">
        <v>0</v>
      </c>
      <c r="V250" s="3306">
        <v>0</v>
      </c>
      <c r="W250" s="3468">
        <v>0</v>
      </c>
      <c r="X250" s="3468">
        <v>0</v>
      </c>
      <c r="Y250" s="3307">
        <v>0</v>
      </c>
      <c r="Z250" s="3698">
        <v>0</v>
      </c>
      <c r="AA250" s="4409">
        <v>0</v>
      </c>
      <c r="AB250" s="2826" t="s">
        <v>1209</v>
      </c>
      <c r="AC250" s="298" t="s">
        <v>43</v>
      </c>
      <c r="AD250" s="1430" t="s">
        <v>1565</v>
      </c>
      <c r="AE250" s="3502" t="s">
        <v>1283</v>
      </c>
      <c r="AF250" s="3502" t="s">
        <v>1283</v>
      </c>
      <c r="AG250" s="2798">
        <v>1</v>
      </c>
      <c r="AH250" s="383" t="s">
        <v>2943</v>
      </c>
    </row>
    <row r="251" spans="1:34" s="3651" customFormat="1" ht="25.5" outlineLevel="1" x14ac:dyDescent="0.2">
      <c r="A251" s="80" t="s">
        <v>2885</v>
      </c>
      <c r="B251" s="80" t="s">
        <v>1230</v>
      </c>
      <c r="C251" s="93" t="s">
        <v>2955</v>
      </c>
      <c r="D251" s="3751" t="s">
        <v>1538</v>
      </c>
      <c r="E251" s="3751" t="s">
        <v>1538</v>
      </c>
      <c r="F251" s="149" t="s">
        <v>2886</v>
      </c>
      <c r="G251" s="3285">
        <v>4000</v>
      </c>
      <c r="H251" s="3285">
        <v>0</v>
      </c>
      <c r="I251" s="4264">
        <v>0</v>
      </c>
      <c r="J251" s="3407">
        <v>4000</v>
      </c>
      <c r="K251" s="3334">
        <v>0</v>
      </c>
      <c r="L251" s="3334">
        <v>0</v>
      </c>
      <c r="M251" s="2606">
        <v>0</v>
      </c>
      <c r="N251" s="4265">
        <v>4000</v>
      </c>
      <c r="O251" s="3560">
        <v>0</v>
      </c>
      <c r="P251" s="4236">
        <f t="shared" si="16"/>
        <v>4000</v>
      </c>
      <c r="Q251" s="3551">
        <v>0</v>
      </c>
      <c r="R251" s="3285">
        <v>0</v>
      </c>
      <c r="S251" s="4204">
        <v>0</v>
      </c>
      <c r="T251" s="3553">
        <v>0</v>
      </c>
      <c r="U251" s="3552">
        <v>0</v>
      </c>
      <c r="V251" s="3246">
        <v>0</v>
      </c>
      <c r="W251" s="3553">
        <v>0</v>
      </c>
      <c r="X251" s="3553">
        <v>0</v>
      </c>
      <c r="Y251" s="1474">
        <v>0</v>
      </c>
      <c r="Z251" s="3697">
        <v>0</v>
      </c>
      <c r="AA251" s="2801">
        <v>0</v>
      </c>
      <c r="AB251" s="2742" t="s">
        <v>3000</v>
      </c>
      <c r="AC251" s="2613" t="s">
        <v>43</v>
      </c>
      <c r="AD251" s="3444" t="s">
        <v>2366</v>
      </c>
      <c r="AE251" s="3554" t="s">
        <v>1283</v>
      </c>
      <c r="AF251" s="3554" t="s">
        <v>1283</v>
      </c>
      <c r="AG251" s="2613">
        <v>1</v>
      </c>
      <c r="AH251" s="3751" t="s">
        <v>2958</v>
      </c>
    </row>
    <row r="252" spans="1:34" s="3651" customFormat="1" ht="25.5" outlineLevel="1" x14ac:dyDescent="0.2">
      <c r="A252" s="80" t="s">
        <v>2887</v>
      </c>
      <c r="B252" s="80" t="s">
        <v>1230</v>
      </c>
      <c r="C252" s="93" t="s">
        <v>2955</v>
      </c>
      <c r="D252" s="3751" t="s">
        <v>1538</v>
      </c>
      <c r="E252" s="3751" t="s">
        <v>1538</v>
      </c>
      <c r="F252" s="149" t="s">
        <v>2888</v>
      </c>
      <c r="G252" s="3285">
        <v>3000</v>
      </c>
      <c r="H252" s="3285">
        <v>0</v>
      </c>
      <c r="I252" s="4264">
        <v>0</v>
      </c>
      <c r="J252" s="3407">
        <v>0</v>
      </c>
      <c r="K252" s="3334">
        <v>0</v>
      </c>
      <c r="L252" s="3334">
        <v>0</v>
      </c>
      <c r="M252" s="2606">
        <v>3000</v>
      </c>
      <c r="N252" s="3558">
        <v>3000</v>
      </c>
      <c r="O252" s="3560">
        <v>0</v>
      </c>
      <c r="P252" s="3557">
        <f t="shared" si="16"/>
        <v>3000</v>
      </c>
      <c r="Q252" s="3551">
        <v>0</v>
      </c>
      <c r="R252" s="3285">
        <v>0</v>
      </c>
      <c r="S252" s="4204">
        <v>0</v>
      </c>
      <c r="T252" s="3553">
        <v>0</v>
      </c>
      <c r="U252" s="3552">
        <v>0</v>
      </c>
      <c r="V252" s="3246">
        <v>0</v>
      </c>
      <c r="W252" s="3553">
        <v>0</v>
      </c>
      <c r="X252" s="1474">
        <v>0</v>
      </c>
      <c r="Y252" s="1474">
        <v>0</v>
      </c>
      <c r="Z252" s="3697">
        <v>0</v>
      </c>
      <c r="AA252" s="2801">
        <v>0</v>
      </c>
      <c r="AB252" s="2742" t="s">
        <v>2889</v>
      </c>
      <c r="AC252" s="2613" t="s">
        <v>33</v>
      </c>
      <c r="AD252" s="3444" t="s">
        <v>2366</v>
      </c>
      <c r="AE252" s="3554" t="s">
        <v>1282</v>
      </c>
      <c r="AF252" s="3554" t="s">
        <v>1282</v>
      </c>
      <c r="AG252" s="2613">
        <v>1</v>
      </c>
      <c r="AH252" s="3751" t="s">
        <v>2958</v>
      </c>
    </row>
    <row r="253" spans="1:34" s="3651" customFormat="1" ht="26.25" outlineLevel="1" thickBot="1" x14ac:dyDescent="0.25">
      <c r="A253" s="169" t="s">
        <v>2890</v>
      </c>
      <c r="B253" s="169" t="s">
        <v>1230</v>
      </c>
      <c r="C253" s="3450" t="s">
        <v>2955</v>
      </c>
      <c r="D253" s="3738" t="s">
        <v>1538</v>
      </c>
      <c r="E253" s="3738" t="s">
        <v>1538</v>
      </c>
      <c r="F253" s="167" t="s">
        <v>2891</v>
      </c>
      <c r="G253" s="492">
        <v>1000</v>
      </c>
      <c r="H253" s="492">
        <v>0</v>
      </c>
      <c r="I253" s="4266">
        <v>0</v>
      </c>
      <c r="J253" s="3408">
        <v>0</v>
      </c>
      <c r="K253" s="3355">
        <v>0</v>
      </c>
      <c r="L253" s="3355">
        <v>0</v>
      </c>
      <c r="M253" s="1267">
        <v>1000</v>
      </c>
      <c r="N253" s="4267">
        <v>1000</v>
      </c>
      <c r="O253" s="4268">
        <v>0</v>
      </c>
      <c r="P253" s="3484">
        <f t="shared" si="16"/>
        <v>1000</v>
      </c>
      <c r="Q253" s="3310">
        <v>0</v>
      </c>
      <c r="R253" s="492">
        <v>0</v>
      </c>
      <c r="S253" s="3568">
        <v>0</v>
      </c>
      <c r="T253" s="3496">
        <v>0</v>
      </c>
      <c r="U253" s="537">
        <v>0</v>
      </c>
      <c r="V253" s="3568">
        <v>0</v>
      </c>
      <c r="W253" s="3496">
        <v>0</v>
      </c>
      <c r="X253" s="3496">
        <v>0</v>
      </c>
      <c r="Y253" s="3496">
        <v>0</v>
      </c>
      <c r="Z253" s="3689">
        <v>0</v>
      </c>
      <c r="AA253" s="537">
        <v>0</v>
      </c>
      <c r="AB253" s="3457" t="s">
        <v>2892</v>
      </c>
      <c r="AC253" s="405" t="s">
        <v>33</v>
      </c>
      <c r="AD253" s="501" t="s">
        <v>2366</v>
      </c>
      <c r="AE253" s="4269" t="s">
        <v>1282</v>
      </c>
      <c r="AF253" s="4269" t="s">
        <v>1282</v>
      </c>
      <c r="AG253" s="405">
        <v>1</v>
      </c>
      <c r="AH253" s="3738" t="s">
        <v>2958</v>
      </c>
    </row>
    <row r="254" spans="1:34" s="3651" customFormat="1" ht="25.5" outlineLevel="1" x14ac:dyDescent="0.2">
      <c r="A254" s="2859" t="s">
        <v>3296</v>
      </c>
      <c r="B254" s="2859" t="s">
        <v>1230</v>
      </c>
      <c r="C254" s="1223" t="s">
        <v>1230</v>
      </c>
      <c r="D254" s="941" t="s">
        <v>26</v>
      </c>
      <c r="E254" s="941" t="s">
        <v>639</v>
      </c>
      <c r="F254" s="579" t="s">
        <v>3297</v>
      </c>
      <c r="G254" s="4270">
        <v>200000</v>
      </c>
      <c r="H254" s="4270">
        <v>0</v>
      </c>
      <c r="I254" s="4271">
        <v>0</v>
      </c>
      <c r="J254" s="4272">
        <v>0</v>
      </c>
      <c r="K254" s="4273">
        <v>0</v>
      </c>
      <c r="L254" s="4273">
        <v>0</v>
      </c>
      <c r="M254" s="4274">
        <v>5000</v>
      </c>
      <c r="N254" s="4275">
        <v>0</v>
      </c>
      <c r="O254" s="4031">
        <v>5000</v>
      </c>
      <c r="P254" s="4031">
        <f t="shared" si="16"/>
        <v>5000</v>
      </c>
      <c r="Q254" s="1716">
        <v>89250</v>
      </c>
      <c r="R254" s="1715">
        <v>105750</v>
      </c>
      <c r="S254" s="4378">
        <v>0</v>
      </c>
      <c r="T254" s="2919">
        <v>0</v>
      </c>
      <c r="U254" s="1716">
        <v>0</v>
      </c>
      <c r="V254" s="4033">
        <v>168045</v>
      </c>
      <c r="W254" s="4034">
        <v>0</v>
      </c>
      <c r="X254" s="4034">
        <v>0</v>
      </c>
      <c r="Y254" s="4034">
        <v>5000</v>
      </c>
      <c r="Z254" s="4026">
        <v>81522.5</v>
      </c>
      <c r="AA254" s="2920">
        <v>81522.5</v>
      </c>
      <c r="AB254" s="2926" t="s">
        <v>3321</v>
      </c>
      <c r="AC254" s="4276" t="s">
        <v>33</v>
      </c>
      <c r="AD254" s="4277" t="s">
        <v>2796</v>
      </c>
      <c r="AE254" s="4278" t="s">
        <v>1282</v>
      </c>
      <c r="AF254" s="4278" t="s">
        <v>1282</v>
      </c>
      <c r="AG254" s="4276">
        <v>2</v>
      </c>
      <c r="AH254" s="3047" t="s">
        <v>2924</v>
      </c>
    </row>
    <row r="255" spans="1:34" s="3652" customFormat="1" ht="15.75" outlineLevel="1" thickBot="1" x14ac:dyDescent="0.3">
      <c r="A255" s="174" t="s">
        <v>1361</v>
      </c>
      <c r="B255" s="169" t="s">
        <v>1361</v>
      </c>
      <c r="C255" s="3450" t="s">
        <v>1361</v>
      </c>
      <c r="D255" s="3529" t="s">
        <v>1361</v>
      </c>
      <c r="E255" s="3529" t="s">
        <v>1361</v>
      </c>
      <c r="F255" s="3571" t="s">
        <v>1361</v>
      </c>
      <c r="G255" s="3564" t="s">
        <v>1361</v>
      </c>
      <c r="H255" s="3564" t="s">
        <v>1361</v>
      </c>
      <c r="I255" s="3570" t="s">
        <v>1361</v>
      </c>
      <c r="J255" s="3238" t="s">
        <v>1361</v>
      </c>
      <c r="K255" s="2823" t="s">
        <v>1361</v>
      </c>
      <c r="L255" s="2823" t="s">
        <v>1361</v>
      </c>
      <c r="M255" s="3457" t="s">
        <v>1361</v>
      </c>
      <c r="N255" s="3457" t="s">
        <v>1361</v>
      </c>
      <c r="O255" s="3457" t="s">
        <v>1361</v>
      </c>
      <c r="P255" s="3457" t="s">
        <v>1361</v>
      </c>
      <c r="Q255" s="3566" t="s">
        <v>1361</v>
      </c>
      <c r="R255" s="3564" t="s">
        <v>1361</v>
      </c>
      <c r="S255" s="3570" t="s">
        <v>1361</v>
      </c>
      <c r="T255" s="3572" t="s">
        <v>1361</v>
      </c>
      <c r="U255" s="3565" t="s">
        <v>1361</v>
      </c>
      <c r="V255" s="3570" t="s">
        <v>1361</v>
      </c>
      <c r="W255" s="3572" t="s">
        <v>1361</v>
      </c>
      <c r="X255" s="3572" t="s">
        <v>1361</v>
      </c>
      <c r="Y255" s="3596" t="s">
        <v>1361</v>
      </c>
      <c r="Z255" s="3596" t="s">
        <v>1361</v>
      </c>
      <c r="AA255" s="3573" t="s">
        <v>1361</v>
      </c>
      <c r="AB255" s="3574" t="s">
        <v>1361</v>
      </c>
      <c r="AC255" s="3575" t="s">
        <v>1361</v>
      </c>
      <c r="AD255" s="3576" t="s">
        <v>1361</v>
      </c>
      <c r="AE255" s="3576" t="s">
        <v>1361</v>
      </c>
      <c r="AF255" s="3576" t="s">
        <v>1361</v>
      </c>
      <c r="AG255" s="3575" t="s">
        <v>1361</v>
      </c>
      <c r="AH255" s="2829" t="s">
        <v>1361</v>
      </c>
    </row>
    <row r="256" spans="1:34" ht="26.25" thickBot="1" x14ac:dyDescent="0.3">
      <c r="A256" s="3530" t="s">
        <v>1209</v>
      </c>
      <c r="B256" s="3628" t="s">
        <v>1209</v>
      </c>
      <c r="C256" s="3629" t="s">
        <v>1209</v>
      </c>
      <c r="D256" s="3531" t="s">
        <v>1209</v>
      </c>
      <c r="E256" s="3531" t="s">
        <v>1209</v>
      </c>
      <c r="F256" s="3532" t="s">
        <v>1458</v>
      </c>
      <c r="G256" s="3361">
        <f>SUM(G224:G255)</f>
        <v>532205.48430000001</v>
      </c>
      <c r="H256" s="3361">
        <f t="shared" ref="H256:AA256" si="17">SUM(H224:H255)</f>
        <v>34071.473019999998</v>
      </c>
      <c r="I256" s="4320">
        <f t="shared" si="17"/>
        <v>0</v>
      </c>
      <c r="J256" s="2814">
        <f t="shared" si="17"/>
        <v>12507.872009999999</v>
      </c>
      <c r="K256" s="2815">
        <f t="shared" si="17"/>
        <v>11046.975770000001</v>
      </c>
      <c r="L256" s="2815">
        <f t="shared" si="17"/>
        <v>10200</v>
      </c>
      <c r="M256" s="4296">
        <f t="shared" si="17"/>
        <v>58159</v>
      </c>
      <c r="N256" s="3361">
        <f t="shared" si="17"/>
        <v>202430.52698</v>
      </c>
      <c r="O256" s="3361">
        <f t="shared" si="17"/>
        <v>-110516.6792</v>
      </c>
      <c r="P256" s="3361">
        <f t="shared" si="17"/>
        <v>91913.847779999996</v>
      </c>
      <c r="Q256" s="3361">
        <f t="shared" si="17"/>
        <v>201848.52499999999</v>
      </c>
      <c r="R256" s="3361">
        <f t="shared" si="17"/>
        <v>194250</v>
      </c>
      <c r="S256" s="4320">
        <f t="shared" si="17"/>
        <v>325.47300000000001</v>
      </c>
      <c r="T256" s="4321">
        <f t="shared" si="17"/>
        <v>9345.7350000000006</v>
      </c>
      <c r="U256" s="4296">
        <f t="shared" si="17"/>
        <v>450.43049999999999</v>
      </c>
      <c r="V256" s="2814">
        <f t="shared" si="17"/>
        <v>255045</v>
      </c>
      <c r="W256" s="2815">
        <f t="shared" si="17"/>
        <v>0</v>
      </c>
      <c r="X256" s="2815">
        <f t="shared" si="17"/>
        <v>0</v>
      </c>
      <c r="Y256" s="2815">
        <f t="shared" si="17"/>
        <v>11500</v>
      </c>
      <c r="Z256" s="2815">
        <f t="shared" si="17"/>
        <v>126522.5</v>
      </c>
      <c r="AA256" s="4296">
        <f t="shared" si="17"/>
        <v>117022.5</v>
      </c>
      <c r="AB256" s="3630" t="s">
        <v>3149</v>
      </c>
      <c r="AC256" s="3629" t="s">
        <v>1209</v>
      </c>
      <c r="AD256" s="3534" t="s">
        <v>1209</v>
      </c>
      <c r="AE256" s="3535" t="s">
        <v>1209</v>
      </c>
      <c r="AF256" s="3536" t="s">
        <v>1209</v>
      </c>
      <c r="AG256" s="3536" t="s">
        <v>1209</v>
      </c>
      <c r="AH256" s="4419" t="s">
        <v>1209</v>
      </c>
    </row>
    <row r="257" spans="1:34" s="3653" customFormat="1" ht="26.25" outlineLevel="1" thickBot="1" x14ac:dyDescent="0.3">
      <c r="A257" s="3768" t="s">
        <v>3105</v>
      </c>
      <c r="B257" s="3769" t="s">
        <v>812</v>
      </c>
      <c r="C257" s="3770" t="s">
        <v>1264</v>
      </c>
      <c r="D257" s="3771" t="s">
        <v>26</v>
      </c>
      <c r="E257" s="3771" t="s">
        <v>26</v>
      </c>
      <c r="F257" s="3772" t="s">
        <v>813</v>
      </c>
      <c r="G257" s="3773">
        <v>31100</v>
      </c>
      <c r="H257" s="3773">
        <v>4655.6922799999993</v>
      </c>
      <c r="I257" s="3774">
        <v>0</v>
      </c>
      <c r="J257" s="3775">
        <v>0</v>
      </c>
      <c r="K257" s="3776">
        <v>3000</v>
      </c>
      <c r="L257" s="3776">
        <v>3000</v>
      </c>
      <c r="M257" s="3777">
        <v>5736.3077199999998</v>
      </c>
      <c r="N257" s="3778">
        <v>26444.307720000001</v>
      </c>
      <c r="O257" s="3779">
        <v>-14708</v>
      </c>
      <c r="P257" s="3779">
        <f>N257+O257</f>
        <v>11736.307720000001</v>
      </c>
      <c r="Q257" s="3780">
        <v>10000</v>
      </c>
      <c r="R257" s="3780">
        <v>4708</v>
      </c>
      <c r="S257" s="3775">
        <v>0</v>
      </c>
      <c r="T257" s="3776">
        <v>0</v>
      </c>
      <c r="U257" s="3497">
        <v>0</v>
      </c>
      <c r="V257" s="3781">
        <v>0</v>
      </c>
      <c r="W257" s="3782">
        <v>0</v>
      </c>
      <c r="X257" s="3782">
        <v>0</v>
      </c>
      <c r="Y257" s="3782">
        <v>0</v>
      </c>
      <c r="Z257" s="3782">
        <v>0</v>
      </c>
      <c r="AA257" s="3783">
        <v>0</v>
      </c>
      <c r="AB257" s="3482" t="s">
        <v>3156</v>
      </c>
      <c r="AC257" s="3770" t="s">
        <v>28</v>
      </c>
      <c r="AD257" s="3784" t="s">
        <v>1227</v>
      </c>
      <c r="AE257" s="3784" t="s">
        <v>1227</v>
      </c>
      <c r="AF257" s="3784" t="s">
        <v>1227</v>
      </c>
      <c r="AG257" s="3784" t="s">
        <v>1447</v>
      </c>
      <c r="AH257" s="3771" t="s">
        <v>1230</v>
      </c>
    </row>
    <row r="258" spans="1:34" ht="45" outlineLevel="1" x14ac:dyDescent="0.25">
      <c r="A258" s="3712" t="s">
        <v>3106</v>
      </c>
      <c r="B258" s="3715" t="s">
        <v>24</v>
      </c>
      <c r="C258" s="3736" t="s">
        <v>25</v>
      </c>
      <c r="D258" s="3713" t="s">
        <v>26</v>
      </c>
      <c r="E258" s="3713" t="s">
        <v>26</v>
      </c>
      <c r="F258" s="3742" t="s">
        <v>27</v>
      </c>
      <c r="G258" s="3746">
        <v>4253.6847199999993</v>
      </c>
      <c r="H258" s="3746">
        <v>1989.24</v>
      </c>
      <c r="I258" s="3766">
        <v>0</v>
      </c>
      <c r="J258" s="3755">
        <v>10.76</v>
      </c>
      <c r="K258" s="3718">
        <v>0</v>
      </c>
      <c r="L258" s="3721">
        <v>2253.6847200000002</v>
      </c>
      <c r="M258" s="3735">
        <v>0</v>
      </c>
      <c r="N258" s="3723">
        <v>2264.4447200000004</v>
      </c>
      <c r="O258" s="3763">
        <v>0</v>
      </c>
      <c r="P258" s="3759">
        <f>N258+O258</f>
        <v>2264.4447200000004</v>
      </c>
      <c r="Q258" s="3745">
        <v>0</v>
      </c>
      <c r="R258" s="3745">
        <v>0</v>
      </c>
      <c r="S258" s="3755">
        <v>0</v>
      </c>
      <c r="T258" s="3730">
        <v>0</v>
      </c>
      <c r="U258" s="3735">
        <v>0</v>
      </c>
      <c r="V258" s="3732">
        <v>0</v>
      </c>
      <c r="W258" s="3721">
        <v>0</v>
      </c>
      <c r="X258" s="3721">
        <v>0</v>
      </c>
      <c r="Y258" s="3721">
        <v>0</v>
      </c>
      <c r="Z258" s="3765">
        <v>0</v>
      </c>
      <c r="AA258" s="3737">
        <v>0</v>
      </c>
      <c r="AB258" s="3722" t="s">
        <v>1209</v>
      </c>
      <c r="AC258" s="3736" t="s">
        <v>43</v>
      </c>
      <c r="AD258" s="3719" t="s">
        <v>1227</v>
      </c>
      <c r="AE258" s="3729" t="s">
        <v>1283</v>
      </c>
      <c r="AF258" s="3729" t="s">
        <v>1283</v>
      </c>
      <c r="AG258" s="3729" t="s">
        <v>1447</v>
      </c>
      <c r="AH258" s="3713" t="s">
        <v>1230</v>
      </c>
    </row>
    <row r="259" spans="1:34" ht="25.5" outlineLevel="1" x14ac:dyDescent="0.25">
      <c r="A259" s="3727" t="s">
        <v>3107</v>
      </c>
      <c r="B259" s="3752" t="s">
        <v>1210</v>
      </c>
      <c r="C259" s="3747" t="s">
        <v>1264</v>
      </c>
      <c r="D259" s="3751" t="s">
        <v>26</v>
      </c>
      <c r="E259" s="3751" t="s">
        <v>26</v>
      </c>
      <c r="F259" s="3743" t="s">
        <v>30</v>
      </c>
      <c r="G259" s="3748">
        <v>23314.2</v>
      </c>
      <c r="H259" s="3748">
        <v>0</v>
      </c>
      <c r="I259" s="3767">
        <v>0</v>
      </c>
      <c r="J259" s="3756">
        <v>314.2</v>
      </c>
      <c r="K259" s="3754">
        <v>0</v>
      </c>
      <c r="L259" s="3754">
        <v>0</v>
      </c>
      <c r="M259" s="3749">
        <v>23000</v>
      </c>
      <c r="N259" s="3764">
        <v>23314.2</v>
      </c>
      <c r="O259" s="3763">
        <v>0</v>
      </c>
      <c r="P259" s="3760">
        <f>N259+O259</f>
        <v>23314.2</v>
      </c>
      <c r="Q259" s="3757">
        <v>0</v>
      </c>
      <c r="R259" s="3757">
        <v>0</v>
      </c>
      <c r="S259" s="3756">
        <v>0</v>
      </c>
      <c r="T259" s="3754">
        <v>0</v>
      </c>
      <c r="U259" s="3749">
        <v>0</v>
      </c>
      <c r="V259" s="3731">
        <v>0</v>
      </c>
      <c r="W259" s="3724">
        <v>0</v>
      </c>
      <c r="X259" s="3721">
        <v>0</v>
      </c>
      <c r="Y259" s="3721">
        <v>0</v>
      </c>
      <c r="Z259" s="3733">
        <v>0</v>
      </c>
      <c r="AA259" s="3750">
        <v>0</v>
      </c>
      <c r="AB259" s="3744" t="s">
        <v>1209</v>
      </c>
      <c r="AC259" s="3747" t="s">
        <v>33</v>
      </c>
      <c r="AD259" s="3753" t="s">
        <v>1227</v>
      </c>
      <c r="AE259" s="3753" t="s">
        <v>1283</v>
      </c>
      <c r="AF259" s="3753" t="s">
        <v>1283</v>
      </c>
      <c r="AG259" s="3753" t="s">
        <v>1452</v>
      </c>
      <c r="AH259" s="3713" t="s">
        <v>1230</v>
      </c>
    </row>
    <row r="260" spans="1:34" s="3647" customFormat="1" ht="15.75" outlineLevel="1" thickBot="1" x14ac:dyDescent="0.3">
      <c r="A260" s="327" t="s">
        <v>1361</v>
      </c>
      <c r="B260" s="328" t="s">
        <v>1361</v>
      </c>
      <c r="C260" s="3460" t="s">
        <v>1361</v>
      </c>
      <c r="D260" s="3728" t="s">
        <v>1361</v>
      </c>
      <c r="E260" s="3728" t="s">
        <v>1361</v>
      </c>
      <c r="F260" s="1192" t="s">
        <v>1361</v>
      </c>
      <c r="G260" s="3419" t="s">
        <v>1361</v>
      </c>
      <c r="H260" s="3418" t="s">
        <v>1361</v>
      </c>
      <c r="I260" s="3707" t="s">
        <v>1361</v>
      </c>
      <c r="J260" s="3238" t="s">
        <v>1361</v>
      </c>
      <c r="K260" s="2823" t="s">
        <v>1361</v>
      </c>
      <c r="L260" s="2824" t="s">
        <v>1361</v>
      </c>
      <c r="M260" s="2624" t="s">
        <v>1361</v>
      </c>
      <c r="N260" s="2624" t="s">
        <v>1361</v>
      </c>
      <c r="O260" s="2624" t="s">
        <v>1361</v>
      </c>
      <c r="P260" s="2624" t="s">
        <v>1361</v>
      </c>
      <c r="Q260" s="3067" t="s">
        <v>1361</v>
      </c>
      <c r="R260" s="1243" t="s">
        <v>1361</v>
      </c>
      <c r="S260" s="3054" t="s">
        <v>1361</v>
      </c>
      <c r="T260" s="2824" t="s">
        <v>1361</v>
      </c>
      <c r="U260" s="2822" t="s">
        <v>1361</v>
      </c>
      <c r="V260" s="3054" t="s">
        <v>1361</v>
      </c>
      <c r="W260" s="2824" t="s">
        <v>1361</v>
      </c>
      <c r="X260" s="2825" t="s">
        <v>1361</v>
      </c>
      <c r="Y260" s="2825" t="s">
        <v>1361</v>
      </c>
      <c r="Z260" s="2828" t="s">
        <v>1361</v>
      </c>
      <c r="AA260" s="2624" t="s">
        <v>1361</v>
      </c>
      <c r="AB260" s="2624" t="s">
        <v>1361</v>
      </c>
      <c r="AC260" s="3460" t="s">
        <v>1361</v>
      </c>
      <c r="AD260" s="350" t="s">
        <v>1361</v>
      </c>
      <c r="AE260" s="350" t="s">
        <v>1361</v>
      </c>
      <c r="AF260" s="327" t="s">
        <v>1361</v>
      </c>
      <c r="AG260" s="327" t="s">
        <v>1361</v>
      </c>
      <c r="AH260" s="3728" t="s">
        <v>1361</v>
      </c>
    </row>
    <row r="261" spans="1:34" ht="32.25" thickBot="1" x14ac:dyDescent="0.3">
      <c r="A261" s="2310" t="s">
        <v>1209</v>
      </c>
      <c r="B261" s="3627" t="s">
        <v>1209</v>
      </c>
      <c r="C261" s="140" t="s">
        <v>1209</v>
      </c>
      <c r="D261" s="3717" t="s">
        <v>1209</v>
      </c>
      <c r="E261" s="3717" t="s">
        <v>1209</v>
      </c>
      <c r="F261" s="2620" t="s">
        <v>2876</v>
      </c>
      <c r="G261" s="3741">
        <f t="shared" ref="G261:AA261" si="18">SUM(G257:G260)</f>
        <v>58667.884720000002</v>
      </c>
      <c r="H261" s="3741">
        <f t="shared" si="18"/>
        <v>6644.9322799999991</v>
      </c>
      <c r="I261" s="2814">
        <f t="shared" si="18"/>
        <v>0</v>
      </c>
      <c r="J261" s="2814">
        <f t="shared" si="18"/>
        <v>324.95999999999998</v>
      </c>
      <c r="K261" s="2815">
        <f t="shared" si="18"/>
        <v>3000</v>
      </c>
      <c r="L261" s="2815">
        <f t="shared" si="18"/>
        <v>5253.6847200000002</v>
      </c>
      <c r="M261" s="3453">
        <f t="shared" si="18"/>
        <v>28736.307720000001</v>
      </c>
      <c r="N261" s="3741">
        <f t="shared" si="18"/>
        <v>52022.952440000001</v>
      </c>
      <c r="O261" s="3741">
        <f t="shared" si="18"/>
        <v>-14708</v>
      </c>
      <c r="P261" s="3741">
        <f t="shared" si="18"/>
        <v>37314.952440000001</v>
      </c>
      <c r="Q261" s="3741">
        <f t="shared" si="18"/>
        <v>10000</v>
      </c>
      <c r="R261" s="3741">
        <f t="shared" si="18"/>
        <v>4708</v>
      </c>
      <c r="S261" s="2814">
        <f t="shared" si="18"/>
        <v>0</v>
      </c>
      <c r="T261" s="2815">
        <f t="shared" si="18"/>
        <v>0</v>
      </c>
      <c r="U261" s="3453">
        <f t="shared" si="18"/>
        <v>0</v>
      </c>
      <c r="V261" s="2814">
        <f t="shared" si="18"/>
        <v>0</v>
      </c>
      <c r="W261" s="2815">
        <f t="shared" si="18"/>
        <v>0</v>
      </c>
      <c r="X261" s="2815">
        <f t="shared" si="18"/>
        <v>0</v>
      </c>
      <c r="Y261" s="2815">
        <f t="shared" si="18"/>
        <v>0</v>
      </c>
      <c r="Z261" s="2815">
        <f t="shared" si="18"/>
        <v>0</v>
      </c>
      <c r="AA261" s="3453">
        <f t="shared" si="18"/>
        <v>0</v>
      </c>
      <c r="AB261" s="165" t="s">
        <v>3150</v>
      </c>
      <c r="AC261" s="3758" t="s">
        <v>1209</v>
      </c>
      <c r="AD261" s="3473" t="s">
        <v>1209</v>
      </c>
      <c r="AE261" s="3474" t="s">
        <v>1209</v>
      </c>
      <c r="AF261" s="604" t="s">
        <v>1209</v>
      </c>
      <c r="AG261" s="604" t="s">
        <v>1209</v>
      </c>
      <c r="AH261" s="4419" t="s">
        <v>1209</v>
      </c>
    </row>
    <row r="262" spans="1:34" ht="26.25" outlineLevel="1" thickBot="1" x14ac:dyDescent="0.3">
      <c r="A262" s="3520" t="s">
        <v>3108</v>
      </c>
      <c r="B262" s="3435" t="s">
        <v>82</v>
      </c>
      <c r="C262" s="62" t="s">
        <v>1716</v>
      </c>
      <c r="D262" s="62" t="s">
        <v>83</v>
      </c>
      <c r="E262" s="656" t="s">
        <v>83</v>
      </c>
      <c r="F262" s="3097" t="s">
        <v>84</v>
      </c>
      <c r="G262" s="184">
        <v>3828.72</v>
      </c>
      <c r="H262" s="3234">
        <v>2964.35</v>
      </c>
      <c r="I262" s="4131">
        <v>0</v>
      </c>
      <c r="J262" s="3436">
        <v>0</v>
      </c>
      <c r="K262" s="3437">
        <v>0</v>
      </c>
      <c r="L262" s="3437">
        <v>0</v>
      </c>
      <c r="M262" s="2609">
        <v>864.37</v>
      </c>
      <c r="N262" s="3521">
        <v>864.37</v>
      </c>
      <c r="O262" s="3763">
        <v>0</v>
      </c>
      <c r="P262" s="3486">
        <f t="shared" ref="P262:P269" si="19">N262+O262</f>
        <v>864.37</v>
      </c>
      <c r="Q262" s="3561">
        <v>0</v>
      </c>
      <c r="R262" s="3287">
        <v>0</v>
      </c>
      <c r="S262" s="3436">
        <v>0</v>
      </c>
      <c r="T262" s="3437">
        <v>0</v>
      </c>
      <c r="U262" s="2609">
        <v>0</v>
      </c>
      <c r="V262" s="3615">
        <v>0</v>
      </c>
      <c r="W262" s="3437">
        <v>0</v>
      </c>
      <c r="X262" s="3601">
        <v>0</v>
      </c>
      <c r="Y262" s="3601">
        <v>0</v>
      </c>
      <c r="Z262" s="3687">
        <v>0</v>
      </c>
      <c r="AA262" s="2609">
        <v>0</v>
      </c>
      <c r="AB262" s="658" t="s">
        <v>1209</v>
      </c>
      <c r="AC262" s="62" t="s">
        <v>43</v>
      </c>
      <c r="AD262" s="3044" t="s">
        <v>2795</v>
      </c>
      <c r="AE262" s="3044" t="s">
        <v>1283</v>
      </c>
      <c r="AF262" s="3274" t="s">
        <v>1283</v>
      </c>
      <c r="AG262" s="3044" t="s">
        <v>1447</v>
      </c>
      <c r="AH262" s="656" t="s">
        <v>1230</v>
      </c>
    </row>
    <row r="263" spans="1:34" ht="26.25" outlineLevel="1" thickBot="1" x14ac:dyDescent="0.3">
      <c r="A263" s="3520" t="s">
        <v>3109</v>
      </c>
      <c r="B263" s="2608" t="s">
        <v>1230</v>
      </c>
      <c r="C263" s="62" t="s">
        <v>1485</v>
      </c>
      <c r="D263" s="656" t="s">
        <v>83</v>
      </c>
      <c r="E263" s="656" t="s">
        <v>83</v>
      </c>
      <c r="F263" s="3097" t="s">
        <v>1303</v>
      </c>
      <c r="G263" s="184">
        <v>500</v>
      </c>
      <c r="H263" s="3234">
        <v>0</v>
      </c>
      <c r="I263" s="4131">
        <v>0</v>
      </c>
      <c r="J263" s="3436">
        <v>0</v>
      </c>
      <c r="K263" s="3437">
        <v>0</v>
      </c>
      <c r="L263" s="3437">
        <v>0</v>
      </c>
      <c r="M263" s="2609">
        <v>500</v>
      </c>
      <c r="N263" s="3521">
        <v>500</v>
      </c>
      <c r="O263" s="3541">
        <v>0</v>
      </c>
      <c r="P263" s="3486">
        <f t="shared" si="19"/>
        <v>500</v>
      </c>
      <c r="Q263" s="3561">
        <v>0</v>
      </c>
      <c r="R263" s="3287">
        <v>0</v>
      </c>
      <c r="S263" s="3436">
        <v>0</v>
      </c>
      <c r="T263" s="3437">
        <v>0</v>
      </c>
      <c r="U263" s="2609">
        <v>0</v>
      </c>
      <c r="V263" s="3615">
        <v>0</v>
      </c>
      <c r="W263" s="3437">
        <v>0</v>
      </c>
      <c r="X263" s="3601">
        <v>0</v>
      </c>
      <c r="Y263" s="3601">
        <v>0</v>
      </c>
      <c r="Z263" s="3687">
        <v>0</v>
      </c>
      <c r="AA263" s="2609">
        <v>0</v>
      </c>
      <c r="AB263" s="658" t="s">
        <v>1209</v>
      </c>
      <c r="AC263" s="62" t="s">
        <v>33</v>
      </c>
      <c r="AD263" s="3044" t="s">
        <v>2435</v>
      </c>
      <c r="AE263" s="3044" t="s">
        <v>1282</v>
      </c>
      <c r="AF263" s="3044" t="s">
        <v>1282</v>
      </c>
      <c r="AG263" s="3044" t="s">
        <v>1452</v>
      </c>
      <c r="AH263" s="656" t="s">
        <v>1230</v>
      </c>
    </row>
    <row r="264" spans="1:34" ht="30" outlineLevel="1" x14ac:dyDescent="0.25">
      <c r="A264" s="3439" t="s">
        <v>2912</v>
      </c>
      <c r="B264" s="3449" t="s">
        <v>1230</v>
      </c>
      <c r="C264" s="3447" t="s">
        <v>2955</v>
      </c>
      <c r="D264" s="3448" t="s">
        <v>80</v>
      </c>
      <c r="E264" s="3448" t="s">
        <v>80</v>
      </c>
      <c r="F264" s="219" t="s">
        <v>2913</v>
      </c>
      <c r="G264" s="3386">
        <v>309.76</v>
      </c>
      <c r="H264" s="4448">
        <v>0</v>
      </c>
      <c r="I264" s="4306">
        <v>0</v>
      </c>
      <c r="J264" s="3442">
        <v>309.76</v>
      </c>
      <c r="K264" s="3677">
        <v>0</v>
      </c>
      <c r="L264" s="4449">
        <v>0</v>
      </c>
      <c r="M264" s="3416">
        <v>0</v>
      </c>
      <c r="N264" s="3375">
        <v>309.76</v>
      </c>
      <c r="O264" s="4450">
        <v>0</v>
      </c>
      <c r="P264" s="3487">
        <f t="shared" si="19"/>
        <v>309.76</v>
      </c>
      <c r="Q264" s="4451">
        <v>0</v>
      </c>
      <c r="R264" s="3288">
        <v>0</v>
      </c>
      <c r="S264" s="3442">
        <v>0</v>
      </c>
      <c r="T264" s="3458">
        <v>0</v>
      </c>
      <c r="U264" s="3362">
        <v>0</v>
      </c>
      <c r="V264" s="3364">
        <v>0</v>
      </c>
      <c r="W264" s="3458">
        <v>0</v>
      </c>
      <c r="X264" s="3458">
        <v>0</v>
      </c>
      <c r="Y264" s="3458">
        <v>0</v>
      </c>
      <c r="Z264" s="3677">
        <v>0</v>
      </c>
      <c r="AA264" s="3362">
        <v>0</v>
      </c>
      <c r="AB264" s="168" t="s">
        <v>1209</v>
      </c>
      <c r="AC264" s="3447" t="s">
        <v>43</v>
      </c>
      <c r="AD264" s="128" t="s">
        <v>2366</v>
      </c>
      <c r="AE264" s="128" t="s">
        <v>1283</v>
      </c>
      <c r="AF264" s="128" t="s">
        <v>1283</v>
      </c>
      <c r="AG264" s="128" t="s">
        <v>1447</v>
      </c>
      <c r="AH264" s="3713" t="s">
        <v>1230</v>
      </c>
    </row>
    <row r="265" spans="1:34" ht="30" outlineLevel="1" x14ac:dyDescent="0.25">
      <c r="A265" s="393" t="s">
        <v>2914</v>
      </c>
      <c r="B265" s="3752" t="s">
        <v>1230</v>
      </c>
      <c r="C265" s="3747" t="s">
        <v>2955</v>
      </c>
      <c r="D265" s="3751" t="s">
        <v>80</v>
      </c>
      <c r="E265" s="3751" t="s">
        <v>80</v>
      </c>
      <c r="F265" s="3743" t="s">
        <v>2915</v>
      </c>
      <c r="G265" s="3748">
        <v>702.72699999999998</v>
      </c>
      <c r="H265" s="2611">
        <v>0</v>
      </c>
      <c r="I265" s="4146">
        <v>0</v>
      </c>
      <c r="J265" s="3731">
        <v>702.72699999999998</v>
      </c>
      <c r="K265" s="3724">
        <v>0</v>
      </c>
      <c r="L265" s="3724">
        <v>0</v>
      </c>
      <c r="M265" s="3750">
        <v>0</v>
      </c>
      <c r="N265" s="3465">
        <v>702.72699999999998</v>
      </c>
      <c r="O265" s="4280">
        <v>0</v>
      </c>
      <c r="P265" s="3760">
        <f t="shared" si="19"/>
        <v>702.72699999999998</v>
      </c>
      <c r="Q265" s="3367">
        <v>0</v>
      </c>
      <c r="R265" s="3757">
        <v>0</v>
      </c>
      <c r="S265" s="3731">
        <v>0</v>
      </c>
      <c r="T265" s="3724">
        <v>0</v>
      </c>
      <c r="U265" s="3750">
        <v>0</v>
      </c>
      <c r="V265" s="3342">
        <v>0</v>
      </c>
      <c r="W265" s="3724">
        <v>0</v>
      </c>
      <c r="X265" s="3724">
        <v>0</v>
      </c>
      <c r="Y265" s="3724">
        <v>0</v>
      </c>
      <c r="Z265" s="3733">
        <v>0</v>
      </c>
      <c r="AA265" s="3750">
        <v>0</v>
      </c>
      <c r="AB265" s="57" t="s">
        <v>1209</v>
      </c>
      <c r="AC265" s="3747" t="s">
        <v>2820</v>
      </c>
      <c r="AD265" s="3753" t="s">
        <v>2366</v>
      </c>
      <c r="AE265" s="3753" t="s">
        <v>1283</v>
      </c>
      <c r="AF265" s="3753" t="s">
        <v>1283</v>
      </c>
      <c r="AG265" s="3753" t="s">
        <v>1447</v>
      </c>
      <c r="AH265" s="3751" t="s">
        <v>1230</v>
      </c>
    </row>
    <row r="266" spans="1:34" ht="26.25" outlineLevel="1" thickBot="1" x14ac:dyDescent="0.3">
      <c r="A266" s="4281" t="s">
        <v>2916</v>
      </c>
      <c r="B266" s="4282" t="s">
        <v>1230</v>
      </c>
      <c r="C266" s="3263" t="s">
        <v>2955</v>
      </c>
      <c r="D266" s="3818" t="s">
        <v>80</v>
      </c>
      <c r="E266" s="3818" t="s">
        <v>80</v>
      </c>
      <c r="F266" s="3819" t="s">
        <v>3298</v>
      </c>
      <c r="G266" s="3090">
        <v>88</v>
      </c>
      <c r="H266" s="3261">
        <v>0</v>
      </c>
      <c r="I266" s="4283">
        <v>0</v>
      </c>
      <c r="J266" s="3822">
        <v>0</v>
      </c>
      <c r="K266" s="3823">
        <v>0</v>
      </c>
      <c r="L266" s="3823">
        <v>0</v>
      </c>
      <c r="M266" s="3825">
        <v>88</v>
      </c>
      <c r="N266" s="3825">
        <v>88</v>
      </c>
      <c r="O266" s="3850">
        <v>0</v>
      </c>
      <c r="P266" s="3850">
        <f t="shared" si="19"/>
        <v>88</v>
      </c>
      <c r="Q266" s="4284">
        <v>0</v>
      </c>
      <c r="R266" s="3828">
        <v>0</v>
      </c>
      <c r="S266" s="3822">
        <v>0</v>
      </c>
      <c r="T266" s="3823">
        <v>0</v>
      </c>
      <c r="U266" s="3825">
        <v>0</v>
      </c>
      <c r="V266" s="4285">
        <v>0</v>
      </c>
      <c r="W266" s="3823">
        <v>0</v>
      </c>
      <c r="X266" s="3823">
        <v>0</v>
      </c>
      <c r="Y266" s="3823">
        <v>0</v>
      </c>
      <c r="Z266" s="3824">
        <v>0</v>
      </c>
      <c r="AA266" s="3825">
        <v>0</v>
      </c>
      <c r="AB266" s="3260" t="s">
        <v>3299</v>
      </c>
      <c r="AC266" s="3263" t="s">
        <v>33</v>
      </c>
      <c r="AD266" s="3593" t="s">
        <v>2709</v>
      </c>
      <c r="AE266" s="3593" t="s">
        <v>1283</v>
      </c>
      <c r="AF266" s="3593" t="s">
        <v>1282</v>
      </c>
      <c r="AG266" s="3593" t="s">
        <v>1447</v>
      </c>
      <c r="AH266" s="3818" t="s">
        <v>2959</v>
      </c>
    </row>
    <row r="267" spans="1:34" ht="30" outlineLevel="1" x14ac:dyDescent="0.25">
      <c r="A267" s="4286" t="s">
        <v>3300</v>
      </c>
      <c r="B267" s="3046" t="s">
        <v>1230</v>
      </c>
      <c r="C267" s="932" t="s">
        <v>1209</v>
      </c>
      <c r="D267" s="3049" t="s">
        <v>80</v>
      </c>
      <c r="E267" s="3049" t="s">
        <v>80</v>
      </c>
      <c r="F267" s="4287" t="s">
        <v>3301</v>
      </c>
      <c r="G267" s="4288">
        <v>90</v>
      </c>
      <c r="H267" s="3235">
        <v>0</v>
      </c>
      <c r="I267" s="4307">
        <v>0</v>
      </c>
      <c r="J267" s="3918">
        <v>0</v>
      </c>
      <c r="K267" s="3919">
        <v>0</v>
      </c>
      <c r="L267" s="3919">
        <v>0</v>
      </c>
      <c r="M267" s="3920">
        <v>90</v>
      </c>
      <c r="N267" s="4289">
        <v>0</v>
      </c>
      <c r="O267" s="4290">
        <v>90</v>
      </c>
      <c r="P267" s="4290">
        <f t="shared" si="19"/>
        <v>90</v>
      </c>
      <c r="Q267" s="3924">
        <v>0</v>
      </c>
      <c r="R267" s="4289">
        <v>0</v>
      </c>
      <c r="S267" s="3918">
        <v>0</v>
      </c>
      <c r="T267" s="3919">
        <v>0</v>
      </c>
      <c r="U267" s="3922">
        <v>0</v>
      </c>
      <c r="V267" s="3926">
        <v>0</v>
      </c>
      <c r="W267" s="3919">
        <v>0</v>
      </c>
      <c r="X267" s="3927">
        <v>0</v>
      </c>
      <c r="Y267" s="3927">
        <v>0</v>
      </c>
      <c r="Z267" s="3927">
        <v>0</v>
      </c>
      <c r="AA267" s="3925">
        <v>0</v>
      </c>
      <c r="AB267" s="649" t="s">
        <v>3302</v>
      </c>
      <c r="AC267" s="932" t="s">
        <v>33</v>
      </c>
      <c r="AD267" s="3929" t="s">
        <v>2709</v>
      </c>
      <c r="AE267" s="3048" t="s">
        <v>1282</v>
      </c>
      <c r="AF267" s="3048" t="s">
        <v>1282</v>
      </c>
      <c r="AG267" s="3094" t="s">
        <v>1447</v>
      </c>
      <c r="AH267" s="3047" t="s">
        <v>3303</v>
      </c>
    </row>
    <row r="268" spans="1:34" ht="30" outlineLevel="1" x14ac:dyDescent="0.25">
      <c r="A268" s="4291" t="s">
        <v>3304</v>
      </c>
      <c r="B268" s="3051" t="s">
        <v>1230</v>
      </c>
      <c r="C268" s="933" t="s">
        <v>1209</v>
      </c>
      <c r="D268" s="2858" t="s">
        <v>80</v>
      </c>
      <c r="E268" s="2858" t="s">
        <v>80</v>
      </c>
      <c r="F268" s="4019" t="s">
        <v>3305</v>
      </c>
      <c r="G268" s="4292">
        <v>115</v>
      </c>
      <c r="H268" s="3249">
        <v>0</v>
      </c>
      <c r="I268" s="4309">
        <v>0</v>
      </c>
      <c r="J268" s="3945">
        <v>0</v>
      </c>
      <c r="K268" s="3946">
        <v>0</v>
      </c>
      <c r="L268" s="3946">
        <v>0</v>
      </c>
      <c r="M268" s="3947">
        <v>115</v>
      </c>
      <c r="N268" s="4293">
        <v>0</v>
      </c>
      <c r="O268" s="4294">
        <v>115</v>
      </c>
      <c r="P268" s="4294">
        <f t="shared" si="19"/>
        <v>115</v>
      </c>
      <c r="Q268" s="3951">
        <v>0</v>
      </c>
      <c r="R268" s="4293">
        <v>0</v>
      </c>
      <c r="S268" s="3945">
        <v>0</v>
      </c>
      <c r="T268" s="3946">
        <v>0</v>
      </c>
      <c r="U268" s="3949">
        <v>0</v>
      </c>
      <c r="V268" s="3953">
        <v>0</v>
      </c>
      <c r="W268" s="3946">
        <v>0</v>
      </c>
      <c r="X268" s="3954">
        <v>0</v>
      </c>
      <c r="Y268" s="3954">
        <v>0</v>
      </c>
      <c r="Z268" s="3954">
        <v>0</v>
      </c>
      <c r="AA268" s="3952">
        <v>0</v>
      </c>
      <c r="AB268" s="572" t="s">
        <v>3302</v>
      </c>
      <c r="AC268" s="933" t="s">
        <v>33</v>
      </c>
      <c r="AD268" s="3955" t="s">
        <v>2610</v>
      </c>
      <c r="AE268" s="3052" t="s">
        <v>1282</v>
      </c>
      <c r="AF268" s="3052" t="s">
        <v>1282</v>
      </c>
      <c r="AG268" s="2642" t="s">
        <v>1448</v>
      </c>
      <c r="AH268" s="2858" t="s">
        <v>3306</v>
      </c>
    </row>
    <row r="269" spans="1:34" ht="21.6" customHeight="1" outlineLevel="1" x14ac:dyDescent="0.25">
      <c r="A269" s="4291" t="s">
        <v>3307</v>
      </c>
      <c r="B269" s="3051" t="s">
        <v>1230</v>
      </c>
      <c r="C269" s="933" t="s">
        <v>1209</v>
      </c>
      <c r="D269" s="2858" t="s">
        <v>80</v>
      </c>
      <c r="E269" s="2858" t="s">
        <v>80</v>
      </c>
      <c r="F269" s="4019" t="s">
        <v>3308</v>
      </c>
      <c r="G269" s="4295">
        <v>181</v>
      </c>
      <c r="H269" s="3249">
        <v>0</v>
      </c>
      <c r="I269" s="4309">
        <v>0</v>
      </c>
      <c r="J269" s="3945">
        <v>0</v>
      </c>
      <c r="K269" s="3946">
        <v>0</v>
      </c>
      <c r="L269" s="3946">
        <v>141</v>
      </c>
      <c r="M269" s="3947">
        <v>40</v>
      </c>
      <c r="N269" s="4293">
        <v>0</v>
      </c>
      <c r="O269" s="4294">
        <v>181</v>
      </c>
      <c r="P269" s="4294">
        <f t="shared" si="19"/>
        <v>181</v>
      </c>
      <c r="Q269" s="3951">
        <v>0</v>
      </c>
      <c r="R269" s="4293">
        <v>0</v>
      </c>
      <c r="S269" s="3945">
        <v>0</v>
      </c>
      <c r="T269" s="3946">
        <v>0</v>
      </c>
      <c r="U269" s="3949">
        <v>0</v>
      </c>
      <c r="V269" s="3953">
        <v>0</v>
      </c>
      <c r="W269" s="3946">
        <v>0</v>
      </c>
      <c r="X269" s="3954">
        <v>0</v>
      </c>
      <c r="Y269" s="3954">
        <v>0</v>
      </c>
      <c r="Z269" s="3954">
        <v>0</v>
      </c>
      <c r="AA269" s="3952">
        <v>0</v>
      </c>
      <c r="AB269" s="572" t="s">
        <v>3302</v>
      </c>
      <c r="AC269" s="933" t="s">
        <v>33</v>
      </c>
      <c r="AD269" s="3955" t="s">
        <v>2610</v>
      </c>
      <c r="AE269" s="3052" t="s">
        <v>1282</v>
      </c>
      <c r="AF269" s="3052" t="s">
        <v>1282</v>
      </c>
      <c r="AG269" s="2642" t="s">
        <v>1448</v>
      </c>
      <c r="AH269" s="2858" t="s">
        <v>3309</v>
      </c>
    </row>
    <row r="270" spans="1:34" s="3654" customFormat="1" ht="15.75" outlineLevel="1" thickBot="1" x14ac:dyDescent="0.3">
      <c r="A270" s="3271"/>
      <c r="B270" s="328" t="s">
        <v>1361</v>
      </c>
      <c r="C270" s="3460" t="s">
        <v>1361</v>
      </c>
      <c r="D270" s="3728" t="s">
        <v>1361</v>
      </c>
      <c r="E270" s="3728" t="s">
        <v>1361</v>
      </c>
      <c r="F270" s="3255" t="s">
        <v>1361</v>
      </c>
      <c r="G270" s="3419" t="s">
        <v>1361</v>
      </c>
      <c r="H270" s="3418" t="s">
        <v>1361</v>
      </c>
      <c r="I270" s="3707" t="s">
        <v>1361</v>
      </c>
      <c r="J270" s="3054" t="s">
        <v>1361</v>
      </c>
      <c r="K270" s="2824" t="s">
        <v>1361</v>
      </c>
      <c r="L270" s="2824" t="s">
        <v>1361</v>
      </c>
      <c r="M270" s="2624" t="s">
        <v>1361</v>
      </c>
      <c r="N270" s="2624" t="s">
        <v>1361</v>
      </c>
      <c r="O270" s="2624" t="s">
        <v>1361</v>
      </c>
      <c r="P270" s="2624" t="s">
        <v>1361</v>
      </c>
      <c r="Q270" s="2624" t="s">
        <v>1361</v>
      </c>
      <c r="R270" s="1243" t="s">
        <v>1361</v>
      </c>
      <c r="S270" s="3054" t="s">
        <v>1361</v>
      </c>
      <c r="T270" s="2824" t="s">
        <v>1361</v>
      </c>
      <c r="U270" s="2822" t="s">
        <v>1361</v>
      </c>
      <c r="V270" s="3054" t="s">
        <v>1361</v>
      </c>
      <c r="W270" s="2824" t="s">
        <v>1361</v>
      </c>
      <c r="X270" s="2823" t="s">
        <v>1361</v>
      </c>
      <c r="Y270" s="2836" t="s">
        <v>1361</v>
      </c>
      <c r="Z270" s="2828" t="s">
        <v>1361</v>
      </c>
      <c r="AA270" s="2624" t="s">
        <v>1361</v>
      </c>
      <c r="AB270" s="3395" t="s">
        <v>1361</v>
      </c>
      <c r="AC270" s="3460" t="s">
        <v>1361</v>
      </c>
      <c r="AD270" s="2326" t="s">
        <v>1361</v>
      </c>
      <c r="AE270" s="350" t="s">
        <v>1361</v>
      </c>
      <c r="AF270" s="350" t="s">
        <v>1361</v>
      </c>
      <c r="AG270" s="327" t="s">
        <v>1361</v>
      </c>
      <c r="AH270" s="3728" t="s">
        <v>1361</v>
      </c>
    </row>
    <row r="271" spans="1:34" ht="16.5" thickBot="1" x14ac:dyDescent="0.3">
      <c r="A271" s="2310"/>
      <c r="B271" s="3627" t="s">
        <v>1209</v>
      </c>
      <c r="C271" s="140" t="s">
        <v>1209</v>
      </c>
      <c r="D271" s="3717" t="s">
        <v>1209</v>
      </c>
      <c r="E271" s="3717" t="s">
        <v>1209</v>
      </c>
      <c r="F271" s="2621" t="s">
        <v>2875</v>
      </c>
      <c r="G271" s="3741">
        <f>SUM(G262:G270)</f>
        <v>5815.2069999999994</v>
      </c>
      <c r="H271" s="3741">
        <f t="shared" ref="H271:AA271" si="20">SUM(H262:H270)</f>
        <v>2964.35</v>
      </c>
      <c r="I271" s="2814">
        <f t="shared" si="20"/>
        <v>0</v>
      </c>
      <c r="J271" s="2814">
        <f t="shared" si="20"/>
        <v>1012.487</v>
      </c>
      <c r="K271" s="2815">
        <f t="shared" si="20"/>
        <v>0</v>
      </c>
      <c r="L271" s="2815">
        <f t="shared" si="20"/>
        <v>141</v>
      </c>
      <c r="M271" s="3453">
        <f t="shared" si="20"/>
        <v>1697.37</v>
      </c>
      <c r="N271" s="3741">
        <f t="shared" si="20"/>
        <v>2464.857</v>
      </c>
      <c r="O271" s="3741">
        <f t="shared" si="20"/>
        <v>386</v>
      </c>
      <c r="P271" s="3741">
        <f t="shared" si="20"/>
        <v>2850.857</v>
      </c>
      <c r="Q271" s="3741">
        <f t="shared" si="20"/>
        <v>0</v>
      </c>
      <c r="R271" s="3741">
        <f t="shared" si="20"/>
        <v>0</v>
      </c>
      <c r="S271" s="2814">
        <f t="shared" si="20"/>
        <v>0</v>
      </c>
      <c r="T271" s="2815">
        <f t="shared" si="20"/>
        <v>0</v>
      </c>
      <c r="U271" s="3453">
        <f t="shared" si="20"/>
        <v>0</v>
      </c>
      <c r="V271" s="2814">
        <f t="shared" si="20"/>
        <v>0</v>
      </c>
      <c r="W271" s="2815">
        <f t="shared" si="20"/>
        <v>0</v>
      </c>
      <c r="X271" s="2815">
        <f t="shared" si="20"/>
        <v>0</v>
      </c>
      <c r="Y271" s="2815">
        <f t="shared" si="20"/>
        <v>0</v>
      </c>
      <c r="Z271" s="2815">
        <f t="shared" si="20"/>
        <v>0</v>
      </c>
      <c r="AA271" s="3453">
        <f t="shared" si="20"/>
        <v>0</v>
      </c>
      <c r="AB271" s="165" t="s">
        <v>3151</v>
      </c>
      <c r="AC271" s="140" t="s">
        <v>1209</v>
      </c>
      <c r="AD271" s="3469" t="s">
        <v>1209</v>
      </c>
      <c r="AE271" s="1506" t="s">
        <v>1209</v>
      </c>
      <c r="AF271" s="3469" t="s">
        <v>1209</v>
      </c>
      <c r="AG271" s="602" t="s">
        <v>1209</v>
      </c>
      <c r="AH271" s="4419" t="s">
        <v>1209</v>
      </c>
    </row>
    <row r="272" spans="1:34" ht="26.25" thickBot="1" x14ac:dyDescent="0.3">
      <c r="A272" s="4548"/>
      <c r="B272" s="4548"/>
      <c r="C272" s="4548"/>
      <c r="D272" s="4548"/>
      <c r="E272" s="4636"/>
      <c r="F272" s="2622" t="s">
        <v>835</v>
      </c>
      <c r="G272" s="3741">
        <f t="shared" ref="G272:AA272" si="21">SUM(G21+G33+G104+G166+G198+G213+G216+G219+G223+G256+G261+G271)</f>
        <v>7448427.6969408011</v>
      </c>
      <c r="H272" s="3741">
        <f t="shared" si="21"/>
        <v>1548478.6987199998</v>
      </c>
      <c r="I272" s="3741">
        <f t="shared" si="21"/>
        <v>9900</v>
      </c>
      <c r="J272" s="3741">
        <f t="shared" si="21"/>
        <v>148354.33061999999</v>
      </c>
      <c r="K272" s="3741">
        <f t="shared" si="21"/>
        <v>346783.57084</v>
      </c>
      <c r="L272" s="3741">
        <f t="shared" si="21"/>
        <v>382924.16052000003</v>
      </c>
      <c r="M272" s="3741">
        <f t="shared" si="21"/>
        <v>977335.95128001017</v>
      </c>
      <c r="N272" s="3741">
        <f t="shared" si="21"/>
        <v>2348724.1227000002</v>
      </c>
      <c r="O272" s="3741">
        <f t="shared" si="21"/>
        <v>-493326.10944000003</v>
      </c>
      <c r="P272" s="3741">
        <f t="shared" si="21"/>
        <v>1855398.0132599999</v>
      </c>
      <c r="Q272" s="3741">
        <f t="shared" si="21"/>
        <v>2900200.6128099998</v>
      </c>
      <c r="R272" s="3741">
        <f t="shared" si="21"/>
        <v>982742.50432000007</v>
      </c>
      <c r="S272" s="3741">
        <f t="shared" si="21"/>
        <v>11405.3512718</v>
      </c>
      <c r="T272" s="3741">
        <f t="shared" si="21"/>
        <v>109969.01728</v>
      </c>
      <c r="U272" s="3741">
        <f t="shared" si="21"/>
        <v>40233.499279999996</v>
      </c>
      <c r="V272" s="3741">
        <f t="shared" si="21"/>
        <v>2646653.3772100001</v>
      </c>
      <c r="W272" s="3741">
        <f t="shared" si="21"/>
        <v>268040.17761999997</v>
      </c>
      <c r="X272" s="3741">
        <f t="shared" si="21"/>
        <v>0</v>
      </c>
      <c r="Y272" s="3741">
        <f t="shared" si="21"/>
        <v>997391.9659800001</v>
      </c>
      <c r="Z272" s="3741">
        <f t="shared" si="21"/>
        <v>1199408.4118999999</v>
      </c>
      <c r="AA272" s="3741">
        <f t="shared" si="21"/>
        <v>181812.82170999999</v>
      </c>
      <c r="AB272" s="165" t="s">
        <v>3152</v>
      </c>
      <c r="AC272" s="3758" t="s">
        <v>1209</v>
      </c>
      <c r="AD272" s="3473" t="s">
        <v>1209</v>
      </c>
      <c r="AE272" s="3474" t="s">
        <v>1209</v>
      </c>
      <c r="AF272" s="604" t="s">
        <v>1209</v>
      </c>
      <c r="AG272" s="604" t="s">
        <v>1209</v>
      </c>
      <c r="AH272" s="3758" t="s">
        <v>1209</v>
      </c>
    </row>
    <row r="273" spans="1:34" x14ac:dyDescent="0.25">
      <c r="A273" s="214"/>
      <c r="B273" s="103"/>
      <c r="C273" s="3709"/>
      <c r="D273" s="3710" t="s">
        <v>819</v>
      </c>
      <c r="E273" s="3710"/>
      <c r="F273" s="3711"/>
      <c r="G273" s="3739"/>
      <c r="H273" s="3740"/>
      <c r="I273" s="3762"/>
      <c r="J273" s="3739"/>
      <c r="K273" s="3739"/>
      <c r="L273" s="3739"/>
      <c r="M273" s="3739"/>
      <c r="N273" s="3739"/>
      <c r="O273" s="506"/>
      <c r="P273" s="506"/>
      <c r="Q273" s="3716"/>
      <c r="R273" s="3716"/>
      <c r="S273" s="3739"/>
      <c r="T273" s="3739"/>
      <c r="U273" s="3739"/>
      <c r="V273" s="3720"/>
      <c r="W273" s="3720"/>
      <c r="X273" s="3720"/>
      <c r="Y273" s="3720"/>
      <c r="Z273" s="3720"/>
      <c r="AA273" s="3720"/>
      <c r="AB273" s="3720"/>
      <c r="AC273" s="3709"/>
      <c r="AD273" s="3714"/>
      <c r="AE273" s="3714"/>
      <c r="AF273" s="3714"/>
      <c r="AG273" s="3714"/>
      <c r="AH273" s="3710"/>
    </row>
    <row r="274" spans="1:34" ht="15.75" thickBot="1" x14ac:dyDescent="0.3">
      <c r="A274" s="214"/>
      <c r="B274" s="103"/>
      <c r="C274" s="3709"/>
      <c r="D274" s="3710"/>
      <c r="E274" s="3710"/>
      <c r="F274" s="3441"/>
      <c r="G274" s="2636"/>
      <c r="H274" s="4444"/>
      <c r="I274" s="4444"/>
      <c r="J274" s="3517"/>
      <c r="K274" s="3739"/>
      <c r="L274" s="3739"/>
      <c r="M274" s="3739"/>
      <c r="N274" s="3739"/>
      <c r="O274" s="506"/>
      <c r="P274" s="506"/>
      <c r="Q274" s="3716"/>
      <c r="R274" s="3716"/>
      <c r="S274" s="3739"/>
      <c r="T274" s="3739"/>
      <c r="U274" s="3739"/>
      <c r="V274" s="3716"/>
      <c r="W274" s="3716"/>
      <c r="X274" s="3716"/>
      <c r="Y274" s="3716"/>
      <c r="Z274" s="3716"/>
      <c r="AA274" s="3716"/>
      <c r="AB274" s="3720"/>
      <c r="AC274" s="3709"/>
      <c r="AD274" s="3714"/>
      <c r="AE274" s="3714"/>
      <c r="AF274" s="3714"/>
      <c r="AG274" s="3714"/>
      <c r="AH274" s="3734"/>
    </row>
    <row r="275" spans="1:34" s="3657" customFormat="1" ht="27" thickBot="1" x14ac:dyDescent="0.3">
      <c r="A275" s="4637" t="s">
        <v>3161</v>
      </c>
      <c r="B275" s="4638"/>
      <c r="C275" s="4638"/>
      <c r="D275" s="4639"/>
      <c r="E275" s="3710"/>
      <c r="F275" s="3734"/>
      <c r="G275" s="3711" t="s">
        <v>819</v>
      </c>
      <c r="H275" s="3711"/>
      <c r="I275" s="3518"/>
      <c r="J275" s="3711"/>
      <c r="K275" s="3711"/>
      <c r="L275" s="3711"/>
      <c r="M275" s="3711"/>
      <c r="N275" s="4447"/>
      <c r="O275" s="3494"/>
      <c r="P275" s="3655"/>
      <c r="Q275" s="3656"/>
      <c r="R275" s="3711"/>
      <c r="S275" s="3711"/>
      <c r="T275" s="3711"/>
      <c r="U275" s="3711"/>
      <c r="V275" s="2771"/>
      <c r="W275" s="2771"/>
      <c r="X275" s="2771"/>
      <c r="Y275" s="2771"/>
      <c r="Z275" s="2771"/>
      <c r="AA275" s="2771"/>
      <c r="AB275" s="3711"/>
      <c r="AC275" s="3714"/>
      <c r="AD275" s="3714"/>
      <c r="AE275" s="3714"/>
      <c r="AF275" s="3714"/>
      <c r="AG275" s="3714"/>
      <c r="AH275" s="3578"/>
    </row>
    <row r="276" spans="1:34" ht="18" x14ac:dyDescent="0.25">
      <c r="A276" s="4640" t="s">
        <v>3158</v>
      </c>
      <c r="B276" s="4641"/>
      <c r="C276" s="3787"/>
      <c r="D276" s="3788"/>
      <c r="E276" s="3710"/>
      <c r="F276" s="3711"/>
      <c r="G276" s="3711"/>
      <c r="H276" s="3711"/>
      <c r="I276" s="3711"/>
      <c r="J276" s="3711"/>
      <c r="K276" s="4642"/>
      <c r="L276" s="4642"/>
      <c r="M276" s="3711"/>
      <c r="N276" s="4447"/>
      <c r="O276" s="3494"/>
      <c r="P276" s="3494" t="s">
        <v>819</v>
      </c>
      <c r="Q276" s="3711"/>
      <c r="R276" s="3711" t="s">
        <v>819</v>
      </c>
      <c r="S276" s="3711"/>
      <c r="T276" s="3711"/>
      <c r="U276" s="3711"/>
      <c r="V276" s="2771"/>
      <c r="W276" s="2771"/>
      <c r="X276" s="2771"/>
      <c r="Y276" s="2771"/>
      <c r="Z276" s="2771"/>
      <c r="AA276" s="2771"/>
      <c r="AB276" s="3711"/>
      <c r="AC276" s="2633"/>
      <c r="AD276" s="2633"/>
      <c r="AE276" s="2633"/>
      <c r="AF276" s="2633"/>
      <c r="AG276" s="2633"/>
      <c r="AH276" s="3579"/>
    </row>
    <row r="277" spans="1:34" ht="21.6" customHeight="1" x14ac:dyDescent="0.25">
      <c r="A277" s="4643" t="s">
        <v>1206</v>
      </c>
      <c r="B277" s="4644"/>
      <c r="C277" s="4645" t="s">
        <v>820</v>
      </c>
      <c r="D277" s="4646"/>
      <c r="E277" s="3710"/>
      <c r="F277" s="3711"/>
      <c r="G277" s="3711" t="s">
        <v>819</v>
      </c>
      <c r="H277" s="3711"/>
      <c r="I277" s="3518"/>
      <c r="J277" s="3711"/>
      <c r="K277" s="3711"/>
      <c r="L277" s="3711"/>
      <c r="M277" s="3711"/>
      <c r="N277" s="4447"/>
      <c r="O277" s="3494"/>
      <c r="P277" s="3494"/>
      <c r="Q277" s="3711"/>
      <c r="R277" s="3711"/>
      <c r="S277" s="3711"/>
      <c r="T277" s="3711"/>
      <c r="U277" s="3711"/>
      <c r="V277" s="2771"/>
      <c r="W277" s="2771"/>
      <c r="X277" s="2771"/>
      <c r="Y277" s="2771"/>
      <c r="AB277" s="3421"/>
      <c r="AC277" s="3714"/>
      <c r="AD277" s="3714"/>
      <c r="AE277" s="3714"/>
      <c r="AF277" s="3714"/>
      <c r="AG277" s="3714"/>
      <c r="AH277" s="3734"/>
    </row>
    <row r="278" spans="1:34" ht="22.9" customHeight="1" x14ac:dyDescent="0.25">
      <c r="A278" s="4628" t="s">
        <v>821</v>
      </c>
      <c r="B278" s="4629"/>
      <c r="C278" s="4630" t="s">
        <v>921</v>
      </c>
      <c r="D278" s="4631"/>
      <c r="E278" s="3710"/>
      <c r="F278" s="3631"/>
      <c r="G278" s="3440"/>
      <c r="H278" s="3725"/>
      <c r="I278" s="3762"/>
      <c r="J278" s="3716"/>
      <c r="K278" s="3716"/>
      <c r="L278" s="3716"/>
      <c r="M278" s="3716"/>
      <c r="N278" s="3716" t="s">
        <v>819</v>
      </c>
      <c r="O278" s="3761"/>
      <c r="P278" s="3761"/>
      <c r="Q278" s="3709"/>
      <c r="R278" s="3709"/>
      <c r="S278" s="3739"/>
      <c r="T278" s="3739"/>
      <c r="U278" s="3739"/>
      <c r="V278" s="3716"/>
      <c r="W278" s="3716" t="s">
        <v>819</v>
      </c>
      <c r="X278" s="3716"/>
      <c r="Y278" s="3716"/>
      <c r="Z278" s="3716"/>
      <c r="AA278" s="3716"/>
      <c r="AB278" s="3720"/>
      <c r="AC278" s="3714"/>
      <c r="AD278" s="3714"/>
      <c r="AE278" s="3714"/>
      <c r="AF278" s="3714"/>
      <c r="AG278" s="3714"/>
      <c r="AH278" s="3734"/>
    </row>
    <row r="279" spans="1:34" ht="18.600000000000001" customHeight="1" x14ac:dyDescent="0.25">
      <c r="A279" s="4632" t="s">
        <v>822</v>
      </c>
      <c r="B279" s="4633"/>
      <c r="C279" s="4630" t="s">
        <v>823</v>
      </c>
      <c r="D279" s="4631"/>
      <c r="E279" s="3710"/>
      <c r="F279" s="3711" t="s">
        <v>819</v>
      </c>
      <c r="G279" s="3739"/>
      <c r="H279" s="3740"/>
      <c r="I279" s="3762"/>
      <c r="J279" s="3740"/>
      <c r="K279" s="3740"/>
      <c r="L279" s="3740"/>
      <c r="M279" s="3740"/>
      <c r="N279" s="3740"/>
      <c r="O279" s="3762"/>
      <c r="P279" s="3762"/>
      <c r="Q279" s="3740"/>
      <c r="R279" s="3739"/>
      <c r="S279" s="3739"/>
      <c r="T279" s="3739"/>
      <c r="U279" s="3739"/>
      <c r="V279" s="3716"/>
      <c r="W279" s="3716"/>
      <c r="X279" s="3716"/>
      <c r="Y279" s="3716"/>
      <c r="Z279" s="3716"/>
      <c r="AA279" s="3716"/>
      <c r="AB279" s="3720"/>
      <c r="AC279" s="3714"/>
      <c r="AD279" s="3714"/>
      <c r="AE279" s="3714"/>
      <c r="AF279" s="3714"/>
      <c r="AG279" s="3714"/>
      <c r="AH279" s="3734"/>
    </row>
    <row r="280" spans="1:34" ht="21" customHeight="1" x14ac:dyDescent="0.25">
      <c r="A280" s="4634" t="s">
        <v>2849</v>
      </c>
      <c r="B280" s="4635"/>
      <c r="C280" s="4634" t="s">
        <v>824</v>
      </c>
      <c r="D280" s="4635"/>
      <c r="E280" s="3710"/>
      <c r="F280" s="3711"/>
      <c r="G280" s="3739"/>
      <c r="H280" s="3740"/>
      <c r="I280" s="3762"/>
      <c r="J280" s="3716"/>
      <c r="K280" s="3716"/>
      <c r="L280" s="3716"/>
      <c r="M280" s="3716"/>
      <c r="N280" s="3716"/>
      <c r="O280" s="3761"/>
      <c r="P280" s="3761"/>
      <c r="Q280" s="3709"/>
      <c r="R280" s="3709"/>
      <c r="S280" s="3739"/>
      <c r="T280" s="3739"/>
      <c r="U280" s="3739"/>
      <c r="V280" s="3716"/>
      <c r="W280" s="3716"/>
      <c r="X280" s="3716"/>
      <c r="Y280" s="3716"/>
      <c r="Z280" s="3716"/>
      <c r="AA280" s="3716"/>
      <c r="AB280" s="3720"/>
      <c r="AC280" s="3714"/>
      <c r="AD280" s="3714"/>
      <c r="AE280" s="3714"/>
      <c r="AF280" s="3714"/>
      <c r="AG280" s="3714"/>
      <c r="AH280" s="3734"/>
    </row>
    <row r="281" spans="1:34" ht="29.45" customHeight="1" thickBot="1" x14ac:dyDescent="0.3">
      <c r="A281" s="4619" t="s">
        <v>1205</v>
      </c>
      <c r="B281" s="4620"/>
      <c r="C281" s="4619" t="s">
        <v>2848</v>
      </c>
      <c r="D281" s="4620"/>
      <c r="E281" s="3710"/>
      <c r="F281" s="3711"/>
      <c r="G281" s="3739"/>
      <c r="H281" s="3740"/>
      <c r="I281" s="3762"/>
      <c r="J281" s="3716"/>
      <c r="K281" s="3716" t="s">
        <v>819</v>
      </c>
      <c r="L281" s="3716"/>
      <c r="M281" s="3716"/>
      <c r="N281" s="3716"/>
      <c r="O281" s="3761"/>
      <c r="P281" s="3761"/>
      <c r="Q281" s="3709"/>
      <c r="R281" s="3709"/>
      <c r="S281" s="3739"/>
      <c r="T281" s="3739"/>
      <c r="U281" s="3739"/>
      <c r="V281" s="3716"/>
      <c r="W281" s="3716"/>
      <c r="X281" s="3716"/>
      <c r="Y281" s="3716"/>
      <c r="Z281" s="3716"/>
      <c r="AA281" s="3716"/>
      <c r="AB281" s="3720"/>
      <c r="AC281" s="3714"/>
      <c r="AD281" s="3714"/>
      <c r="AE281" s="3714"/>
      <c r="AF281" s="3714"/>
      <c r="AG281" s="3714"/>
      <c r="AH281" s="3734"/>
    </row>
    <row r="282" spans="1:34" ht="33.6" customHeight="1" thickBot="1" x14ac:dyDescent="0.3">
      <c r="A282" s="4389"/>
      <c r="B282" s="4389"/>
      <c r="C282" s="4521" t="s">
        <v>2856</v>
      </c>
      <c r="D282" s="4523"/>
      <c r="E282" s="3710"/>
      <c r="F282" s="3711"/>
      <c r="G282" s="3739"/>
      <c r="H282" s="3740"/>
      <c r="I282" s="3762"/>
      <c r="J282" s="3716"/>
      <c r="K282" s="3716"/>
      <c r="L282" s="3716"/>
      <c r="M282" s="3716"/>
      <c r="N282" s="3716"/>
      <c r="O282" s="3761"/>
      <c r="P282" s="3761"/>
      <c r="Q282" s="3709"/>
      <c r="R282" s="3709"/>
      <c r="S282" s="3739"/>
      <c r="T282" s="3739"/>
      <c r="U282" s="3739"/>
      <c r="V282" s="3716"/>
      <c r="W282" s="3716"/>
      <c r="X282" s="3716"/>
      <c r="Y282" s="3716"/>
      <c r="Z282" s="3716"/>
      <c r="AA282" s="3716"/>
      <c r="AB282" s="3720"/>
      <c r="AC282" s="3714"/>
      <c r="AD282" s="3714"/>
      <c r="AE282" s="3714"/>
      <c r="AF282" s="3714"/>
      <c r="AG282" s="3714"/>
      <c r="AH282" s="3734"/>
    </row>
    <row r="283" spans="1:34" ht="15.75" thickBot="1" x14ac:dyDescent="0.3">
      <c r="A283" s="3786"/>
      <c r="B283" s="3786"/>
      <c r="C283" s="3786"/>
      <c r="D283" s="3786"/>
      <c r="E283" s="3710"/>
      <c r="F283" s="3711"/>
      <c r="G283" s="3739"/>
      <c r="H283" s="3740"/>
      <c r="I283" s="3762"/>
      <c r="J283" s="3716"/>
      <c r="K283" s="3716"/>
      <c r="L283" s="3716"/>
      <c r="M283" s="3716"/>
      <c r="N283" s="3716"/>
      <c r="O283" s="3761"/>
      <c r="P283" s="3761"/>
      <c r="Q283" s="3709"/>
      <c r="R283" s="3709"/>
      <c r="S283" s="3739"/>
      <c r="T283" s="3739"/>
      <c r="U283" s="3739"/>
      <c r="V283" s="3716"/>
      <c r="W283" s="3716"/>
      <c r="X283" s="3716"/>
      <c r="Y283" s="3716"/>
      <c r="Z283" s="3716"/>
      <c r="AA283" s="3716"/>
      <c r="AB283" s="3720"/>
      <c r="AC283" s="3714"/>
      <c r="AD283" s="3714"/>
      <c r="AE283" s="3714"/>
      <c r="AF283" s="3714"/>
      <c r="AG283" s="3714"/>
      <c r="AH283" s="3734"/>
    </row>
    <row r="284" spans="1:34" ht="39" thickBot="1" x14ac:dyDescent="0.3">
      <c r="D284" s="4621" t="s">
        <v>3159</v>
      </c>
      <c r="E284" s="4622"/>
      <c r="F284" s="4623"/>
      <c r="G284" s="4427" t="s">
        <v>2878</v>
      </c>
      <c r="H284" s="4433" t="s">
        <v>3317</v>
      </c>
      <c r="I284" s="4434" t="s">
        <v>3157</v>
      </c>
    </row>
    <row r="285" spans="1:34" ht="21" customHeight="1" x14ac:dyDescent="0.25">
      <c r="D285" s="4624" t="s">
        <v>3318</v>
      </c>
      <c r="E285" s="4625"/>
      <c r="F285" s="4625"/>
      <c r="G285" s="4430">
        <f>SUM(H285:I285)</f>
        <v>2290000</v>
      </c>
      <c r="H285" s="4431">
        <v>500000</v>
      </c>
      <c r="I285" s="4432">
        <v>1790000</v>
      </c>
    </row>
    <row r="286" spans="1:34" ht="21" customHeight="1" thickBot="1" x14ac:dyDescent="0.3">
      <c r="D286" s="4626" t="s">
        <v>3319</v>
      </c>
      <c r="E286" s="4627"/>
      <c r="F286" s="4627"/>
      <c r="G286" s="4435">
        <f>SUM(H286:I286)</f>
        <v>149743</v>
      </c>
      <c r="H286" s="4436">
        <v>149743</v>
      </c>
      <c r="I286" s="4437">
        <v>0</v>
      </c>
    </row>
    <row r="287" spans="1:34" ht="21" customHeight="1" thickBot="1" x14ac:dyDescent="0.3">
      <c r="D287" s="4612" t="s">
        <v>3320</v>
      </c>
      <c r="E287" s="4613"/>
      <c r="F287" s="4613"/>
      <c r="G287" s="4441">
        <f>SUM(G285:G286)</f>
        <v>2439743</v>
      </c>
      <c r="H287" s="4442">
        <f>SUM(H285:H286)</f>
        <v>649743</v>
      </c>
      <c r="I287" s="4443">
        <f>SUM(I285:I286)</f>
        <v>1790000</v>
      </c>
    </row>
    <row r="288" spans="1:34" x14ac:dyDescent="0.25">
      <c r="D288" s="4614"/>
      <c r="E288" s="4615"/>
      <c r="F288" s="4616"/>
      <c r="G288" s="4438"/>
      <c r="H288" s="4439"/>
      <c r="I288" s="4440"/>
    </row>
    <row r="289" spans="4:9" s="3725" customFormat="1" ht="24" customHeight="1" thickBot="1" x14ac:dyDescent="0.3">
      <c r="D289" s="4617" t="s">
        <v>3160</v>
      </c>
      <c r="E289" s="4618"/>
      <c r="F289" s="4618"/>
      <c r="G289" s="4426">
        <f>P272</f>
        <v>1855398.0132599999</v>
      </c>
      <c r="H289" s="4428">
        <f>G289-I289</f>
        <v>858006.04727999982</v>
      </c>
      <c r="I289" s="4429">
        <f>Y272</f>
        <v>997391.9659800001</v>
      </c>
    </row>
  </sheetData>
  <autoFilter ref="A4:AH273" xr:uid="{00000000-0009-0000-0000-000004000000}"/>
  <mergeCells count="43">
    <mergeCell ref="Q2:Q3"/>
    <mergeCell ref="A2:A3"/>
    <mergeCell ref="B2:B3"/>
    <mergeCell ref="C2:C3"/>
    <mergeCell ref="D2:D3"/>
    <mergeCell ref="E2:E3"/>
    <mergeCell ref="F2:F3"/>
    <mergeCell ref="G2:G3"/>
    <mergeCell ref="H2:H3"/>
    <mergeCell ref="I2:I3"/>
    <mergeCell ref="J2:M2"/>
    <mergeCell ref="N2:P2"/>
    <mergeCell ref="AD2:AD3"/>
    <mergeCell ref="AE2:AE3"/>
    <mergeCell ref="AF2:AF3"/>
    <mergeCell ref="AG2:AG3"/>
    <mergeCell ref="AH2:AH3"/>
    <mergeCell ref="R2:R3"/>
    <mergeCell ref="S2:U2"/>
    <mergeCell ref="V2:AA2"/>
    <mergeCell ref="AB2:AB3"/>
    <mergeCell ref="AC2:AC3"/>
    <mergeCell ref="A272:E272"/>
    <mergeCell ref="A275:D275"/>
    <mergeCell ref="A276:B276"/>
    <mergeCell ref="K276:L276"/>
    <mergeCell ref="A277:B277"/>
    <mergeCell ref="C277:D277"/>
    <mergeCell ref="A278:B278"/>
    <mergeCell ref="C278:D278"/>
    <mergeCell ref="A279:B279"/>
    <mergeCell ref="C279:D279"/>
    <mergeCell ref="A280:B280"/>
    <mergeCell ref="C280:D280"/>
    <mergeCell ref="D287:F287"/>
    <mergeCell ref="D288:F288"/>
    <mergeCell ref="D289:F289"/>
    <mergeCell ref="A281:B281"/>
    <mergeCell ref="C281:D281"/>
    <mergeCell ref="C282:D282"/>
    <mergeCell ref="D284:F284"/>
    <mergeCell ref="D285:F285"/>
    <mergeCell ref="D286:F286"/>
  </mergeCells>
  <pageMargins left="0.7" right="0.7" top="0.78740157499999996" bottom="0.78740157499999996"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ukončené, zrušené 2019</vt:lpstr>
      <vt:lpstr>ukončené, zrušené-vyřazené 2020</vt:lpstr>
      <vt:lpstr>AKTUÁLNÍ ZI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2022-02-14T10:01:46Z</dcterms:modified>
</cp:coreProperties>
</file>