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filterPrivacy="1"/>
  <xr:revisionPtr revIDLastSave="0" documentId="13_ncr:1_{72B89AFE-EA27-473B-B1F0-1A8A6E97C150}" xr6:coauthVersionLast="47" xr6:coauthVersionMax="47" xr10:uidLastSave="{00000000-0000-0000-0000-000000000000}"/>
  <bookViews>
    <workbookView xWindow="-120" yWindow="-120" windowWidth="29040" windowHeight="15840" tabRatio="781" xr2:uid="{00000000-000D-0000-FFFF-FFFF00000000}"/>
  </bookViews>
  <sheets>
    <sheet name="AKTUÁLNÍ ZI zm. č.2" sheetId="18" r:id="rId1"/>
  </sheets>
  <definedNames>
    <definedName name="_xlnm._FilterDatabase" localSheetId="0" hidden="1">'AKTUÁLNÍ ZI zm. č.2'!$A$4:$AC$250</definedName>
    <definedName name="_xlnm.Print_Titles" localSheetId="0">'AKTUÁLNÍ ZI zm. č.2'!$1:$3</definedName>
    <definedName name="_xlnm.Print_Area" localSheetId="0">'AKTUÁLNÍ ZI zm. č.2'!$A$1:$AC$267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8" i="18" l="1"/>
  <c r="I238" i="18"/>
  <c r="I233" i="18"/>
  <c r="I202" i="18"/>
  <c r="I199" i="18"/>
  <c r="I191" i="18"/>
  <c r="I188" i="18"/>
  <c r="I175" i="18"/>
  <c r="I143" i="18"/>
  <c r="I83" i="18"/>
  <c r="I29" i="18"/>
  <c r="I19" i="18"/>
  <c r="X248" i="18"/>
  <c r="X238" i="18"/>
  <c r="X233" i="18"/>
  <c r="X202" i="18"/>
  <c r="X199" i="18"/>
  <c r="X191" i="18"/>
  <c r="X188" i="18"/>
  <c r="X175" i="18"/>
  <c r="X143" i="18"/>
  <c r="X83" i="18"/>
  <c r="X29" i="18"/>
  <c r="X19" i="18"/>
  <c r="M39" i="18"/>
  <c r="P81" i="18" l="1"/>
  <c r="P80" i="18"/>
  <c r="M80" i="18"/>
  <c r="P79" i="18"/>
  <c r="P78" i="18"/>
  <c r="P77" i="18"/>
  <c r="P76" i="18"/>
  <c r="P75" i="18"/>
  <c r="P74" i="18"/>
  <c r="P73" i="18"/>
  <c r="P72" i="18"/>
  <c r="P71" i="18"/>
  <c r="P70" i="18"/>
  <c r="Z69" i="18"/>
  <c r="Y69" i="18"/>
  <c r="V69" i="18"/>
  <c r="Q69" i="18"/>
  <c r="P69" i="18"/>
  <c r="G69" i="18"/>
  <c r="P68" i="18"/>
  <c r="P67" i="18"/>
  <c r="P66" i="18"/>
  <c r="P65" i="18"/>
  <c r="P64" i="18"/>
  <c r="P63" i="18"/>
  <c r="P62" i="18"/>
  <c r="P61" i="18"/>
  <c r="P60" i="18"/>
  <c r="P59" i="18"/>
  <c r="P58" i="18"/>
  <c r="Q57" i="18"/>
  <c r="P57" i="18"/>
  <c r="P56" i="18"/>
  <c r="P55" i="18"/>
  <c r="P54" i="18"/>
  <c r="P53" i="18"/>
  <c r="P52" i="18"/>
  <c r="P51" i="18"/>
  <c r="P50" i="18"/>
  <c r="P49" i="18"/>
  <c r="P48" i="18"/>
  <c r="P47" i="18"/>
  <c r="G47" i="18"/>
  <c r="P46" i="18"/>
  <c r="P45" i="18"/>
  <c r="P44" i="18"/>
  <c r="P43" i="18"/>
  <c r="P42" i="18"/>
  <c r="P41" i="18"/>
  <c r="K41" i="18"/>
  <c r="P40" i="18"/>
  <c r="G40" i="18"/>
  <c r="P39" i="18"/>
  <c r="P38" i="18"/>
  <c r="P37" i="18"/>
  <c r="P36" i="18"/>
  <c r="P35" i="18"/>
  <c r="L35" i="18"/>
  <c r="P34" i="18"/>
  <c r="P33" i="18"/>
  <c r="P32" i="18"/>
  <c r="P31" i="18"/>
  <c r="G31" i="18"/>
  <c r="P30" i="18"/>
  <c r="G30" i="18"/>
  <c r="P141" i="18"/>
  <c r="P140" i="18"/>
  <c r="P139" i="18"/>
  <c r="P138" i="18"/>
  <c r="P137" i="18"/>
  <c r="P136" i="18"/>
  <c r="P135" i="18"/>
  <c r="P134" i="18"/>
  <c r="P133" i="18"/>
  <c r="P132" i="18"/>
  <c r="P131" i="18"/>
  <c r="P130" i="18"/>
  <c r="G130" i="18"/>
  <c r="P129" i="18"/>
  <c r="P128" i="18"/>
  <c r="P127" i="18"/>
  <c r="G127" i="18"/>
  <c r="P126" i="18"/>
  <c r="G126" i="18"/>
  <c r="P125" i="18"/>
  <c r="S124" i="18"/>
  <c r="P124" i="18"/>
  <c r="G124" i="18"/>
  <c r="P123" i="18"/>
  <c r="G123" i="18"/>
  <c r="P122" i="18"/>
  <c r="G122" i="18"/>
  <c r="P121" i="18"/>
  <c r="G121" i="18"/>
  <c r="P120" i="18"/>
  <c r="G120" i="18"/>
  <c r="P119" i="18"/>
  <c r="G119" i="18"/>
  <c r="P118" i="18"/>
  <c r="P117" i="18"/>
  <c r="G117" i="18"/>
  <c r="P116" i="18"/>
  <c r="G116" i="18"/>
  <c r="P115" i="18"/>
  <c r="P114" i="18"/>
  <c r="G114" i="18"/>
  <c r="P113" i="18"/>
  <c r="G113" i="18"/>
  <c r="P112" i="18"/>
  <c r="G112" i="18"/>
  <c r="P111" i="18"/>
  <c r="G111" i="18"/>
  <c r="P110" i="18"/>
  <c r="P109" i="18"/>
  <c r="P108" i="18"/>
  <c r="G108" i="18"/>
  <c r="P107" i="18"/>
  <c r="G107" i="18"/>
  <c r="P106" i="18"/>
  <c r="P105" i="18"/>
  <c r="G105" i="18"/>
  <c r="P104" i="18"/>
  <c r="P103" i="18"/>
  <c r="G103" i="18"/>
  <c r="P102" i="18"/>
  <c r="P101" i="18"/>
  <c r="G101" i="18"/>
  <c r="P100" i="18"/>
  <c r="G100" i="18"/>
  <c r="P99" i="18"/>
  <c r="G99" i="18"/>
  <c r="P98" i="18"/>
  <c r="G97" i="18"/>
  <c r="P96" i="18"/>
  <c r="G96" i="18"/>
  <c r="P95" i="18"/>
  <c r="G95" i="18"/>
  <c r="P94" i="18"/>
  <c r="P93" i="18"/>
  <c r="G93" i="18"/>
  <c r="P92" i="18"/>
  <c r="P91" i="18"/>
  <c r="P90" i="18"/>
  <c r="G90" i="18"/>
  <c r="P89" i="18"/>
  <c r="G89" i="18"/>
  <c r="P88" i="18"/>
  <c r="P87" i="18"/>
  <c r="G87" i="18"/>
  <c r="P86" i="18"/>
  <c r="P85" i="18"/>
  <c r="K85" i="18"/>
  <c r="G85" i="18"/>
  <c r="P84" i="18"/>
  <c r="Q197" i="18" l="1"/>
  <c r="Q196" i="18"/>
  <c r="Q195" i="18"/>
  <c r="Q194" i="18"/>
  <c r="Q193" i="18"/>
  <c r="P192" i="18"/>
  <c r="P246" i="18" l="1"/>
  <c r="P245" i="18"/>
  <c r="P244" i="18"/>
  <c r="P243" i="18"/>
  <c r="P242" i="18"/>
  <c r="P241" i="18"/>
  <c r="P240" i="18"/>
  <c r="P239" i="18"/>
  <c r="J143" i="18" l="1"/>
  <c r="J83" i="18"/>
  <c r="J29" i="18"/>
  <c r="I249" i="18" l="1"/>
  <c r="G12" i="18"/>
  <c r="J12" i="18"/>
  <c r="J19" i="18" s="1"/>
  <c r="P17" i="18"/>
  <c r="P16" i="18"/>
  <c r="P15" i="18"/>
  <c r="P14" i="18"/>
  <c r="P13" i="18"/>
  <c r="L13" i="18"/>
  <c r="G13" i="18"/>
  <c r="P12" i="18"/>
  <c r="P11" i="18"/>
  <c r="P10" i="18"/>
  <c r="P9" i="18"/>
  <c r="P8" i="18"/>
  <c r="P7" i="18"/>
  <c r="G7" i="18"/>
  <c r="P6" i="18"/>
  <c r="G6" i="18"/>
  <c r="P5" i="18"/>
  <c r="M5" i="18"/>
  <c r="P186" i="18" l="1"/>
  <c r="Q185" i="18"/>
  <c r="P185" i="18"/>
  <c r="P184" i="18"/>
  <c r="P183" i="18"/>
  <c r="P182" i="18"/>
  <c r="P181" i="18"/>
  <c r="Z180" i="18"/>
  <c r="Y180" i="18"/>
  <c r="P180" i="18"/>
  <c r="M180" i="18"/>
  <c r="P179" i="18"/>
  <c r="P178" i="18"/>
  <c r="P177" i="18"/>
  <c r="V176" i="18"/>
  <c r="Q176" i="18"/>
  <c r="P176" i="18"/>
  <c r="P231" i="18" l="1"/>
  <c r="P230" i="18"/>
  <c r="P229" i="18"/>
  <c r="P228" i="18"/>
  <c r="P227" i="18"/>
  <c r="P226" i="18"/>
  <c r="P225" i="18"/>
  <c r="P224" i="18"/>
  <c r="P223" i="18"/>
  <c r="P222" i="18"/>
  <c r="P221" i="18"/>
  <c r="P220" i="18"/>
  <c r="P219" i="18"/>
  <c r="P218" i="18"/>
  <c r="G218" i="18"/>
  <c r="P217" i="18"/>
  <c r="P216" i="18"/>
  <c r="P215" i="18"/>
  <c r="P214" i="18"/>
  <c r="G214" i="18"/>
  <c r="P213" i="18"/>
  <c r="P212" i="18"/>
  <c r="P211" i="18"/>
  <c r="P210" i="18"/>
  <c r="P209" i="18"/>
  <c r="P208" i="18"/>
  <c r="P207" i="18"/>
  <c r="P206" i="18"/>
  <c r="P205" i="18"/>
  <c r="P204" i="18"/>
  <c r="P203" i="18"/>
  <c r="P173" i="18" l="1"/>
  <c r="P172" i="18"/>
  <c r="P171" i="18"/>
  <c r="P170" i="18"/>
  <c r="P169" i="18"/>
  <c r="P168" i="18"/>
  <c r="P167" i="18"/>
  <c r="P166" i="18"/>
  <c r="K166" i="18"/>
  <c r="P165" i="18"/>
  <c r="G165" i="18"/>
  <c r="P164" i="18"/>
  <c r="P163" i="18"/>
  <c r="P162" i="18"/>
  <c r="P161" i="18"/>
  <c r="P160" i="18"/>
  <c r="P159" i="18"/>
  <c r="P158" i="18"/>
  <c r="P157" i="18"/>
  <c r="P156" i="18"/>
  <c r="P155" i="18"/>
  <c r="P154" i="18"/>
  <c r="P153" i="18"/>
  <c r="P152" i="18"/>
  <c r="P151" i="18"/>
  <c r="G151" i="18"/>
  <c r="P150" i="18"/>
  <c r="P149" i="18"/>
  <c r="P148" i="18"/>
  <c r="P147" i="18"/>
  <c r="P146" i="18"/>
  <c r="P145" i="18"/>
  <c r="P144" i="18"/>
  <c r="P189" i="18" l="1"/>
  <c r="P236" i="18" l="1"/>
  <c r="M236" i="18"/>
  <c r="P235" i="18"/>
  <c r="L235" i="18"/>
  <c r="P234" i="18"/>
  <c r="P27" i="18" l="1"/>
  <c r="P26" i="18"/>
  <c r="G26" i="18"/>
  <c r="P25" i="18"/>
  <c r="G25" i="18"/>
  <c r="Q24" i="18"/>
  <c r="P24" i="18"/>
  <c r="L24" i="18"/>
  <c r="G24" i="18"/>
  <c r="P23" i="18"/>
  <c r="G23" i="18"/>
  <c r="P22" i="18"/>
  <c r="M22" i="18"/>
  <c r="Q21" i="18"/>
  <c r="P21" i="18"/>
  <c r="K21" i="18"/>
  <c r="K29" i="18" s="1"/>
  <c r="G21" i="18"/>
  <c r="Q20" i="18"/>
  <c r="P20" i="18"/>
  <c r="G20" i="18"/>
  <c r="I265" i="18" l="1"/>
  <c r="H265" i="18"/>
  <c r="G264" i="18"/>
  <c r="G263" i="18"/>
  <c r="G265" i="18" l="1"/>
  <c r="Q248" i="18" l="1"/>
  <c r="O248" i="18"/>
  <c r="N248" i="18"/>
  <c r="M248" i="18"/>
  <c r="Q238" i="18"/>
  <c r="O238" i="18"/>
  <c r="N238" i="18"/>
  <c r="M238" i="18"/>
  <c r="Q233" i="18"/>
  <c r="O233" i="18"/>
  <c r="N233" i="18"/>
  <c r="M233" i="18"/>
  <c r="Q202" i="18"/>
  <c r="O202" i="18"/>
  <c r="N202" i="18"/>
  <c r="M202" i="18"/>
  <c r="Q199" i="18"/>
  <c r="O199" i="18"/>
  <c r="N199" i="18"/>
  <c r="M199" i="18"/>
  <c r="Q191" i="18"/>
  <c r="O191" i="18"/>
  <c r="N191" i="18"/>
  <c r="M191" i="18"/>
  <c r="O188" i="18"/>
  <c r="N188" i="18"/>
  <c r="Q175" i="18"/>
  <c r="O175" i="18"/>
  <c r="N175" i="18"/>
  <c r="M175" i="18"/>
  <c r="Q143" i="18"/>
  <c r="O143" i="18"/>
  <c r="N143" i="18"/>
  <c r="O83" i="18"/>
  <c r="N83" i="18"/>
  <c r="Q29" i="18"/>
  <c r="O29" i="18"/>
  <c r="N29" i="18"/>
  <c r="Q19" i="18"/>
  <c r="O19" i="18"/>
  <c r="N19" i="18"/>
  <c r="M19" i="18"/>
  <c r="N249" i="18" l="1"/>
  <c r="O249" i="18"/>
  <c r="P248" i="18" l="1"/>
  <c r="P233" i="18" l="1"/>
  <c r="P175" i="18" l="1"/>
  <c r="P19" i="18" l="1"/>
  <c r="M188" i="18"/>
  <c r="Q188" i="18" l="1"/>
  <c r="P188" i="18"/>
  <c r="M143" i="18"/>
  <c r="P143" i="18" l="1"/>
  <c r="Q83" i="18" l="1"/>
  <c r="M83" i="18"/>
  <c r="P83" i="18"/>
  <c r="M29" i="18"/>
  <c r="Q249" i="18" l="1"/>
  <c r="M249" i="18"/>
  <c r="P29" i="18"/>
  <c r="P191" i="18" l="1"/>
  <c r="AA248" i="18"/>
  <c r="Z248" i="18"/>
  <c r="Y248" i="18"/>
  <c r="W248" i="18"/>
  <c r="V248" i="18"/>
  <c r="U248" i="18"/>
  <c r="T248" i="18"/>
  <c r="S248" i="18"/>
  <c r="R248" i="18"/>
  <c r="L248" i="18"/>
  <c r="K248" i="18"/>
  <c r="J248" i="18"/>
  <c r="H248" i="18"/>
  <c r="AA238" i="18"/>
  <c r="Z238" i="18"/>
  <c r="Y238" i="18"/>
  <c r="W238" i="18"/>
  <c r="V238" i="18"/>
  <c r="U238" i="18"/>
  <c r="T238" i="18"/>
  <c r="S238" i="18"/>
  <c r="R238" i="18"/>
  <c r="L238" i="18"/>
  <c r="K238" i="18"/>
  <c r="J238" i="18"/>
  <c r="H238" i="18"/>
  <c r="AA233" i="18"/>
  <c r="Z233" i="18"/>
  <c r="Y233" i="18"/>
  <c r="W233" i="18"/>
  <c r="V233" i="18"/>
  <c r="U233" i="18"/>
  <c r="T233" i="18"/>
  <c r="S233" i="18"/>
  <c r="R233" i="18"/>
  <c r="L233" i="18"/>
  <c r="K233" i="18"/>
  <c r="J233" i="18"/>
  <c r="H233" i="18"/>
  <c r="AA202" i="18"/>
  <c r="Z202" i="18"/>
  <c r="Y202" i="18"/>
  <c r="W202" i="18"/>
  <c r="V202" i="18"/>
  <c r="U202" i="18"/>
  <c r="T202" i="18"/>
  <c r="S202" i="18"/>
  <c r="R202" i="18"/>
  <c r="L202" i="18"/>
  <c r="K202" i="18"/>
  <c r="J202" i="18"/>
  <c r="H202" i="18"/>
  <c r="AA199" i="18"/>
  <c r="Z199" i="18"/>
  <c r="Y199" i="18"/>
  <c r="W199" i="18"/>
  <c r="V199" i="18"/>
  <c r="U199" i="18"/>
  <c r="T199" i="18"/>
  <c r="S199" i="18"/>
  <c r="R199" i="18"/>
  <c r="L199" i="18"/>
  <c r="K199" i="18"/>
  <c r="J199" i="18"/>
  <c r="H199" i="18"/>
  <c r="AA191" i="18"/>
  <c r="Z191" i="18"/>
  <c r="Y191" i="18"/>
  <c r="W191" i="18"/>
  <c r="V191" i="18"/>
  <c r="U191" i="18"/>
  <c r="T191" i="18"/>
  <c r="S191" i="18"/>
  <c r="R191" i="18"/>
  <c r="L191" i="18"/>
  <c r="K191" i="18"/>
  <c r="J191" i="18"/>
  <c r="H191" i="18"/>
  <c r="AA188" i="18"/>
  <c r="Z188" i="18"/>
  <c r="Y188" i="18"/>
  <c r="W188" i="18"/>
  <c r="U188" i="18"/>
  <c r="T188" i="18"/>
  <c r="S188" i="18"/>
  <c r="R188" i="18"/>
  <c r="L188" i="18"/>
  <c r="K188" i="18"/>
  <c r="J188" i="18"/>
  <c r="H188" i="18"/>
  <c r="AA175" i="18"/>
  <c r="Z175" i="18"/>
  <c r="Y175" i="18"/>
  <c r="W175" i="18"/>
  <c r="V175" i="18"/>
  <c r="U175" i="18"/>
  <c r="T175" i="18"/>
  <c r="S175" i="18"/>
  <c r="R175" i="18"/>
  <c r="L175" i="18"/>
  <c r="K175" i="18"/>
  <c r="J175" i="18"/>
  <c r="H175" i="18"/>
  <c r="AA143" i="18"/>
  <c r="Z143" i="18"/>
  <c r="Y143" i="18"/>
  <c r="W143" i="18"/>
  <c r="V143" i="18"/>
  <c r="U143" i="18"/>
  <c r="T143" i="18"/>
  <c r="R143" i="18"/>
  <c r="L143" i="18"/>
  <c r="K143" i="18"/>
  <c r="H143" i="18"/>
  <c r="AA83" i="18"/>
  <c r="Z83" i="18"/>
  <c r="Y83" i="18"/>
  <c r="W83" i="18"/>
  <c r="U83" i="18"/>
  <c r="T83" i="18"/>
  <c r="S83" i="18"/>
  <c r="R83" i="18"/>
  <c r="K83" i="18"/>
  <c r="H83" i="18"/>
  <c r="AA29" i="18"/>
  <c r="Z29" i="18"/>
  <c r="Y29" i="18"/>
  <c r="W29" i="18"/>
  <c r="V29" i="18"/>
  <c r="U29" i="18"/>
  <c r="T29" i="18"/>
  <c r="S29" i="18"/>
  <c r="R29" i="18"/>
  <c r="L29" i="18"/>
  <c r="H29" i="18"/>
  <c r="AA19" i="18"/>
  <c r="Z19" i="18"/>
  <c r="Y19" i="18"/>
  <c r="W19" i="18"/>
  <c r="V19" i="18"/>
  <c r="U19" i="18"/>
  <c r="T19" i="18"/>
  <c r="S19" i="18"/>
  <c r="R19" i="18"/>
  <c r="L19" i="18"/>
  <c r="K19" i="18"/>
  <c r="H19" i="18"/>
  <c r="U249" i="18" l="1"/>
  <c r="Y249" i="18"/>
  <c r="H249" i="18"/>
  <c r="J249" i="18"/>
  <c r="R249" i="18"/>
  <c r="Z249" i="18"/>
  <c r="AA249" i="18"/>
  <c r="K249" i="18"/>
  <c r="W249" i="18"/>
  <c r="T249" i="18"/>
  <c r="X249" i="18"/>
  <c r="I267" i="18" l="1"/>
  <c r="P200" i="18"/>
  <c r="P202" i="18" l="1"/>
  <c r="P238" i="18" l="1"/>
  <c r="S143" i="18" l="1"/>
  <c r="S249" i="18" s="1"/>
  <c r="V83" i="18" l="1"/>
  <c r="L83" i="18"/>
  <c r="L249" i="18" s="1"/>
  <c r="G83" i="18" l="1"/>
  <c r="V188" i="18" l="1"/>
  <c r="V249" i="18" s="1"/>
  <c r="G248" i="18" l="1"/>
  <c r="G202" i="18"/>
  <c r="G199" i="18"/>
  <c r="G191" i="18"/>
  <c r="G188" i="18"/>
  <c r="P199" i="18" l="1"/>
  <c r="G19" i="18"/>
  <c r="G29" i="18"/>
  <c r="G175" i="18"/>
  <c r="G233" i="18"/>
  <c r="G143" i="18"/>
  <c r="G238" i="18"/>
  <c r="P249" i="18" l="1"/>
  <c r="G249" i="18"/>
  <c r="G267" i="18" l="1"/>
  <c r="H267" i="18" s="1"/>
</calcChain>
</file>

<file path=xl/sharedStrings.xml><?xml version="1.0" encoding="utf-8"?>
<sst xmlns="http://schemas.openxmlformats.org/spreadsheetml/2006/main" count="2267" uniqueCount="884">
  <si>
    <t>Číslo akce ADA</t>
  </si>
  <si>
    <t>Realizátor akce (zadavatel)</t>
  </si>
  <si>
    <t>Organizace</t>
  </si>
  <si>
    <t>Název akce</t>
  </si>
  <si>
    <t xml:space="preserve">Celkové náklady </t>
  </si>
  <si>
    <t>Jiné zdroje</t>
  </si>
  <si>
    <t>0003475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</si>
  <si>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</si>
  <si>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</si>
  <si>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</si>
  <si>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</si>
  <si>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Projekt výcvikového areálu pro zvládání rizik</t>
  </si>
  <si>
    <t>0001911</t>
  </si>
  <si>
    <t>Výměna oken v budově KÚ</t>
  </si>
  <si>
    <t>PŘÍPRAVA VZ</t>
  </si>
  <si>
    <t>0001513</t>
  </si>
  <si>
    <t>0003151</t>
  </si>
  <si>
    <t xml:space="preserve">038-19/2015/RK ze dne 1.6.2015                   008-17/2015/ZK ze dne 22.6.2015 </t>
  </si>
  <si>
    <t>0001514</t>
  </si>
  <si>
    <t>Investiční software dle konkrétních požadavků odborů</t>
  </si>
  <si>
    <t>REALIZACE</t>
  </si>
  <si>
    <t>0002821</t>
  </si>
  <si>
    <t>Software pro Informační systém KÚ</t>
  </si>
  <si>
    <t>0004972</t>
  </si>
  <si>
    <t>Obnova technologických center kraje - Praha a Kladno (TCK)</t>
  </si>
  <si>
    <t>0004971</t>
  </si>
  <si>
    <t>Zvýšení kybernetické bezpečnosti informačního systému KÚ</t>
  </si>
  <si>
    <t>0000120</t>
  </si>
  <si>
    <t>0000121</t>
  </si>
  <si>
    <t>Příprava a zabezpečení staveb silnic II. a III. třídy a drážní stavby pro lehká kolejová vozidla-tramvaje</t>
  </si>
  <si>
    <t>KSÚS</t>
  </si>
  <si>
    <t>0003947</t>
  </si>
  <si>
    <t>IDSK</t>
  </si>
  <si>
    <t>IDSK - vybavení IT technika</t>
  </si>
  <si>
    <t>045-24/2018/RK ze dne 6.8.2018
041-15/2018/ZK ze dne 27.8.2018</t>
  </si>
  <si>
    <t>Obec Postřižín - rekonstrukce povrchů komunikací včetně chodníků</t>
  </si>
  <si>
    <t>II/125 Kamberk, svodidla</t>
  </si>
  <si>
    <t>2427-1 Most přes strouhu před obcí Klíčany</t>
  </si>
  <si>
    <t>0003388</t>
  </si>
  <si>
    <t>SOŠ a SOU Hořovice</t>
  </si>
  <si>
    <t>Rekonstrukce staré budovy výukového centra Tlustice 2.etapa</t>
  </si>
  <si>
    <t>0003709</t>
  </si>
  <si>
    <t>Gymnázium Říčany, Komenského 1280</t>
  </si>
  <si>
    <t>Výstavba nové tělocvičny u Gymnázia Říčany</t>
  </si>
  <si>
    <t>0003847</t>
  </si>
  <si>
    <t>0003848</t>
  </si>
  <si>
    <t>Gymnázium Benešov</t>
  </si>
  <si>
    <t>Výstavba tělocvičny Gymnázia Benešov</t>
  </si>
  <si>
    <t>0004086</t>
  </si>
  <si>
    <t>Obchodní akademie, Střední pedagogická škola a Jazyková škola s právem státní jazykové zkoušky, Beroun, U Stadionu 486</t>
  </si>
  <si>
    <t>Střední průmyslová škola stavební a Obchodní akademie, Kladno, Cyrila Boudy 2954</t>
  </si>
  <si>
    <t>Střední škola designu a řemesel Kladno</t>
  </si>
  <si>
    <t>0004076</t>
  </si>
  <si>
    <t>0004055</t>
  </si>
  <si>
    <t>Základní škola a Praktická škola, Český Brod, Žitomířská 1359</t>
  </si>
  <si>
    <t>Vyšší odborná škola, Střední průmyslová škola a Jazyková škola s právem státní jazykové zkoušky, Kutná Hora, Masarykova 197</t>
  </si>
  <si>
    <t>0004093</t>
  </si>
  <si>
    <t>Střední odborná škola a Střední odborné učiliště řemesel, Kutná Hora, Čáslavská 202</t>
  </si>
  <si>
    <t>0004063</t>
  </si>
  <si>
    <t>Základní škola speciální, Mladá Boleslav, Václavkova 950</t>
  </si>
  <si>
    <t>Střední odborná škola a Střední odborné učiliště, Horky nad Jizerou 35</t>
  </si>
  <si>
    <t>0004066</t>
  </si>
  <si>
    <t>Základní umělecká škola B. M. Černohorského, Nymburk, Palackého třída 574</t>
  </si>
  <si>
    <t>Stavební úpravy v podkroví budovy ZUŠ Nymburk</t>
  </si>
  <si>
    <t>Vyšší odborná škola a Střední zemědělská škola, Benešov, Mendelova 131</t>
  </si>
  <si>
    <t>Střední lesnická škola a Střední odborné učiliště, Křivoklát, Písky 181</t>
  </si>
  <si>
    <t>053-12/2018/Rk ze dne 6.4.2018         033-13/2018/ZK ze dne 26.4.2018</t>
  </si>
  <si>
    <t>0004988</t>
  </si>
  <si>
    <t>Komplexní rekonstrukce kanalizace v celém areálu školy</t>
  </si>
  <si>
    <t>0004990</t>
  </si>
  <si>
    <t>Dětský domov a Školní jídelna, Pyšely, Senohrabská 112</t>
  </si>
  <si>
    <t>0004937</t>
  </si>
  <si>
    <t>Základní umělecká škola Josefa Slavíka, Hořovice, Palackého náměstí 253</t>
  </si>
  <si>
    <t>Výstavba a rekonstrukce sociálního zařízení v budově ZUŠ</t>
  </si>
  <si>
    <t>0004961</t>
  </si>
  <si>
    <t>Gymnázium Františka Palackého, Neratovice, Masarykova 450</t>
  </si>
  <si>
    <t>0004962</t>
  </si>
  <si>
    <t>Střední škola oděvního a grafického designu, Lysá nad Labem, Stržiště 475</t>
  </si>
  <si>
    <t>Sociální zařízení v budově školy (č.p. 475)</t>
  </si>
  <si>
    <t>0004969</t>
  </si>
  <si>
    <t>Rekonstrukce školního zařízení</t>
  </si>
  <si>
    <t>058-19/2018/RK ze dne 4.6.2018       035-14/2018/ZK ze dne 25.6.2018</t>
  </si>
  <si>
    <t>0005150</t>
  </si>
  <si>
    <t xml:space="preserve">Obchodní akademie, Vlašim, V Sadě 1565 </t>
  </si>
  <si>
    <t>Zateplení objektu</t>
  </si>
  <si>
    <t>Střední odborné učiliště, Hluboš 178</t>
  </si>
  <si>
    <t>Střední odborná škola a Střední odborné učiliště, Vlašim, Zámek 1</t>
  </si>
  <si>
    <t>BEZ VZ</t>
  </si>
  <si>
    <t xml:space="preserve">Dům dětí a mládeže „Na Výstavišti“, Mladá Boleslav, Husova 201  </t>
  </si>
  <si>
    <t>Celková obnova chatek a klubovny v Bezdědicích</t>
  </si>
  <si>
    <t xml:space="preserve">Střední zdravotnická škola a Vyšší odborná škola zdravotnická, Nymburk, Soudní 20 </t>
  </si>
  <si>
    <t>Gymnázium Joachima Barranda, Beroun, Talichova 824</t>
  </si>
  <si>
    <t>Tělocvična pro Gymnázium Joachima Barranda</t>
  </si>
  <si>
    <t>0001913</t>
  </si>
  <si>
    <t>Oblastní  muzeum Praha - východ</t>
  </si>
  <si>
    <t>Památník národního útlaku a odboje Panenské Břežany - III. etapa zahrada</t>
  </si>
  <si>
    <t>Muzeum Mladoboleslavska</t>
  </si>
  <si>
    <t>Galerie Středočeského kraje</t>
  </si>
  <si>
    <t>Rabasova galerie Rakovník</t>
  </si>
  <si>
    <t>České muzeum stříbra Kutná Hora</t>
  </si>
  <si>
    <t>Regionální muzeum v Kolíně</t>
  </si>
  <si>
    <t>Středočeské muzeum v Roztokách u Prahy</t>
  </si>
  <si>
    <t>Památník A. Dvořáka ve Vysoké u Příbrami</t>
  </si>
  <si>
    <t>0005086</t>
  </si>
  <si>
    <t>Regionální muzeum v Jílovém u Prahy</t>
  </si>
  <si>
    <t>Hornické muzeum Příbram</t>
  </si>
  <si>
    <t xml:space="preserve">Sládečkovo vlastivědné muzeum v Kladně </t>
  </si>
  <si>
    <t>0005458</t>
  </si>
  <si>
    <t>0005464</t>
  </si>
  <si>
    <t>37/2019/KUL</t>
  </si>
  <si>
    <t xml:space="preserve">Výstavba vstupního objektu ve skanzenu Muzea lidových staveb v Kouřimi </t>
  </si>
  <si>
    <t>40/2019/KUL</t>
  </si>
  <si>
    <t>41/2019/KUL</t>
  </si>
  <si>
    <t>Rekonstrukce parku Památníku Antonína Dvořáka</t>
  </si>
  <si>
    <t>48/2019/KUL</t>
  </si>
  <si>
    <t>Prodloužení podchodu Roztoky, společná investice SŽDC z roztockého nádraží do zámku</t>
  </si>
  <si>
    <t>0002170</t>
  </si>
  <si>
    <t>ON Kladno, a.s., nem. SČK</t>
  </si>
  <si>
    <t>Generel nemocnice Kladno - Rekonstrukce bloku C2</t>
  </si>
  <si>
    <t>0001500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</si>
  <si>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</si>
  <si>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</si>
  <si>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</si>
  <si>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Dětské centrum Chocerady</t>
  </si>
  <si>
    <t>0002923</t>
  </si>
  <si>
    <t>Rekonstrukce dětského centra Chocerady</t>
  </si>
  <si>
    <t>Nem. Rudolfa a Stefanie Benešov, a. s., nem. SČK</t>
  </si>
  <si>
    <t>0002348</t>
  </si>
  <si>
    <t>Železniční zastávky v Hostivici, Chýni, Rudné a Jinočanech - neželezniční části</t>
  </si>
  <si>
    <t>Středočeská centrála cestovního ruchu</t>
  </si>
  <si>
    <t>RDK</t>
  </si>
  <si>
    <t>0004312</t>
  </si>
  <si>
    <t>Domov Sedlčany</t>
  </si>
  <si>
    <t>0004267</t>
  </si>
  <si>
    <t>Domov seniorů Vidim</t>
  </si>
  <si>
    <t>Rekonstrukce el. rozvodů, topení, vody a vnitřních odpadů</t>
  </si>
  <si>
    <t>Domov seniorů Benešov</t>
  </si>
  <si>
    <t>0004634</t>
  </si>
  <si>
    <t xml:space="preserve">Rekonstrukce budovy č.2 </t>
  </si>
  <si>
    <t>Domov Hostomice - Zátor</t>
  </si>
  <si>
    <t>0004649</t>
  </si>
  <si>
    <t>Domov seniorů Dobříš</t>
  </si>
  <si>
    <t>Luxor Poděbrady</t>
  </si>
  <si>
    <t>Domov seniorů Uhlířské Janovice</t>
  </si>
  <si>
    <t>Nalžovický zámek</t>
  </si>
  <si>
    <t>Domov seniorů Nové Strašecí</t>
  </si>
  <si>
    <t>0004724</t>
  </si>
  <si>
    <t>Projekt zvyšování bezpečnosti KÚSK</t>
  </si>
  <si>
    <t xml:space="preserve"> </t>
  </si>
  <si>
    <t>akce nově zařazené</t>
  </si>
  <si>
    <t>modré písmo</t>
  </si>
  <si>
    <t>snížení celkových nákladů na akci</t>
  </si>
  <si>
    <t>akce zrušené, ukončené</t>
  </si>
  <si>
    <t>CELKEM</t>
  </si>
  <si>
    <t>Střední průmyslová škola strojírenská a Jazyková škola s právem státní jazykové zkoušky, Kolín IV, Heverova 191</t>
  </si>
  <si>
    <t>Střední odborné učiliště stavební, Benešov, Jana Nohy 1302</t>
  </si>
  <si>
    <t>Gymnázium Jiřího Ortena, Kutná Hora, Jaselská 932</t>
  </si>
  <si>
    <t>Domov Kladno - Švermov</t>
  </si>
  <si>
    <t>0005244</t>
  </si>
  <si>
    <t>0005247</t>
  </si>
  <si>
    <t>Dětský domov, Unhošť, Berounská 1292</t>
  </si>
  <si>
    <t>Samostatný vjezd a příjezdová cesta</t>
  </si>
  <si>
    <t>Střední odborná škola a Střední odborné učiliště, Kladno, Dubská</t>
  </si>
  <si>
    <t>Sportovní gymnázium, Kladno, Plzeňská 3103</t>
  </si>
  <si>
    <t>Střední odborná škola informatiky a spojů a Střední odborné učiliště, Kolín, Jaselská 826</t>
  </si>
  <si>
    <t>Dvořákovo gymnázium a Střední odborná škola ekonomická, Kralupy nad Vltavou, Dvořákovo náměstí 800</t>
  </si>
  <si>
    <t>Dětský domov a Školní jídelna, Kralupy nad Vltavou, U Sociálního domu 438</t>
  </si>
  <si>
    <t>Integrovaná střední škola technická, Mělník, K učilišti 2566</t>
  </si>
  <si>
    <t xml:space="preserve">Střední odborné učiliště, Hubálov 17 </t>
  </si>
  <si>
    <t>Odborné učebny pro instalatéry</t>
  </si>
  <si>
    <t>Výměna oken v celé budově</t>
  </si>
  <si>
    <t>Střední zemědělská škola a Střední odborná škola Poděbrady, příspěvková organizace</t>
  </si>
  <si>
    <t>Rekonstrukce a modernizace sportovního areálu školy</t>
  </si>
  <si>
    <t>Střední odborná škola a Střední odborné učiliště, Nymburk, V Kolonii 1804</t>
  </si>
  <si>
    <t>Oprava a modernizace výtahu v kuchyni</t>
  </si>
  <si>
    <t>Gymnázium a Střední odborná škola ekonomická, Sedlčany, Nádražní 90</t>
  </si>
  <si>
    <t>Vyšší odborná škola a Střední odborná škola, Březnice, Rožmitálská 340</t>
  </si>
  <si>
    <t>Rekonstrukce křídla DM včetně vybavení</t>
  </si>
  <si>
    <t>PD - snížení energetické náročnosti budov teorie a tělocvičny</t>
  </si>
  <si>
    <t>Masarykova obchodní akademie, Rakovník, Pražská  1222</t>
  </si>
  <si>
    <t>III/3353 Hrusice most ev.3353-2</t>
  </si>
  <si>
    <t>III/33420 Molitorov, most ev.č. 33420-1</t>
  </si>
  <si>
    <t>navýšení celkových nákladů na akci</t>
  </si>
  <si>
    <t>0005471</t>
  </si>
  <si>
    <t>Rekonstrukce signalizace sestra - pacient</t>
  </si>
  <si>
    <t>Domov Vraný</t>
  </si>
  <si>
    <t>Park generací</t>
  </si>
  <si>
    <t>89/2019/DOP</t>
  </si>
  <si>
    <t>94/2019/DOP</t>
  </si>
  <si>
    <t>102/2019/DOP</t>
  </si>
  <si>
    <t>86/2019/SOC</t>
  </si>
  <si>
    <t>97/2019/SOC</t>
  </si>
  <si>
    <t>zeleně podbarveno + poznámka</t>
  </si>
  <si>
    <t>x</t>
  </si>
  <si>
    <t>0005319</t>
  </si>
  <si>
    <t>0005482</t>
  </si>
  <si>
    <t>Rozvoj Rabasovy galerie Rakovník, stavební úpravy a dostavba</t>
  </si>
  <si>
    <t>*</t>
  </si>
  <si>
    <t>051-39/2017/RK ze dne 13.11.2017  028-11/2017/ZK ze dne 5.12.2017</t>
  </si>
  <si>
    <t>025-05/2019/RK ze dne 4.2.2019  101-17/2019/ZK ze dne 18.2.2019</t>
  </si>
  <si>
    <t>018-34/2018/RK ze dne 5.11.2018 128-16/2018/ZK ze dne 24.11.2018</t>
  </si>
  <si>
    <t>0005549</t>
  </si>
  <si>
    <t>ZRUŠENO</t>
  </si>
  <si>
    <t>0005508</t>
  </si>
  <si>
    <t>Přenosné osobní pokladny</t>
  </si>
  <si>
    <t>Koupě zámku v Přerově nad Labem (splátky hodnoty nemovitosti jsou naplánovány na 5 let)</t>
  </si>
  <si>
    <t>0005560</t>
  </si>
  <si>
    <t>0005563</t>
  </si>
  <si>
    <t>0005564</t>
  </si>
  <si>
    <t>0005571</t>
  </si>
  <si>
    <t>UKONČENO</t>
  </si>
  <si>
    <t>.</t>
  </si>
  <si>
    <t>018-34/2018/RK ze dne 5.11.2018 128-16/2018/ZK ze dne 26.11.2018</t>
  </si>
  <si>
    <t>Zřízení vodorovného dopravního značení, bezpečnostní prvky</t>
  </si>
  <si>
    <t>celkem</t>
  </si>
  <si>
    <t>CELKEM 17 - Odbor sociálních věcí</t>
  </si>
  <si>
    <t>CELKEM 10 - Odbor životního prostředí a zemědělství</t>
  </si>
  <si>
    <t>CELKEM 09 - Odbor řízení dotačních projektů</t>
  </si>
  <si>
    <t>CELKEM 07 - Odbor zdravotnictví</t>
  </si>
  <si>
    <t>CELKEM 06 - Odbor kultury a památkové péče</t>
  </si>
  <si>
    <t>CELKEM 05 - Odbor školství</t>
  </si>
  <si>
    <t>CELKEM 04 - Odbor dopravy</t>
  </si>
  <si>
    <t>CELKEM 03 - Odbor informatiky</t>
  </si>
  <si>
    <t>022-14/2019/RK ze dne 15.4.2019  108-18/2019/ZK ze dne 29.4.2019</t>
  </si>
  <si>
    <t>109/2019/SOC</t>
  </si>
  <si>
    <t>110/2019/SOC</t>
  </si>
  <si>
    <t>Centrální zařízení na úpravu vody</t>
  </si>
  <si>
    <t>111/2019/SOC</t>
  </si>
  <si>
    <t>Výstavba technické budovy, údržba a prádelna</t>
  </si>
  <si>
    <t>112/2019/SOC</t>
  </si>
  <si>
    <t>Rekonstrukce zařízení sestra pacient</t>
  </si>
  <si>
    <t>113/2019/SOC</t>
  </si>
  <si>
    <t>114/2019/SOC</t>
  </si>
  <si>
    <t>116/2019/SOC</t>
  </si>
  <si>
    <t>117/2019/SOC</t>
  </si>
  <si>
    <t>Nákup plynového kotle</t>
  </si>
  <si>
    <t>119/2019/SOC</t>
  </si>
  <si>
    <t>Domov Na Hrádku, Červený Hrádek</t>
  </si>
  <si>
    <t>Rybka Neratovice</t>
  </si>
  <si>
    <t>Domov Pod Kavčí Skálou, Říčany u Prahy</t>
  </si>
  <si>
    <t>Domov seniorů TGM, Beroun</t>
  </si>
  <si>
    <t>Domov Laguna, Psáry</t>
  </si>
  <si>
    <t>Domov Domino, Zavidov</t>
  </si>
  <si>
    <t>Domov Na Zámku, Lysá</t>
  </si>
  <si>
    <t>0005622</t>
  </si>
  <si>
    <t>044-36/2017/RK ze dne 12.10.2017  009-10/2017/ZK ze dne 24.10.2017</t>
  </si>
  <si>
    <t>040-23/2017/RK ze dne 15.6.2017   038-07/2017/ZK ze dne 27.6.2017</t>
  </si>
  <si>
    <t>054-14/2014/RK ze dne 14.4.2014            013-11/2014/ZK ze dne 28.4.2014</t>
  </si>
  <si>
    <t>026-13/2016/RK ze dne 4.4.2016  012-22 /2016/ZK ze dne 25.4.2016</t>
  </si>
  <si>
    <t>066-10/2012/RK ze dne 12.03.2012   062-21/2012/ZK ze dne 19.03.2012</t>
  </si>
  <si>
    <t>071-29/2016/RK ze dne 29.8.2016       012-24/2016/ZK ze dne 19.9.2016</t>
  </si>
  <si>
    <t>026-13/2016/RK ze dne 4.4.2016    012-22/2016/ZK ze dne 25.4.2016</t>
  </si>
  <si>
    <t>047-11/2017/RK ze dne 23.3.2017  040-23/2017/RK ze dne 15.6.2017</t>
  </si>
  <si>
    <t>075-07/2006/RK ze dne 30.03.2006                   013-11/2006/ZK ze dne 24.04.2006</t>
  </si>
  <si>
    <t>008-08/2013/RK ze dne 25.02.2013           004-03/2013/ZK ze dne 11.03.2013</t>
  </si>
  <si>
    <t>042-11/2011/RK ze dne 07.03.2011           047-15/2011/ZK ze dne 11.03.2011</t>
  </si>
  <si>
    <t>042-11/2011/RK ze dne 07.03.2011              047-15/2011/ZK ze dne 11.03.2011</t>
  </si>
  <si>
    <t>Nákup a rekonstrukce domu Kamýk</t>
  </si>
  <si>
    <t>Odborné učiliště, Praktická škola, Základní škola a Mateřská škola Příbram IV</t>
  </si>
  <si>
    <t>vlastní prostředky PO, a.s.</t>
  </si>
  <si>
    <t>prostředky rozpočtu SK kromě kap. 12</t>
  </si>
  <si>
    <t xml:space="preserve">016-06/2017/RK ze dne 16.2.2017   022-04/2017/ZK ze dne 7.3.2017     </t>
  </si>
  <si>
    <t>83/2019/SKOL</t>
  </si>
  <si>
    <t>86/2019/SKOL</t>
  </si>
  <si>
    <t>87/2019/SKOL</t>
  </si>
  <si>
    <t>92/2019/SKOL</t>
  </si>
  <si>
    <t>94/2019/SKOL</t>
  </si>
  <si>
    <t>96/2019/SKOL</t>
  </si>
  <si>
    <t>99/2019/SKOL</t>
  </si>
  <si>
    <t>100/2019/SKOL</t>
  </si>
  <si>
    <t>103/2019/SKOL</t>
  </si>
  <si>
    <t>104/2019/SKOL</t>
  </si>
  <si>
    <t>107/2019/SKOL</t>
  </si>
  <si>
    <t>110/2019/SKOL</t>
  </si>
  <si>
    <t>114/2019/SKOL</t>
  </si>
  <si>
    <t>115/2019/SKOL</t>
  </si>
  <si>
    <t>116/2019/SKOL</t>
  </si>
  <si>
    <t>119/2019/SKOL</t>
  </si>
  <si>
    <t>120/2019/SKOL</t>
  </si>
  <si>
    <t>122/2019/SKOL</t>
  </si>
  <si>
    <t>127/2019/SKOL</t>
  </si>
  <si>
    <t>Gymnázium Dr. Josefa Pekaře, Mladá Boleslav, Palackého 211</t>
  </si>
  <si>
    <t>Dokončení sanace suterénu</t>
  </si>
  <si>
    <t>Střední průmyslová škola, Mladá Boleslav, Havlíčkova 456</t>
  </si>
  <si>
    <t>025-19/2019/RK ze dne 3.6.2019  095-19/2019/ZK ze dne 24.6.2019</t>
  </si>
  <si>
    <t>52/2019/KUL</t>
  </si>
  <si>
    <t>Prototyp parkovacího modulu pro cyklisty</t>
  </si>
  <si>
    <t>54/2019/KUL</t>
  </si>
  <si>
    <t>Středočeská vědecká knihovna v Kladně</t>
  </si>
  <si>
    <t>Žaluzie na elektrické dálkové ovládání - zatemnění studovny a nákup tiskárny A3+</t>
  </si>
  <si>
    <t>57/2019/KUL</t>
  </si>
  <si>
    <t xml:space="preserve">Místa pro kontrolu nákladních vozidel </t>
  </si>
  <si>
    <t>Rekonstrukce vážních míst VRN vozidel - II/101 Neratovice, II/101 Říčany, II/125 Kolín-Sendražice a II/331 Ovčáry u Mělníka</t>
  </si>
  <si>
    <t xml:space="preserve">Přípravné a projekční práce zabezpečení investičních staveb </t>
  </si>
  <si>
    <t>III/3272 Hlízov</t>
  </si>
  <si>
    <t>III/33012 Písty</t>
  </si>
  <si>
    <t>III/1256 Vlašim - Veliš</t>
  </si>
  <si>
    <t>109/2019/DOP</t>
  </si>
  <si>
    <t>112/2019/DOP</t>
  </si>
  <si>
    <t>113/2019/DOP</t>
  </si>
  <si>
    <t>117/2019/DOP</t>
  </si>
  <si>
    <t>123/2019/DOP</t>
  </si>
  <si>
    <t>126/2019/DOP</t>
  </si>
  <si>
    <t>127/2019/DOP</t>
  </si>
  <si>
    <t>1.Q          (1.1.-31.3.)</t>
  </si>
  <si>
    <t>2.Q         (1.4.-30.6.)</t>
  </si>
  <si>
    <t>128/2019/DOP</t>
  </si>
  <si>
    <t>III/1057 komunikace na hrázi Dunávického rybníka</t>
  </si>
  <si>
    <t>147/2019/DOP</t>
  </si>
  <si>
    <t>159/2019/DOP</t>
  </si>
  <si>
    <t>II/268 Klášter Hradiště n. Jiz., most ev.č. 268-007</t>
  </si>
  <si>
    <t>200/2019/DOP</t>
  </si>
  <si>
    <t>III/22940 Pochvalov</t>
  </si>
  <si>
    <t>0005866</t>
  </si>
  <si>
    <t>0005868</t>
  </si>
  <si>
    <t>0005876</t>
  </si>
  <si>
    <t>Ústav archeologické památkové péče středních Čech</t>
  </si>
  <si>
    <t>65/2019/KUL</t>
  </si>
  <si>
    <t>Hornicko-hutnická expozice</t>
  </si>
  <si>
    <t>Zpracování projektové dokumentace na akci „Rozšíření vodárenské soustavy v koridoru dálnice D3"</t>
  </si>
  <si>
    <t>Rekonstrukce sociálních zařízení v budově KÚ</t>
  </si>
  <si>
    <t>3.Q         (1.7.-30.9.)</t>
  </si>
  <si>
    <t>4.Q         (1.10.-31.12.)</t>
  </si>
  <si>
    <t>Zařazeno do Zásobníku investic usnesením RK/ZK</t>
  </si>
  <si>
    <t>0003227</t>
  </si>
  <si>
    <t>21/2020/INF</t>
  </si>
  <si>
    <t>Rozšíření systému zálohování prostřednictvím Data Domain appliance v rámci technologického centra</t>
  </si>
  <si>
    <t>Opěrná zeď silnic III/11619 Karlštejn</t>
  </si>
  <si>
    <t>203/2020/DOP</t>
  </si>
  <si>
    <t>Obnova budov cestmistrovství</t>
  </si>
  <si>
    <t>205/2020/DOP</t>
  </si>
  <si>
    <t>206/2020/DOP</t>
  </si>
  <si>
    <t>207/2020/DOP</t>
  </si>
  <si>
    <t xml:space="preserve"> Lineární směrovací systém (BESIP)</t>
  </si>
  <si>
    <t>209/2020/DOP</t>
  </si>
  <si>
    <t>213/2020/DOP</t>
  </si>
  <si>
    <t>II/336 Buda - Čejtice</t>
  </si>
  <si>
    <t>214/2020/DOP</t>
  </si>
  <si>
    <t>215/2020/DOP</t>
  </si>
  <si>
    <t>II/328 Sloveč - Kněžice</t>
  </si>
  <si>
    <t>224/2020/DOP</t>
  </si>
  <si>
    <t>Dopravní značení - omezení tranzitní dopravy</t>
  </si>
  <si>
    <t>225/2020/DOP</t>
  </si>
  <si>
    <t>Domov Seniorů Vojkov</t>
  </si>
  <si>
    <t>Nákup a následná rekonstrukce nemovitosti č.p. 41</t>
  </si>
  <si>
    <t>Domov u Anežky Luštěnice</t>
  </si>
  <si>
    <t>036-23/2011/RK ze dne 30.05.2011 043-16/2011/ZK ze dne 6.6.2011</t>
  </si>
  <si>
    <t>0005783</t>
  </si>
  <si>
    <t>Školní statek Středočeského kraje, příspěvková organizace - středisko Mělník</t>
  </si>
  <si>
    <t>042-33/2019/RK ze dne 31.10.2019    139-21/2019/ZK ze dne 25.11.2019</t>
  </si>
  <si>
    <t>0006044</t>
  </si>
  <si>
    <t>0004844</t>
  </si>
  <si>
    <t>048-24/2019/RK ze dne  29.7.2019 088-20/2019/ZK ze dne 26.8.2019</t>
  </si>
  <si>
    <t>066-02/2020/RK ze dne 13.1.2020    071-22/2020/ZK ze dne 27.1.2020</t>
  </si>
  <si>
    <t>Instalace a oprava svodidel u silnic II. a III.tříd</t>
  </si>
  <si>
    <t>228/2020/DOP</t>
  </si>
  <si>
    <t>III/1265 Sedmpány - úprava odvodnění</t>
  </si>
  <si>
    <t>III/2751 Nemyslovice - Velké Všelisy</t>
  </si>
  <si>
    <t>Výkup nové přípojky elektřiny Bratronice</t>
  </si>
  <si>
    <t>66/2020/KUL</t>
  </si>
  <si>
    <t>Vybudování vnitřního osvětlení komunikace v areálu SM v Roztokách u Prahy</t>
  </si>
  <si>
    <t>67/2020/KUL</t>
  </si>
  <si>
    <t>Rekonstrukce historického hospodářského stavení v Dolní Krupé</t>
  </si>
  <si>
    <t>68/2020/KUL</t>
  </si>
  <si>
    <t>Převoz seníku z Rokytnice nad Jizerou</t>
  </si>
  <si>
    <t>70/2020/KUL</t>
  </si>
  <si>
    <t>Český Brod - obnova elektroinstalace</t>
  </si>
  <si>
    <t>15/2020/MJT</t>
  </si>
  <si>
    <t>0006078</t>
  </si>
  <si>
    <t>0006080</t>
  </si>
  <si>
    <t>0006082</t>
  </si>
  <si>
    <t>148/2020/SKOL</t>
  </si>
  <si>
    <t>Dokončení zateplení fasád budovy dílen odborného výcviku</t>
  </si>
  <si>
    <t>149/2020/SKOL</t>
  </si>
  <si>
    <t xml:space="preserve">Instruktážní nácviková hala </t>
  </si>
  <si>
    <t>151/2020/SKOL</t>
  </si>
  <si>
    <t>159/2020/SKOL</t>
  </si>
  <si>
    <t>Gymnázium Jiřího z Poděbrad, Poděbrady, Studentská 166</t>
  </si>
  <si>
    <t>PD - přístavba jižního křídla</t>
  </si>
  <si>
    <t>165/2020/SKOL</t>
  </si>
  <si>
    <t>Krmný vůz</t>
  </si>
  <si>
    <t>0005940</t>
  </si>
  <si>
    <t>0006053</t>
  </si>
  <si>
    <t>0006071</t>
  </si>
  <si>
    <t>Středočeský portál služeb</t>
  </si>
  <si>
    <t>2/2020/ŘDP</t>
  </si>
  <si>
    <t>Aktuální stav (Příprava VZ, Probíhá VZ, Realizace, Finanční vypořádání, Ukončeno,  Zrušeno)</t>
  </si>
  <si>
    <t>Rekonstrukce elektroinstalace, rozvodu vody a odpadů v DOZP</t>
  </si>
  <si>
    <t>Nákup nem. pro den. stac a odl. sl. v okr. Rakovník</t>
  </si>
  <si>
    <t xml:space="preserve">Rekonstrukce pokojů III. etapa </t>
  </si>
  <si>
    <t>132/2020/SOC</t>
  </si>
  <si>
    <t>16/2020/MJT</t>
  </si>
  <si>
    <t>Rekonstrukce podatelny KÚ - část pro veřejnost</t>
  </si>
  <si>
    <t>0006256</t>
  </si>
  <si>
    <t>0006243</t>
  </si>
  <si>
    <t>0006269</t>
  </si>
  <si>
    <t>71/2020/KUL</t>
  </si>
  <si>
    <t>72/2020/KUL</t>
  </si>
  <si>
    <t>probíhá soudní spor</t>
  </si>
  <si>
    <t>Finanční vypořádání</t>
  </si>
  <si>
    <t>239/2020/DOP</t>
  </si>
  <si>
    <t>242/2020/DOP</t>
  </si>
  <si>
    <t>III/23628 Drnek</t>
  </si>
  <si>
    <t>243/2020/DOP</t>
  </si>
  <si>
    <t>II/113 Mrzky</t>
  </si>
  <si>
    <t>245/2020/DOP</t>
  </si>
  <si>
    <t>III/1018 Dolní Lomnice</t>
  </si>
  <si>
    <t>246/2020/DOP</t>
  </si>
  <si>
    <t>III/1064 Nedvězí</t>
  </si>
  <si>
    <t>249/2020/DOP</t>
  </si>
  <si>
    <t>III/32819 Běrunice</t>
  </si>
  <si>
    <t>250/2020/DOP</t>
  </si>
  <si>
    <t>III/10228 Svaté Pole</t>
  </si>
  <si>
    <t>III/24424, III/2752 Kostelní Hlavno</t>
  </si>
  <si>
    <t>III/23919 Želevčice</t>
  </si>
  <si>
    <t>025-13/2020/RK ze dne 30.3.2020 115-24/2020/ZK ze dne 1.6.2020</t>
  </si>
  <si>
    <t>251/2020/DOP</t>
  </si>
  <si>
    <t>252/2020/DOP</t>
  </si>
  <si>
    <t>0006327</t>
  </si>
  <si>
    <t>0006218</t>
  </si>
  <si>
    <t>036-53/2020/RK ze dne 20.7.2020  130-26/2020/ZK ze dne 3.8.2020</t>
  </si>
  <si>
    <t>0006294</t>
  </si>
  <si>
    <t>mimo rozpočet SK</t>
  </si>
  <si>
    <t>139/2020/ZDR</t>
  </si>
  <si>
    <t>0006412</t>
  </si>
  <si>
    <t>Pavilon centrálního příjmu</t>
  </si>
  <si>
    <t>142/2020/ZDR</t>
  </si>
  <si>
    <t>0006414</t>
  </si>
  <si>
    <t>Rekonstrukce objektu SO 03, pavilon "O"</t>
  </si>
  <si>
    <t>143/2020/ZDR</t>
  </si>
  <si>
    <t>Rekonstrukce objektu SO 05, pavilon "E"</t>
  </si>
  <si>
    <t xml:space="preserve">ZZS SČK, p. o. </t>
  </si>
  <si>
    <t>146/2020/ZDR</t>
  </si>
  <si>
    <t>Vybudování nového stanoviště ZZS SK, Benešov</t>
  </si>
  <si>
    <t>147/2020/ZDR</t>
  </si>
  <si>
    <t>Vybudování nového stanoviště ZZS SK, Říčany</t>
  </si>
  <si>
    <t>148/2020/ZDR</t>
  </si>
  <si>
    <t>ON Příbram, a. s.</t>
  </si>
  <si>
    <t>0006413</t>
  </si>
  <si>
    <t>137/2020/SOC</t>
  </si>
  <si>
    <t>Domov seniorů Jenštejn</t>
  </si>
  <si>
    <t>Rozšíření kapacity Domova seniorů Jenštejn</t>
  </si>
  <si>
    <t>138/2020/SOC</t>
  </si>
  <si>
    <t>Rozšíření objektu Domov u Anežky Luštenice</t>
  </si>
  <si>
    <t>139/2020/SOC</t>
  </si>
  <si>
    <t>Revitalizace Domova seniorů Vidim</t>
  </si>
  <si>
    <t>140/2020/SOC</t>
  </si>
  <si>
    <t>II/322 Týnec nad Labem, most ev.č.322-005-oprava mostu v režimu "vyprojektuj a postav" ve smyslu Žluté knihy FIDIC</t>
  </si>
  <si>
    <t>254/2020/DOP</t>
  </si>
  <si>
    <t>Rekonstrukce Tylova domu v Kutné Hoře</t>
  </si>
  <si>
    <t>Probíhá příprava dohody o narovnání mezi SČK a SŽDC, Dohoda k posouzení je na SŽDC. Probíhají stále jednání se SŽDC.</t>
  </si>
  <si>
    <t>0006290</t>
  </si>
  <si>
    <t>0006432</t>
  </si>
  <si>
    <t>úvěr EIB</t>
  </si>
  <si>
    <t>čerpáno r.2021</t>
  </si>
  <si>
    <t>Rekonstrukce 2. NP a 3. NP</t>
  </si>
  <si>
    <t>040-84/2020/RK ze dne 26.11.2020  021-02/2020/ZK ze dne 14.12.2020</t>
  </si>
  <si>
    <t>Výkup pozemků (včetně pod stávající sítí) - silniční síť</t>
  </si>
  <si>
    <t>FINANČNÍ VYPOŘÁDÁNÍ</t>
  </si>
  <si>
    <t>040-84/2020/RK ze dne 26.11.2020 021-2/2020/ZK ze dne 14.12.2020</t>
  </si>
  <si>
    <t>Akce bude využívána v případě potřeby dalšího investování do zabezpečení IS KÚ.</t>
  </si>
  <si>
    <t>27/2021/INF</t>
  </si>
  <si>
    <t>Portál Středočeského kraje</t>
  </si>
  <si>
    <t>74/2021/KUL</t>
  </si>
  <si>
    <t>Konverze historické budovy Středočeské vědecké knihovny v Kladně</t>
  </si>
  <si>
    <t>75/2021/KUL</t>
  </si>
  <si>
    <t>Vybudování expozice a související náklady s adaptací objektu PM Český Brod</t>
  </si>
  <si>
    <t>76/2021/KUL</t>
  </si>
  <si>
    <t>Hornický domek v areálu Ševčinské štoly</t>
  </si>
  <si>
    <t>061-05/2021/RK ze dne 4.2.2021   048-04/2021/ZK ze dne 22.2.2021</t>
  </si>
  <si>
    <t xml:space="preserve"> Dokončena projektová dokumentace</t>
  </si>
  <si>
    <t>Rekonstrukce elektroinstalace tech. zázemí domova a rekonstrukce vodoinstalace tech. zázemí domova</t>
  </si>
  <si>
    <t>II/339 Štipoklasy - Červené Janovice</t>
  </si>
  <si>
    <t>256/2021/DOP</t>
  </si>
  <si>
    <t>III/1114 Líšno, svah a část vozovky</t>
  </si>
  <si>
    <t>151/2020/ZDR</t>
  </si>
  <si>
    <t>Ústavní kuchyně a jídelna, Kladno</t>
  </si>
  <si>
    <t>77/2021/KUL</t>
  </si>
  <si>
    <t>sloučené, rozdělené, přejmenované akce, změna financování, změna způsobu financování, převod do jiného odboru</t>
  </si>
  <si>
    <t>písmo škrtnuto</t>
  </si>
  <si>
    <t>Nákup autobusové zastávky Přerov nad Labem</t>
  </si>
  <si>
    <t>0006589</t>
  </si>
  <si>
    <t>0006591</t>
  </si>
  <si>
    <t>Pozn. - číselné hodnoty finančních prostředků jsou ukládány s přesností na haléře, pro přehlednost jsou zobrazovány zaokrouhleně na celé tis. Kč.</t>
  </si>
  <si>
    <t xml:space="preserve"> 037-16/2021/RK ze dne 8.4.2021     027-06/2021/ZK ze dne 26.4.2021</t>
  </si>
  <si>
    <t>Pořízení vychází ze stále větších požadavků na zálohování v souvislosti s elektronizací agend úřadu.</t>
  </si>
  <si>
    <t>Náhrada stávajících (nevyhovujících)  internetových stránek</t>
  </si>
  <si>
    <t>142/2021/SOC</t>
  </si>
  <si>
    <t>Demolice  bourací práce objektu č.p. 1488 Domov Kladno-Švermov</t>
  </si>
  <si>
    <t>141/2021/SOC</t>
  </si>
  <si>
    <t>Rekonstrukce fasády  včetně rozvodů STA a IT</t>
  </si>
  <si>
    <t>19/2020/MJT</t>
  </si>
  <si>
    <t>Stavebně ukončeno, zádržné ve výši 720 782,25 Kč bude vyplaceno po 13.9.2023</t>
  </si>
  <si>
    <t>stavebně hotovo, čeká proplacení doplatku</t>
  </si>
  <si>
    <t>stavba realizovaná, vypořádání a úvodní servis vah + kalibrace</t>
  </si>
  <si>
    <t>stavebně hotovo I. etapa, proplacení I etapy</t>
  </si>
  <si>
    <t>Stellplatz Vrchbělá - stání pro karavany a obytná auta v areálu Vrchbělá</t>
  </si>
  <si>
    <t>Rekonstrukce a přístavba budovy N a D2</t>
  </si>
  <si>
    <t>11/2019/MJT</t>
  </si>
  <si>
    <t>8/2019/MJT</t>
  </si>
  <si>
    <t>CELKEM 02 - Odbor majetku a hospodářské správy</t>
  </si>
  <si>
    <t>CELKEM 26 - Odbor veřejné mobility</t>
  </si>
  <si>
    <t>CELKEM 25 - Odbor bezpečnosti a krizového řízení</t>
  </si>
  <si>
    <t>0006642</t>
  </si>
  <si>
    <t xml:space="preserve"> Kap. 12    celkem             </t>
  </si>
  <si>
    <t>CELKEM 08 - Oddělení regionálního rozvoje</t>
  </si>
  <si>
    <t>III/33348 Kostelec n. Č. lesy</t>
  </si>
  <si>
    <t>051-39/2017/RK ze dne 13.11.2017          028-11/2017/ZK ze dne  5.12.2017</t>
  </si>
  <si>
    <t xml:space="preserve"> 046-25/2021/RK ze dne 10.6.2021  015-08/2021/ZK ze dne 28.6.2021</t>
  </si>
  <si>
    <t>143/2021/SOC</t>
  </si>
  <si>
    <t>Rekonstrukce koupelen II. Etapa</t>
  </si>
  <si>
    <t>144/2021/SOC</t>
  </si>
  <si>
    <t xml:space="preserve">Rekonstrukce společných koupelen </t>
  </si>
  <si>
    <t>145/2021/SOC</t>
  </si>
  <si>
    <t>Výměna - repase oken</t>
  </si>
  <si>
    <t>146/2021/SOC</t>
  </si>
  <si>
    <t>Rekonstrukce terasy</t>
  </si>
  <si>
    <t>257/2021/DOP</t>
  </si>
  <si>
    <t xml:space="preserve"> 046-25/2021/RK ze dne 10.6.2021     015-08/2021/ZK ze dne 28.6.2021</t>
  </si>
  <si>
    <t>20/2021/MJT</t>
  </si>
  <si>
    <t>21/2021/MJT</t>
  </si>
  <si>
    <t>Elektromobilita - vozový park KÚ</t>
  </si>
  <si>
    <t>22/2021/MJT</t>
  </si>
  <si>
    <t xml:space="preserve">PD + Rekonstrukce osvětlení  - veřejné prostory KÚ </t>
  </si>
  <si>
    <t>23/2021/MJT</t>
  </si>
  <si>
    <t>0004912</t>
  </si>
  <si>
    <t>navazující investice přístupového chodníku v souvislostí s akcí Prodloužení podchodu Roztoky</t>
  </si>
  <si>
    <t>0006703</t>
  </si>
  <si>
    <t>0006705</t>
  </si>
  <si>
    <t>0006706</t>
  </si>
  <si>
    <t>0006707</t>
  </si>
  <si>
    <t>0006708</t>
  </si>
  <si>
    <t>0006709</t>
  </si>
  <si>
    <t>0006710</t>
  </si>
  <si>
    <t>3/2021/OVM</t>
  </si>
  <si>
    <t>Propojení cyklistických tras Středočeský kraj - Praha, orientační dopravní značení</t>
  </si>
  <si>
    <t>4/2021/OVM</t>
  </si>
  <si>
    <t xml:space="preserve">Vyznačení odboček z cyklotras na expoziční objekty, orientační dopravní značení </t>
  </si>
  <si>
    <t>5/2021/OVM</t>
  </si>
  <si>
    <t>III/1185 a III11811 Obecnice</t>
  </si>
  <si>
    <t>BENEŠOV-TS BN 0451 Domov seniorů-kompaktní trafostanice BPP</t>
  </si>
  <si>
    <t>152/2021/ZDR</t>
  </si>
  <si>
    <t>Vybudování nového stanoviště ZZS SK, Brandýs nad Labem</t>
  </si>
  <si>
    <t>0005954</t>
  </si>
  <si>
    <t>0006720</t>
  </si>
  <si>
    <t>0006724</t>
  </si>
  <si>
    <t>požadavek r. 2022</t>
  </si>
  <si>
    <t>podněty PČR, připraveny návrhy zlepšení BESIP</t>
  </si>
  <si>
    <t xml:space="preserve"> 080-32/2021/RK ze dne   26.8.2021     021-09/2021/ZK ze dne 13.9.2021</t>
  </si>
  <si>
    <t xml:space="preserve"> 080-32/2021/RK ze dne  26.8.2021     021-09/2021/ZK ze dne 13.9.2021</t>
  </si>
  <si>
    <t>Nákup a obnova výpočetní techniky a zařízení</t>
  </si>
  <si>
    <t xml:space="preserve">Zrealizovaná modernizace počítačové učebny, v plánu na r.2022 je modernizace zasedací místnosti rady. </t>
  </si>
  <si>
    <t>Pořízení nových kopírovacích strojů pro KÚ</t>
  </si>
  <si>
    <t>Instalace klimatizačních jednotek do vybraných kanceláří ve druhém patře budovy KÚ</t>
  </si>
  <si>
    <t>Rekonstrukce osvětlení v zasedací místnosti 1015 KÚ</t>
  </si>
  <si>
    <t>Výměna garážových vrat na KÚ</t>
  </si>
  <si>
    <t>Modernizace schodišťové plošiny pro invalidy - vstup "C" KÚ</t>
  </si>
  <si>
    <t>Obměna vozového parku KÚ- kategorie nižší střední</t>
  </si>
  <si>
    <t>PD + Výměna rekonstrukce výtahu "B" KÚ</t>
  </si>
  <si>
    <t>24/2021/MJT</t>
  </si>
  <si>
    <t>Chytrý úřad - elektronický vnitřní informační systém KÚ</t>
  </si>
  <si>
    <t>Rozhodnutí vedení Krajského úřadu Středočeského kraje - chytrý vnitřní informační  a navigační systém.</t>
  </si>
  <si>
    <t xml:space="preserve">016-06/2017/RK ze dne 16.2.2017  022-04/2017/ZK ze dne 7.3.2017     </t>
  </si>
  <si>
    <t>173/2021/SKOL</t>
  </si>
  <si>
    <t>Vybudování přípojek k napojení na obecní kanalizaci vč. projektu</t>
  </si>
  <si>
    <t>175/2021/SKOL</t>
  </si>
  <si>
    <t>176/2021/SKOL</t>
  </si>
  <si>
    <t>177/2021/SKOL</t>
  </si>
  <si>
    <t>Základní škola, Zruč nad Sázavou, Okružní 643</t>
  </si>
  <si>
    <t>178/2021/SKOL</t>
  </si>
  <si>
    <t>179/2021/SKOL</t>
  </si>
  <si>
    <t>180/2021/SKOL</t>
  </si>
  <si>
    <t>Základní škola, Brandýs nad Labem - Stará Boleslav, příspěvková organizace</t>
  </si>
  <si>
    <t xml:space="preserve">Nejprve nutná studie a PD, prioritní akce </t>
  </si>
  <si>
    <t>181/2021/SKOL</t>
  </si>
  <si>
    <t>182/2021/SKOL</t>
  </si>
  <si>
    <t>Integrovaná střední škola, Mladá Boleslav, Na Karmeli 206</t>
  </si>
  <si>
    <t>Úprava půdních prostorů DM Jaselská</t>
  </si>
  <si>
    <t>183/2021/SKOL</t>
  </si>
  <si>
    <t>184/2021/SKOL</t>
  </si>
  <si>
    <t xml:space="preserve">Rekonstrukce kuchyně </t>
  </si>
  <si>
    <t>186/2021/SKOL</t>
  </si>
  <si>
    <t>Plynová přípojka zemního plynu do dílen</t>
  </si>
  <si>
    <t>Snížení energetické náročnosti domova Sedlčany - výměna oken a balkonových sestav a zateplení</t>
  </si>
  <si>
    <t xml:space="preserve">III/0172 Opatovice I, most ev.č.0172-1 </t>
  </si>
  <si>
    <t>258/2021/DOP</t>
  </si>
  <si>
    <t>Okružní křižovatky Nymburk II/503xII/330 a II/503xII/331</t>
  </si>
  <si>
    <t>259/2021/DOP</t>
  </si>
  <si>
    <t>III/11816 Jelence</t>
  </si>
  <si>
    <t>80/2021/KUL</t>
  </si>
  <si>
    <t>Investice v areálu Uranového dolu Bytíz</t>
  </si>
  <si>
    <t>81/2021/KUL</t>
  </si>
  <si>
    <t>Koupě Hrabalovy chaty v Kersku</t>
  </si>
  <si>
    <t>82/2021/KUL</t>
  </si>
  <si>
    <t>Oblastní muzeum Praha - východ</t>
  </si>
  <si>
    <t>Arnoldinovský dům – půdní vestavba</t>
  </si>
  <si>
    <t>83/2021/KUL</t>
  </si>
  <si>
    <t>Zpřítomnění archeologické lokality Závist</t>
  </si>
  <si>
    <t>Výměna oken včetně parapetů - OA,SpeŠ,JŠ - Beroun</t>
  </si>
  <si>
    <t>PD a zateplení střechy budovy školy - Střední škola designu a řemesel Kladno</t>
  </si>
  <si>
    <t>Zateplení střechy, oprava obložení stropu a stěn tělocvičny-ZŠ a PŠ Č. Brod</t>
  </si>
  <si>
    <t>REKO soc. zařízení DM-SOŠ a SOU řemesel KH</t>
  </si>
  <si>
    <t>Nový objekt základní školy speciální - Mladá Boleslav</t>
  </si>
  <si>
    <t>Rekonstrukce DD a ŠJ - Pyšely</t>
  </si>
  <si>
    <t>Půdní vestavba a nástavba-Gym. F. Palackého, Neratovice</t>
  </si>
  <si>
    <t>Půdní vestavba učeben - SZŠ, VOŠ Nymburk</t>
  </si>
  <si>
    <t>Fasáda budovy včetně zateplení - Sportovní gymnázium, Kladno</t>
  </si>
  <si>
    <t>Rekonstrukce elektroinstalace budovy školy-SPŠ strojírenská, Kolín</t>
  </si>
  <si>
    <t>Výměna tepelného zdroje-Gym. J. Ortena, KH</t>
  </si>
  <si>
    <t>Zabezpečení ochrany školy_VOŠ,SPŠ a JŠ, KH</t>
  </si>
  <si>
    <t>Rekonstrukce sportovního areálu-Dvořákovo G, Kralupy n/V</t>
  </si>
  <si>
    <t>Přístavba budovy - čajovny-DD a ŠJ Kralupy n/V</t>
  </si>
  <si>
    <t>Rekonstrukce DM-ISŠ technická Mělník</t>
  </si>
  <si>
    <t>Zateplení budovy školy a střechy  - G a SOŠE - Sedlčany</t>
  </si>
  <si>
    <t>Výměna el. rozvodů - dílny - OU, PŠ, ZŠ Příbram</t>
  </si>
  <si>
    <t>Výměna oken-MOA, Rakovník</t>
  </si>
  <si>
    <t>Zateplení objektů-SŠ lesnická a SOU, Křivoklát</t>
  </si>
  <si>
    <t>Rekonstrukce kuchyně a jídelny DM -  SoŠ a SOU Kladno</t>
  </si>
  <si>
    <t>Nákup pozemku-SOŠ informatiky a SOU, Kolín</t>
  </si>
  <si>
    <t>PD - Rekonstrukce elektroinstalace-VOŠ,SPŠ a JŠ, KH</t>
  </si>
  <si>
    <t xml:space="preserve">Zateplení budovy školy a střechy-ZŠ Zruč n/S </t>
  </si>
  <si>
    <t>Odizolování základů-Gym. F. Palackého, Neratovice</t>
  </si>
  <si>
    <t>Odizolování zdiva suterénu-DD a ŠJ Kralupy n/V</t>
  </si>
  <si>
    <t>Nová budova ZŠ - Brandýs nad Labem</t>
  </si>
  <si>
    <t>Hotelová škola Poděbrady, příspěvková organizace</t>
  </si>
  <si>
    <t>Modernizace školních kuchyněk - HŠ Poděbrady</t>
  </si>
  <si>
    <t>Rekonstrukce kotelny-SPŠS Kolín</t>
  </si>
  <si>
    <t>1/2011/MJT</t>
  </si>
  <si>
    <t>2/2011/MJT</t>
  </si>
  <si>
    <t>3/2015/MJT</t>
  </si>
  <si>
    <t>1/2011/INF</t>
  </si>
  <si>
    <t>3/2013/INF</t>
  </si>
  <si>
    <t>5/2018/INF</t>
  </si>
  <si>
    <t>6/2018/INF</t>
  </si>
  <si>
    <t>9/2018/INF</t>
  </si>
  <si>
    <t>10/2018/INF</t>
  </si>
  <si>
    <t>1/2013/DOP</t>
  </si>
  <si>
    <t>2/2006/DOP</t>
  </si>
  <si>
    <t>35/2018/DOP</t>
  </si>
  <si>
    <t>45/2018/DOP</t>
  </si>
  <si>
    <t>80/2018/DOP</t>
  </si>
  <si>
    <t>1/2016/SKOL</t>
  </si>
  <si>
    <t>3/2016/SKOL</t>
  </si>
  <si>
    <t>6/2017/SKOL</t>
  </si>
  <si>
    <t>7/2017/SKOL</t>
  </si>
  <si>
    <t>8/2017/SKOL</t>
  </si>
  <si>
    <t>11/2017/SKOL</t>
  </si>
  <si>
    <t>14/2017/SKOL</t>
  </si>
  <si>
    <t>17/2017/SKOL</t>
  </si>
  <si>
    <t>18/2017/SKOL</t>
  </si>
  <si>
    <t>20/2017/SKOL</t>
  </si>
  <si>
    <t>31/2018/SKOL</t>
  </si>
  <si>
    <t>33/2018/SKOL</t>
  </si>
  <si>
    <t>34/2018/SKOL</t>
  </si>
  <si>
    <t>38/2018/SKOL</t>
  </si>
  <si>
    <t>39/2018/SKOL</t>
  </si>
  <si>
    <t>42/2018/SKOL</t>
  </si>
  <si>
    <t>45/2018/SKOL</t>
  </si>
  <si>
    <t>53/2018/SKOL</t>
  </si>
  <si>
    <t>56/2018/SKOL</t>
  </si>
  <si>
    <t>66/2018/SKOL</t>
  </si>
  <si>
    <t>1/2011/KUL</t>
  </si>
  <si>
    <t>20/2018/KUL</t>
  </si>
  <si>
    <t>29/2018/KUL</t>
  </si>
  <si>
    <t>32/2018/KUL</t>
  </si>
  <si>
    <t>2/2012/ZDR</t>
  </si>
  <si>
    <t>4/2015/ZDR</t>
  </si>
  <si>
    <t>10/2016/ZDR</t>
  </si>
  <si>
    <t>1/2014/REG</t>
  </si>
  <si>
    <t>1/2017/OZP</t>
  </si>
  <si>
    <t>4/2017/SOC</t>
  </si>
  <si>
    <t>12/2017/SOC</t>
  </si>
  <si>
    <t>23/2017/SOC</t>
  </si>
  <si>
    <t>45/2018/SOC</t>
  </si>
  <si>
    <t>1/2018/OBŘ</t>
  </si>
  <si>
    <t>2/2016/OBŘ</t>
  </si>
  <si>
    <t>3/2018/OBŘ</t>
  </si>
  <si>
    <t>1/2017/OVM</t>
  </si>
  <si>
    <t>2/2019/OVM</t>
  </si>
  <si>
    <t>0006819</t>
  </si>
  <si>
    <t>0004848</t>
  </si>
  <si>
    <t>0006745</t>
  </si>
  <si>
    <t>č. inv. akce</t>
  </si>
  <si>
    <t>0006828</t>
  </si>
  <si>
    <t xml:space="preserve"> 047-42/2021/RK ze dne  11.11.2021     031-11/2021/ZK ze dne 29.11.2021</t>
  </si>
  <si>
    <t>0003174</t>
  </si>
  <si>
    <t>0006744</t>
  </si>
  <si>
    <t>0006860</t>
  </si>
  <si>
    <t>0006730</t>
  </si>
  <si>
    <t>0006885</t>
  </si>
  <si>
    <t>0006903</t>
  </si>
  <si>
    <t>0006748</t>
  </si>
  <si>
    <t>Rekonstrukce elektrických rozvodů a svítidel - Gym. Dr. Pekaře, Mladá Boleslav</t>
  </si>
  <si>
    <t>čerpáno do 31.12. 2021</t>
  </si>
  <si>
    <t>Plán čerpání r.  2022</t>
  </si>
  <si>
    <t>Předpoklad  r. 2023</t>
  </si>
  <si>
    <t>Předpoklad r. 2024+</t>
  </si>
  <si>
    <t>požadavek r. 2023</t>
  </si>
  <si>
    <t>požadavek r. 2024 (+)</t>
  </si>
  <si>
    <t>Aktuální limit čerpání r. 2022 - 13 mil. Kč z vlastních prostředků SK</t>
  </si>
  <si>
    <t>Aktuální limit čerpání r. 2022 - 25 mil. Kč z vlastních prostředků SK</t>
  </si>
  <si>
    <t>Aktuální limity čerpání r. 2022  - 260 mil. Kč z vlastních prostředků SK,    260 mil. Kč z prostředků EIB</t>
  </si>
  <si>
    <t>Aktuální limity čerpání r. 2022 - 75 mil. Kč z vlastních prostředků SK,    130 mil. Kč z prostředků EIB</t>
  </si>
  <si>
    <t>Aktuální limit čerpání r. 2022 - 36 mil. Kč z vlastních prostředků SK</t>
  </si>
  <si>
    <t>Aktuální limity čerpání r. 2022 - 7 mil. Kč z vlastních prostředků SK,    1,3 mld. Kč z prostředků EIB</t>
  </si>
  <si>
    <t>Aktuální limit čerpání r. 2022 - 1 mil. Kč z vlastních prostředků SK</t>
  </si>
  <si>
    <t>Aktuální limit čerpání r. 2022 - 8 mil. Kč z vlastních prostředků SK</t>
  </si>
  <si>
    <t>Aktuální limity čerpání r. 2022 - 56 mil. Kč z vlastních prostředků SK,   100 mil. Kč z prostředků EIB</t>
  </si>
  <si>
    <t>Aktuální limit čerpání r. 2022 - 14 mil. Kč z vlastních prostředků SK</t>
  </si>
  <si>
    <t>Aktuální limit čerpání r. 2022 - 2 mil. Kč z vlastních prostředků SK</t>
  </si>
  <si>
    <t>Aktuální limity čerpání r. 2022 - 500 mil. Kč z vlastních prostředků SK,    1,79 mld. Kč z prostředků EIB</t>
  </si>
  <si>
    <t>čerpáno r.2022</t>
  </si>
  <si>
    <t>Finanční prostředky r. 2022-kap.12</t>
  </si>
  <si>
    <t>z toho EIB</t>
  </si>
  <si>
    <t>celý řádek :</t>
  </si>
  <si>
    <t>Finanční zdroje r. 2022 v tis. Kč</t>
  </si>
  <si>
    <t xml:space="preserve">Legenda </t>
  </si>
  <si>
    <t>Modernizace zasedací místnosti Rady SčK</t>
  </si>
  <si>
    <t>025-05/2019/RK ze dne 4.2.2019      101-17/2019/ZK ze dne 18.2.2019</t>
  </si>
  <si>
    <t>048-24/2019/RK ze dne  29.7.2019     088-20/2019/ZK ze dne 26.8.2019</t>
  </si>
  <si>
    <t>048-24/2019/RK ze dne  29.7.2019    088-20/2019/ZK ze dne 26.8.2019</t>
  </si>
  <si>
    <t>Senzorické zabezpečení silnic Středočeského kraje</t>
  </si>
  <si>
    <t>III/0181 Láz - voj. prostor</t>
  </si>
  <si>
    <t>025-13/2020/RK ze dne 30.3.2020    115-24/2020/ZK ze dne 1.6.2020</t>
  </si>
  <si>
    <t xml:space="preserve"> 080-32/2021/RK ze dne 26.8.2021 021-09/2021/ZK ze dne 13.9.2021</t>
  </si>
  <si>
    <t>047-42/2021/RK ze dne 11.11.2021 031-11/2021/ZK ze dne 29.11.2021</t>
  </si>
  <si>
    <t>260/2021/DOP</t>
  </si>
  <si>
    <t>Senzorický systém pro monitoring mostu přes Labe ev. č. 610-013 v Brandýse nad Labem</t>
  </si>
  <si>
    <t>261/2021/DOP</t>
  </si>
  <si>
    <t>Areál CMS Říčany - dostavba areálu</t>
  </si>
  <si>
    <t>262/2021/DOP</t>
  </si>
  <si>
    <t>III33355 Kutná Hora, Gruntecká</t>
  </si>
  <si>
    <t>263/2021/DOP</t>
  </si>
  <si>
    <t>III/3319 Kostomlaty nad Labem, ul. Doubravská - zklidnění dopravy</t>
  </si>
  <si>
    <t>264/2021/DOP</t>
  </si>
  <si>
    <t>III/3245 M.Králové, ul. Dymokurská</t>
  </si>
  <si>
    <t>265/2021/DOP</t>
  </si>
  <si>
    <t>III/33721 Močovice</t>
  </si>
  <si>
    <t>266/2021/DOP</t>
  </si>
  <si>
    <t>II/508 Mnichovice, chodník - nahrazení lávky</t>
  </si>
  <si>
    <t>267/2021/DOP</t>
  </si>
  <si>
    <t>Zklidnění dopravy v obci ZLONÍN MÍSTNÍ KOMUNIKACE MO2 7/20 (průtah sil.III.tř. č.0086 obcí)</t>
  </si>
  <si>
    <t>Realizace  z NSA-doplatek PD</t>
  </si>
  <si>
    <t>187/2022/SKOL</t>
  </si>
  <si>
    <t>Gymnázium Hostivice, příspěvková organizace</t>
  </si>
  <si>
    <t>Nástavba budovy Gymnázia Hostivice</t>
  </si>
  <si>
    <t>188/2022/SKOL</t>
  </si>
  <si>
    <t>Snížení energetické náročnosti budovy Střední průmyslové školy v Mladé Boleslavi</t>
  </si>
  <si>
    <t>0005884</t>
  </si>
  <si>
    <t>0006728</t>
  </si>
  <si>
    <t>Rekonstrukce / revitalizace areálu Regionálního muzea v Jílovém u Prahy</t>
  </si>
  <si>
    <t>0006888</t>
  </si>
  <si>
    <t>Probíhá příprava VZ na zpracování PD</t>
  </si>
  <si>
    <t>147/2022/SOC</t>
  </si>
  <si>
    <t>Snížení energetické náročnosti budov, komplexní rekonstrukce pláště budov a technického zázemí Domova seniorů Sedlčany</t>
  </si>
  <si>
    <t>Vyznačení Nelahozeves, Kralupy</t>
  </si>
  <si>
    <t>6/2021/OVM</t>
  </si>
  <si>
    <t>Vyznačení EuroVelo 4 CT 39 Zdice - hranice Plzeňského kraje</t>
  </si>
  <si>
    <t>7/2021/OVM</t>
  </si>
  <si>
    <t>Vyznačení EuroVelo 7 CT 7 Praha - hranice Jihočeského kraje</t>
  </si>
  <si>
    <t>8/2021/OVM</t>
  </si>
  <si>
    <t>Vyznačení CT1 Kouřim - Kutná Hora</t>
  </si>
  <si>
    <t>Výstavba nového centrálního muzejního depozitáře pro RM Kolín</t>
  </si>
  <si>
    <t>0006124</t>
  </si>
  <si>
    <t>0006932</t>
  </si>
  <si>
    <t>0006767</t>
  </si>
  <si>
    <t>změna názvu realizátora</t>
  </si>
  <si>
    <r>
      <t>Navýšení CN o 90 mil. Kč (vývoj cen na trhu) .  Schváleno financování z úvěru SK od</t>
    </r>
    <r>
      <rPr>
        <sz val="14"/>
        <rFont val="Arial"/>
        <family val="2"/>
        <charset val="238"/>
      </rPr>
      <t xml:space="preserve"> EIB </t>
    </r>
    <r>
      <rPr>
        <sz val="10"/>
        <rFont val="Arial"/>
        <family val="2"/>
        <charset val="238"/>
      </rPr>
      <t>ve výši 270 mil. Kč.   Stavba rekonstrukce C2 má vydané stavební povolení platné v rámci rekonstrukce celého monobloku nemocnice s prodloužrním dokončení stavby do 31.12.2023.</t>
    </r>
  </si>
  <si>
    <t>Zásobník investic Středočeského kraje na rok 2022 - změna č. 2</t>
  </si>
  <si>
    <t>Změna č. 2</t>
  </si>
  <si>
    <t>Kapitálové prostředky  (před zm. č. 2)</t>
  </si>
  <si>
    <t>Kapitálové prostředky  (po změně  č. 2)</t>
  </si>
  <si>
    <t>z toho vlastní zdroje SK</t>
  </si>
  <si>
    <t>Schválený rozpočet 2022 (usnesení č. 013-11/2021/ZK ze dne 29.11.2021)</t>
  </si>
  <si>
    <t>Nevyčerpané účelové finanční prostředky z roku 2021 (zůstatek hospodaření z roku 2021)</t>
  </si>
  <si>
    <t>Finanční zdroje v r. 2022 celkem</t>
  </si>
  <si>
    <t>Celkové požadavky na financování akcí v r. 2022 vycházející ze Zásobníku investic - změna č. 2</t>
  </si>
  <si>
    <t>Plánováno využití opce ze smlouvy na dokoupení zbývajících stavebních bloků.</t>
  </si>
  <si>
    <t xml:space="preserve">Stavebně hotovo, čeká proplacení doplatku. </t>
  </si>
  <si>
    <t>Příprava PD na stavbu</t>
  </si>
  <si>
    <t xml:space="preserve"> Podněty PČR, připraveny návrhy zlepšení BESIP</t>
  </si>
  <si>
    <t xml:space="preserve">  Rámcová smlouva, podněty PČR, připraveny návrhy zlepšení BESIP</t>
  </si>
  <si>
    <t xml:space="preserve">Fáze rekonstrukce elektroinstalace je dokončena a v průběhu  1. poloviny roku 2022 bude provedena rekonstrukce vodoinstalace. </t>
  </si>
  <si>
    <t xml:space="preserve">V průběhu realizace byla akce rozšířena o další fázi, jež bude hrazena z kap. 23 zásobník projektů, proto je posunut termín dodání PD a zahájení stavebních prací. </t>
  </si>
  <si>
    <t xml:space="preserve"> Při spolufinancování s dotací by byla neakceptovatelná výše neuznatelných nákladů</t>
  </si>
  <si>
    <t>změna financování - převod 2,2 mil. Kč z r. 2022 do r. 2023</t>
  </si>
  <si>
    <t>navýšení CN o 2,2 mil. Kč - obměna vozového parku</t>
  </si>
  <si>
    <t>0006922</t>
  </si>
  <si>
    <t>0006908</t>
  </si>
  <si>
    <t xml:space="preserve"> Změna financování - převod 1,143 mil. Kč z r. 2023 do r. 2022.  Zakázka je realizována průběžně dle potřeb IS KÚ a možností financování.</t>
  </si>
  <si>
    <t xml:space="preserve"> Změna financování - převod 500 tis. Kč z r. 2022 do r. 2023.  Nákupy serverových licencí v rámci centrálního nákupu přes MV ČR, nákup nových modulů GINIS aj.</t>
  </si>
  <si>
    <t xml:space="preserve"> Změna financování - převod 500 tis. Kč z r. 2022 do r. 2023.  Nákup potřebných licencí programového vybavení.</t>
  </si>
  <si>
    <t>Navýšení celkových nákladů o 4 mil. Kč (v r. 2023 a 2024) - rozvoj IS Portál krizového řízení využívaný v rámci celého Středočského kraje orgány krizové řízení</t>
  </si>
  <si>
    <t>navýšení CN o 985 tis. Kč</t>
  </si>
  <si>
    <t>navýšení CN o 47 tis. Kč, zbývá doplatit faktura za autorský dozor</t>
  </si>
  <si>
    <t>červené písmo + poznámka (odůvodnění)</t>
  </si>
  <si>
    <t>oranžově podbarveno + poznámka (komentář k důvodu zařazení nové akce)</t>
  </si>
  <si>
    <t>snížení CN o 172 tis. Kč</t>
  </si>
  <si>
    <t>změna způsobu financování - přesun akce do zásobníku akcí (původní CN 21,389 mil. Kč)</t>
  </si>
  <si>
    <t>změna způsobu financování - snížení CN o 14,46 mil. Kč (přesun akce do zásobníku akcí)</t>
  </si>
  <si>
    <t>změna způsobu financování - přesun akce do zásobníku akcí (původní CN 2,5 mil. Kč)</t>
  </si>
  <si>
    <t>změna způsobu financování - přesun akce do zásobníku akcí (snížení CN o 68,948 mil. Kč)</t>
  </si>
  <si>
    <t>změna způsobu financování - přesun akce do zásobníku akcí (snížení CN o 693 tis. Kč z kapitál. prostředků a o 253 tis. z kap. 5)</t>
  </si>
  <si>
    <t>změna způsobu financování - přesun akce do zásobníku akcí (snížení CN o 33,897 mil. Kč)</t>
  </si>
  <si>
    <t>změna způsobu financování - přesun akce do zásobníku akcí (původní CN 4,2 mil. Kč)</t>
  </si>
  <si>
    <t>změna způsobu financování - přesun akce do zásobníku akcí (snížení CN o 4,03 mil. Kč)</t>
  </si>
  <si>
    <t>změna způsobu financování - přesun akce do zásobníku akcí (původní CN 6,38 mil. Kč z kapitál. prostředků a 120 tis. Kč z vlastních zdrojů PO)</t>
  </si>
  <si>
    <t>změna způsobu financování - přesun akce do zásobníku akcí (snížení CN o 3,335 mil. Kč)</t>
  </si>
  <si>
    <t>změna způsobu financování - přesun akce do zásobníku akcí (původní CN 1,4 mil. Kč)</t>
  </si>
  <si>
    <t>změna způsobu financování - přesun akce do zásobníku akcí (původní CN 17 mil. Kč)</t>
  </si>
  <si>
    <t>změna způsobu financování - přesun akce do zásobníku akcí (původní CN 3,95 mil. Kč)</t>
  </si>
  <si>
    <t>změna způsobu financování - přesun akce do zásobníku akcí (původní CN 950 tis. Kč)</t>
  </si>
  <si>
    <t>změna způsobu financování - přesun akce do zásobníku akcí (původní CN 2,65 mil. Kč z kapitál. prostředků a 800 tis. Kč z vlastních zdrojů PO)</t>
  </si>
  <si>
    <t>změna způsobu financování - přesun akce do zásobníku akcí (původní CN 16 mil. Kč)</t>
  </si>
  <si>
    <t>změna způsobu financování - přesun akce do zásobníku akcí (původní CN 2 mil. Kč)</t>
  </si>
  <si>
    <t>změna způsobu financování - přesun akce do zásobníku akcí (původní CN 18 mil. Kč)</t>
  </si>
  <si>
    <t>změna způsobu financování - přesun akce do zásobníku akcí (původní CN 3 mil. Kč)</t>
  </si>
  <si>
    <t>změna způsobu financování - přesun akce do zásobníku akcí (původní CN 1 mil. Kč)</t>
  </si>
  <si>
    <t>změna způsobu financování - přesun akce do zásobníku akcí (původní CN 27,969 mil. Kč)</t>
  </si>
  <si>
    <t>změna způsobu financování - přesun akce do zásobníku akcí (původní CN 4,5 mil. Kč)</t>
  </si>
  <si>
    <t>změna způsobu financování - přesun akce do zásobníku akcí (původní CN 8,744 mil. Kč)</t>
  </si>
  <si>
    <t>změna způsobu financování - přesun akce do zásobníku akcí (původní CN 520 tis. Kč)</t>
  </si>
  <si>
    <t>změna způsobu financování - přesun akce do zásobníku akcí (původní CN 907 tis. Kč)</t>
  </si>
  <si>
    <t>navýšení celkových nákladů o 89 tis. Kč - úhrada nákladů za koordinátora BOZP na staveništi, autorský dozor a technický dozor investora dle procentního podílu kraje</t>
  </si>
  <si>
    <t>0006944</t>
  </si>
  <si>
    <t>změna financování - částka 9,5 mil. Kč převedena z r. 2022 do roku 2024+</t>
  </si>
  <si>
    <t>0006943</t>
  </si>
  <si>
    <t>Výměna vozového parku - nákup 3 osobních vozidel</t>
  </si>
  <si>
    <t>nově zařazená akce - výměna vozidel z roku 2006, 2008, 2011, technický stav vozidel je na hraně provozuschopnosti</t>
  </si>
  <si>
    <t>Obnova dřevěných prvků v zahradách GASK</t>
  </si>
  <si>
    <t>nově zařazená akce - nutná výměna/obnova dřevěných prvků po 10 letech provozu</t>
  </si>
  <si>
    <t>Polabské muzeum</t>
  </si>
  <si>
    <t>Adaptace expozičních objektů pro veřejnost "Hrabalova chata"</t>
  </si>
  <si>
    <t>nově zařazená akce - úpravy zakoupené nemovitosti</t>
  </si>
  <si>
    <t>změna financování - částka 413 tis. Kč převedena z r. 2022 do roku 2023</t>
  </si>
  <si>
    <t>84/2022/KUL</t>
  </si>
  <si>
    <t>85/2022/KUL</t>
  </si>
  <si>
    <t>Revitalizace interiéru kavárny ve Sládkovně</t>
  </si>
  <si>
    <t>nově zařazená akce - obnova interiéru kavárny umístěné v objektu Sládkovny u hlavní brány Památníku Antonína Dvořáka</t>
  </si>
  <si>
    <t>86/2022/KUL</t>
  </si>
  <si>
    <t>87/2022/KUL</t>
  </si>
  <si>
    <t>Příprava VZ dle aktualizované PD</t>
  </si>
  <si>
    <t>148/2022/SOC</t>
  </si>
  <si>
    <t xml:space="preserve">Vybudování EPS zámek </t>
  </si>
  <si>
    <t>149/2022/SOC</t>
  </si>
  <si>
    <t>Centrum 83</t>
  </si>
  <si>
    <t>Výměna svislé zdvihací plošiny pro přepravu osob na 2. pavilonu</t>
  </si>
  <si>
    <t>Snížení celkových nákladů o  321 tis. Kč</t>
  </si>
  <si>
    <t xml:space="preserve">Změna financování - hrazeno z kap. 17.  Původní celkové náklady 4,273 mil. Kč. </t>
  </si>
  <si>
    <t>realokace fin. prostředků z EIB v jednání</t>
  </si>
  <si>
    <t>Splnění podmínek nového stavebního zákona</t>
  </si>
  <si>
    <t>Nutná rekonstrukce vzhledem k havarijnímu stavu</t>
  </si>
  <si>
    <t>Snížení celkových nákladů o 104 tis. Kč</t>
  </si>
  <si>
    <t xml:space="preserve">Nemožnost souběžné rekonstrukce s pavilonem "O" z důvodu nedostatečné prostorové kapacity potřebné pro dotčená oddělení.                                                                                                                        Rekonstrukci pavilonu "E" bude možné zahájit až po ukončení rekonstrukce pavilonu "O"                 z výše uvedeného důvodu. </t>
  </si>
  <si>
    <t xml:space="preserve"> Předpokládané dokončení PD  včetně získání stavebního povolení v 07/2022. Následně zahájení VŘ na realizaci stavby s předpokládaným dokončením do 06/2024.</t>
  </si>
  <si>
    <t>navýšení CN o 1,7 mil. Kč - pořízení elkrovozidel pro KÚ</t>
  </si>
  <si>
    <t>snížení celkových nákladů o 5 tis. Kč</t>
  </si>
  <si>
    <t>030-06/2022/RK ze dne 10.2.2022       014-13/2022/ZK ze dne 28.2.2022</t>
  </si>
  <si>
    <t xml:space="preserve">  (Připraveno)</t>
  </si>
  <si>
    <t>Odvodnění zrealizovala obec na vlastní náklady  (pův. CN 578 tis. Kč)</t>
  </si>
  <si>
    <t>Navýšení celkových nákladů o 4,5 mil. Kč -  bude provedena pokládka povrchu v celé šíři vozovky, nikoli pouze 1/2</t>
  </si>
  <si>
    <t>změna financování . převod 2 mil. Kč z r. 2022 do r. 2023</t>
  </si>
  <si>
    <t>030-06/2022/RK ze dne 10.2.2022</t>
  </si>
  <si>
    <t>3/2020/ŘDP</t>
  </si>
  <si>
    <t>011-11/2022/RK ze dne 17.3.2022</t>
  </si>
  <si>
    <t>Akce EPC II - soubor objektů č. 7</t>
  </si>
  <si>
    <t>Hrazeno zcela nebo částečně z dosažených úspor v rámci EPC projektu.</t>
  </si>
  <si>
    <t>4/2020/ŘDP</t>
  </si>
  <si>
    <t>Akce EPC II - soubor objektů č. 8</t>
  </si>
  <si>
    <t>5/2020/ŘDP</t>
  </si>
  <si>
    <t>Akce EPC II - soubor objektů č. 9</t>
  </si>
  <si>
    <t>6/2020/ŘDP</t>
  </si>
  <si>
    <t>Akce EPC II - soubor objektů č. 10</t>
  </si>
  <si>
    <t>7/2020/ŘDP</t>
  </si>
  <si>
    <t>Akce EPC II - soubor objektů č. 11</t>
  </si>
  <si>
    <t>změna financování - převod 42,64 mil. Kč z r. 2022 do r. 2023</t>
  </si>
  <si>
    <t>navýšení CN o 11 tis. Kč</t>
  </si>
  <si>
    <t>0006958</t>
  </si>
  <si>
    <t>0006959</t>
  </si>
  <si>
    <t>0006960</t>
  </si>
  <si>
    <t>0006961</t>
  </si>
  <si>
    <t>0006962</t>
  </si>
  <si>
    <t>čerpání 1.Q.         (1.1.-31.3.)    2022   k 28.3.2022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</si>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</sst>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č_-;\-* #,##0.00\ _K_č_-;_-* &quot;-&quot;??\ _K_č_-;_-@_-"/>
    <numFmt numFmtId="165" formatCode="#,##0.0000000"/>
    <numFmt numFmtId="166" formatCode="#,##0.00000"/>
    <numFmt numFmtId="167" formatCode="0.00000"/>
    <numFmt numFmtId="168" formatCode="#,##0.000000"/>
    <numFmt numFmtId="169" formatCode="0.00000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name val="Arial"/>
      <family val="2"/>
      <charset val="238"/>
    </font>
    <font>
      <strike/>
      <sz val="12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trike/>
      <sz val="11"/>
      <color rgb="FF0000FB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Arial"/>
      <family val="2"/>
      <charset val="238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20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trike/>
      <sz val="12"/>
      <color rgb="FFFF0000"/>
      <name val="Arial"/>
      <family val="2"/>
      <charset val="238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Arial"/>
      <family val="2"/>
      <charset val="238"/>
    </font>
    <font>
      <b/>
      <strike/>
      <sz val="10"/>
      <color rgb="FF0000FB"/>
      <name val="Arial"/>
      <family val="2"/>
      <charset val="238"/>
    </font>
    <font>
      <strike/>
      <sz val="12"/>
      <color rgb="FF0000FB"/>
      <name val="Arial"/>
      <family val="2"/>
      <charset val="238"/>
    </font>
    <font>
      <sz val="11"/>
      <color rgb="FF0000FB"/>
      <name val="Calibri"/>
      <family val="2"/>
      <scheme val="minor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7" fillId="0" borderId="0"/>
    <xf numFmtId="164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5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550">
    <xf numFmtId="0" fontId="0" fillId="0" borderId="0" xfId="0"/>
    <xf numFmtId="0" fontId="7" fillId="0" borderId="0" xfId="0" applyFont="1" applyAlignment="1">
      <alignment vertical="center"/>
    </xf>
    <xf numFmtId="3" fontId="7" fillId="0" borderId="23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center"/>
    </xf>
    <xf numFmtId="0" fontId="7" fillId="5" borderId="18" xfId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7" fillId="0" borderId="30" xfId="0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3" fontId="9" fillId="0" borderId="26" xfId="1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3" fontId="9" fillId="0" borderId="31" xfId="1" applyNumberFormat="1" applyFont="1" applyBorder="1" applyAlignment="1">
      <alignment vertical="center" wrapText="1"/>
    </xf>
    <xf numFmtId="3" fontId="7" fillId="0" borderId="0" xfId="0" applyNumberFormat="1" applyFont="1" applyAlignment="1">
      <alignment horizontal="center" vertical="center"/>
    </xf>
    <xf numFmtId="0" fontId="7" fillId="7" borderId="26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3" fontId="9" fillId="4" borderId="26" xfId="1" applyNumberFormat="1" applyFont="1" applyFill="1" applyBorder="1" applyAlignment="1">
      <alignment vertical="center" wrapText="1"/>
    </xf>
    <xf numFmtId="3" fontId="9" fillId="4" borderId="2" xfId="1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3" fontId="9" fillId="7" borderId="26" xfId="1" applyNumberFormat="1" applyFont="1" applyFill="1" applyBorder="1" applyAlignment="1">
      <alignment vertical="center" wrapText="1"/>
    </xf>
    <xf numFmtId="3" fontId="9" fillId="4" borderId="23" xfId="1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3" fontId="9" fillId="7" borderId="23" xfId="1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3" fontId="9" fillId="7" borderId="13" xfId="1" applyNumberFormat="1" applyFont="1" applyFill="1" applyBorder="1" applyAlignment="1">
      <alignment vertical="center" wrapText="1"/>
    </xf>
    <xf numFmtId="0" fontId="29" fillId="0" borderId="0" xfId="0" applyFont="1"/>
    <xf numFmtId="0" fontId="8" fillId="0" borderId="19" xfId="1" applyFont="1" applyFill="1" applyBorder="1" applyAlignment="1">
      <alignment horizontal="center" vertical="center" wrapText="1"/>
    </xf>
    <xf numFmtId="3" fontId="9" fillId="5" borderId="39" xfId="1" applyNumberFormat="1" applyFont="1" applyFill="1" applyBorder="1" applyAlignment="1">
      <alignment vertical="center" wrapText="1"/>
    </xf>
    <xf numFmtId="3" fontId="7" fillId="4" borderId="2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3" fontId="7" fillId="7" borderId="37" xfId="0" applyNumberFormat="1" applyFont="1" applyFill="1" applyBorder="1" applyAlignment="1">
      <alignment vertical="center" wrapText="1"/>
    </xf>
    <xf numFmtId="3" fontId="7" fillId="4" borderId="37" xfId="0" applyNumberFormat="1" applyFont="1" applyFill="1" applyBorder="1" applyAlignment="1">
      <alignment vertical="center"/>
    </xf>
    <xf numFmtId="3" fontId="7" fillId="4" borderId="26" xfId="0" applyNumberFormat="1" applyFont="1" applyFill="1" applyBorder="1" applyAlignment="1">
      <alignment vertical="center"/>
    </xf>
    <xf numFmtId="3" fontId="7" fillId="4" borderId="27" xfId="0" applyNumberFormat="1" applyFont="1" applyFill="1" applyBorder="1" applyAlignment="1">
      <alignment vertical="center"/>
    </xf>
    <xf numFmtId="3" fontId="7" fillId="0" borderId="37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27" xfId="0" applyNumberFormat="1" applyFont="1" applyBorder="1" applyAlignment="1">
      <alignment vertical="center" wrapText="1"/>
    </xf>
    <xf numFmtId="3" fontId="7" fillId="4" borderId="23" xfId="0" applyNumberFormat="1" applyFont="1" applyFill="1" applyBorder="1" applyAlignment="1">
      <alignment vertical="center" wrapText="1"/>
    </xf>
    <xf numFmtId="3" fontId="9" fillId="4" borderId="32" xfId="1" applyNumberFormat="1" applyFont="1" applyFill="1" applyBorder="1" applyAlignment="1">
      <alignment vertical="center" wrapText="1"/>
    </xf>
    <xf numFmtId="1" fontId="7" fillId="5" borderId="18" xfId="1" applyNumberFormat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4" fontId="9" fillId="0" borderId="55" xfId="0" applyNumberFormat="1" applyFont="1" applyFill="1" applyBorder="1" applyAlignment="1">
      <alignment horizontal="center" vertical="center" wrapText="1"/>
    </xf>
    <xf numFmtId="4" fontId="9" fillId="0" borderId="5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168" fontId="9" fillId="0" borderId="14" xfId="0" applyNumberFormat="1" applyFont="1" applyFill="1" applyBorder="1" applyAlignment="1">
      <alignment horizontal="center" vertical="center" wrapText="1"/>
    </xf>
    <xf numFmtId="168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left" vertical="center" wrapText="1"/>
    </xf>
    <xf numFmtId="0" fontId="10" fillId="5" borderId="5" xfId="1" applyFont="1" applyFill="1" applyBorder="1" applyAlignment="1">
      <alignment horizontal="left" vertical="center" wrapText="1"/>
    </xf>
    <xf numFmtId="4" fontId="10" fillId="5" borderId="18" xfId="1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right" vertical="center"/>
    </xf>
    <xf numFmtId="166" fontId="7" fillId="0" borderId="0" xfId="0" applyNumberFormat="1" applyFont="1" applyAlignment="1">
      <alignment vertical="center"/>
    </xf>
    <xf numFmtId="0" fontId="8" fillId="0" borderId="1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3" fontId="9" fillId="5" borderId="55" xfId="1" applyNumberFormat="1" applyFont="1" applyFill="1" applyBorder="1" applyAlignment="1">
      <alignment vertical="center" wrapText="1"/>
    </xf>
    <xf numFmtId="3" fontId="9" fillId="5" borderId="56" xfId="1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3" fontId="7" fillId="0" borderId="68" xfId="0" applyNumberFormat="1" applyFont="1" applyFill="1" applyBorder="1" applyAlignment="1">
      <alignment horizontal="center" vertical="center" wrapText="1"/>
    </xf>
    <xf numFmtId="3" fontId="7" fillId="0" borderId="65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71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68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5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7" fillId="0" borderId="71" xfId="0" applyNumberFormat="1" applyFont="1" applyFill="1" applyBorder="1" applyAlignment="1">
      <alignment horizontal="center" vertical="center"/>
    </xf>
    <xf numFmtId="3" fontId="29" fillId="0" borderId="0" xfId="0" applyNumberFormat="1" applyFont="1"/>
    <xf numFmtId="3" fontId="7" fillId="4" borderId="22" xfId="0" applyNumberFormat="1" applyFont="1" applyFill="1" applyBorder="1" applyAlignment="1">
      <alignment vertical="center"/>
    </xf>
    <xf numFmtId="3" fontId="9" fillId="4" borderId="23" xfId="1" applyNumberFormat="1" applyFont="1" applyFill="1" applyBorder="1" applyAlignment="1">
      <alignment vertical="center"/>
    </xf>
    <xf numFmtId="3" fontId="7" fillId="4" borderId="21" xfId="0" applyNumberFormat="1" applyFont="1" applyFill="1" applyBorder="1" applyAlignment="1">
      <alignment vertical="center"/>
    </xf>
    <xf numFmtId="3" fontId="7" fillId="4" borderId="27" xfId="0" applyNumberFormat="1" applyFont="1" applyFill="1" applyBorder="1" applyAlignment="1">
      <alignment vertical="center" wrapText="1"/>
    </xf>
    <xf numFmtId="3" fontId="7" fillId="4" borderId="58" xfId="0" applyNumberFormat="1" applyFont="1" applyFill="1" applyBorder="1" applyAlignment="1">
      <alignment vertical="center" wrapText="1"/>
    </xf>
    <xf numFmtId="3" fontId="7" fillId="4" borderId="21" xfId="0" applyNumberFormat="1" applyFont="1" applyFill="1" applyBorder="1" applyAlignment="1">
      <alignment vertical="center" wrapText="1"/>
    </xf>
    <xf numFmtId="3" fontId="7" fillId="4" borderId="24" xfId="0" applyNumberFormat="1" applyFont="1" applyFill="1" applyBorder="1" applyAlignment="1">
      <alignment vertical="center" wrapText="1"/>
    </xf>
    <xf numFmtId="3" fontId="7" fillId="4" borderId="24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 wrapText="1"/>
    </xf>
    <xf numFmtId="3" fontId="9" fillId="0" borderId="23" xfId="1" applyNumberFormat="1" applyFont="1" applyBorder="1" applyAlignment="1">
      <alignment vertical="center" wrapText="1"/>
    </xf>
    <xf numFmtId="3" fontId="9" fillId="0" borderId="25" xfId="1" applyNumberFormat="1" applyFont="1" applyBorder="1" applyAlignment="1">
      <alignment vertical="center" wrapText="1"/>
    </xf>
    <xf numFmtId="3" fontId="7" fillId="0" borderId="67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4" borderId="26" xfId="0" applyNumberFormat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7" fillId="0" borderId="62" xfId="0" applyNumberFormat="1" applyFont="1" applyFill="1" applyBorder="1" applyAlignment="1">
      <alignment vertical="center" wrapText="1"/>
    </xf>
    <xf numFmtId="3" fontId="7" fillId="0" borderId="59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3" fontId="7" fillId="0" borderId="67" xfId="0" applyNumberFormat="1" applyFont="1" applyFill="1" applyBorder="1" applyAlignment="1">
      <alignment horizontal="center" vertical="center"/>
    </xf>
    <xf numFmtId="3" fontId="9" fillId="5" borderId="38" xfId="1" applyNumberFormat="1" applyFont="1" applyFill="1" applyBorder="1" applyAlignment="1">
      <alignment vertical="center" wrapText="1"/>
    </xf>
    <xf numFmtId="3" fontId="7" fillId="3" borderId="23" xfId="0" applyNumberFormat="1" applyFont="1" applyFill="1" applyBorder="1" applyAlignment="1">
      <alignment horizontal="right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4" fontId="9" fillId="0" borderId="68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3" fontId="7" fillId="4" borderId="25" xfId="0" applyNumberFormat="1" applyFont="1" applyFill="1" applyBorder="1" applyAlignment="1">
      <alignment horizontal="right" vertical="center" wrapText="1"/>
    </xf>
    <xf numFmtId="3" fontId="13" fillId="11" borderId="14" xfId="0" applyNumberFormat="1" applyFont="1" applyFill="1" applyBorder="1" applyAlignment="1">
      <alignment horizontal="right" vertical="center" wrapText="1"/>
    </xf>
    <xf numFmtId="3" fontId="7" fillId="0" borderId="3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29" fillId="0" borderId="0" xfId="0" applyFont="1" applyFill="1" applyBorder="1"/>
    <xf numFmtId="3" fontId="9" fillId="5" borderId="3" xfId="1" applyNumberFormat="1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11" borderId="45" xfId="0" applyNumberFormat="1" applyFont="1" applyFill="1" applyBorder="1" applyAlignment="1">
      <alignment horizontal="right" vertical="center" wrapText="1"/>
    </xf>
    <xf numFmtId="3" fontId="7" fillId="11" borderId="16" xfId="0" applyNumberFormat="1" applyFont="1" applyFill="1" applyBorder="1" applyAlignment="1">
      <alignment horizontal="right" vertical="center" wrapText="1"/>
    </xf>
    <xf numFmtId="3" fontId="7" fillId="11" borderId="6" xfId="0" applyNumberFormat="1" applyFont="1" applyFill="1" applyBorder="1" applyAlignment="1">
      <alignment horizontal="right" vertical="center" wrapText="1"/>
    </xf>
    <xf numFmtId="3" fontId="7" fillId="11" borderId="9" xfId="0" applyNumberFormat="1" applyFont="1" applyFill="1" applyBorder="1" applyAlignment="1">
      <alignment horizontal="right" vertical="center" wrapText="1"/>
    </xf>
    <xf numFmtId="3" fontId="7" fillId="11" borderId="24" xfId="0" applyNumberFormat="1" applyFont="1" applyFill="1" applyBorder="1" applyAlignment="1">
      <alignment horizontal="right" vertical="center"/>
    </xf>
    <xf numFmtId="3" fontId="7" fillId="11" borderId="32" xfId="0" applyNumberFormat="1" applyFont="1" applyFill="1" applyBorder="1" applyAlignment="1">
      <alignment horizontal="right" vertical="center"/>
    </xf>
    <xf numFmtId="0" fontId="7" fillId="0" borderId="14" xfId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13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 wrapText="1"/>
    </xf>
    <xf numFmtId="168" fontId="7" fillId="0" borderId="14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Alignment="1">
      <alignment horizontal="right" vertical="center" wrapText="1"/>
    </xf>
    <xf numFmtId="0" fontId="32" fillId="2" borderId="0" xfId="0" applyFont="1" applyFill="1"/>
    <xf numFmtId="0" fontId="7" fillId="0" borderId="14" xfId="0" applyFont="1" applyFill="1" applyBorder="1" applyAlignment="1">
      <alignment horizontal="center" vertical="center"/>
    </xf>
    <xf numFmtId="3" fontId="7" fillId="11" borderId="16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center" vertical="center" wrapText="1" shrinkToFit="1"/>
    </xf>
    <xf numFmtId="3" fontId="9" fillId="4" borderId="26" xfId="1" applyNumberFormat="1" applyFont="1" applyFill="1" applyBorder="1" applyAlignment="1">
      <alignment vertical="center"/>
    </xf>
    <xf numFmtId="166" fontId="7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3" fontId="7" fillId="0" borderId="62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9" fillId="5" borderId="18" xfId="1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7" fillId="0" borderId="63" xfId="0" applyNumberFormat="1" applyFont="1" applyFill="1" applyBorder="1" applyAlignment="1">
      <alignment vertical="center" wrapText="1"/>
    </xf>
    <xf numFmtId="3" fontId="9" fillId="5" borderId="6" xfId="1" applyNumberFormat="1" applyFont="1" applyFill="1" applyBorder="1" applyAlignment="1">
      <alignment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63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7" fillId="11" borderId="24" xfId="0" applyNumberFormat="1" applyFont="1" applyFill="1" applyBorder="1" applyAlignment="1">
      <alignment horizontal="right" vertical="center" wrapText="1"/>
    </xf>
    <xf numFmtId="3" fontId="7" fillId="11" borderId="32" xfId="0" applyNumberFormat="1" applyFont="1" applyFill="1" applyBorder="1" applyAlignment="1">
      <alignment horizontal="right" vertical="center" wrapText="1"/>
    </xf>
    <xf numFmtId="3" fontId="7" fillId="5" borderId="18" xfId="1" applyNumberFormat="1" applyFont="1" applyFill="1" applyBorder="1" applyAlignment="1">
      <alignment horizontal="center" vertical="center" wrapText="1"/>
    </xf>
    <xf numFmtId="4" fontId="7" fillId="5" borderId="18" xfId="1" applyNumberFormat="1" applyFont="1" applyFill="1" applyBorder="1" applyAlignment="1">
      <alignment horizontal="center" vertical="center" wrapText="1"/>
    </xf>
    <xf numFmtId="3" fontId="7" fillId="0" borderId="22" xfId="1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3" fontId="9" fillId="11" borderId="13" xfId="0" applyNumberFormat="1" applyFont="1" applyFill="1" applyBorder="1" applyAlignment="1">
      <alignment horizontal="right" vertical="center" wrapText="1"/>
    </xf>
    <xf numFmtId="3" fontId="9" fillId="11" borderId="18" xfId="0" applyNumberFormat="1" applyFont="1" applyFill="1" applyBorder="1" applyAlignment="1">
      <alignment horizontal="right" vertical="center" wrapText="1"/>
    </xf>
    <xf numFmtId="3" fontId="9" fillId="11" borderId="2" xfId="0" applyNumberFormat="1" applyFont="1" applyFill="1" applyBorder="1" applyAlignment="1">
      <alignment horizontal="right" vertical="center" wrapText="1"/>
    </xf>
    <xf numFmtId="3" fontId="14" fillId="11" borderId="26" xfId="0" applyNumberFormat="1" applyFont="1" applyFill="1" applyBorder="1" applyAlignment="1">
      <alignment horizontal="right" vertical="center" wrapText="1"/>
    </xf>
    <xf numFmtId="3" fontId="14" fillId="11" borderId="14" xfId="0" applyNumberFormat="1" applyFont="1" applyFill="1" applyBorder="1" applyAlignment="1">
      <alignment horizontal="right" vertical="center" wrapText="1"/>
    </xf>
    <xf numFmtId="3" fontId="9" fillId="11" borderId="23" xfId="0" applyNumberFormat="1" applyFont="1" applyFill="1" applyBorder="1" applyAlignment="1">
      <alignment horizontal="right" vertical="center"/>
    </xf>
    <xf numFmtId="3" fontId="9" fillId="11" borderId="26" xfId="0" applyNumberFormat="1" applyFont="1" applyFill="1" applyBorder="1" applyAlignment="1">
      <alignment horizontal="right" vertical="center"/>
    </xf>
    <xf numFmtId="3" fontId="9" fillId="11" borderId="13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9" fillId="11" borderId="16" xfId="0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horizontal="center" vertical="center" wrapText="1"/>
    </xf>
    <xf numFmtId="3" fontId="9" fillId="11" borderId="18" xfId="0" applyNumberFormat="1" applyFont="1" applyFill="1" applyBorder="1" applyAlignment="1">
      <alignment horizontal="center" vertical="center" wrapText="1"/>
    </xf>
    <xf numFmtId="3" fontId="7" fillId="0" borderId="16" xfId="1" applyNumberFormat="1" applyFont="1" applyFill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7" fillId="11" borderId="2" xfId="0" applyNumberFormat="1" applyFont="1" applyFill="1" applyBorder="1" applyAlignment="1">
      <alignment horizontal="right" vertical="center" wrapText="1"/>
    </xf>
    <xf numFmtId="3" fontId="7" fillId="11" borderId="18" xfId="0" applyNumberFormat="1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horizontal="center" vertical="center" wrapText="1"/>
    </xf>
    <xf numFmtId="1" fontId="7" fillId="5" borderId="3" xfId="1" applyNumberFormat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left" vertical="center" wrapText="1"/>
    </xf>
    <xf numFmtId="3" fontId="13" fillId="11" borderId="32" xfId="0" applyNumberFormat="1" applyFont="1" applyFill="1" applyBorder="1" applyAlignment="1">
      <alignment horizontal="right" vertical="center" wrapText="1"/>
    </xf>
    <xf numFmtId="3" fontId="9" fillId="3" borderId="14" xfId="0" applyNumberFormat="1" applyFont="1" applyFill="1" applyBorder="1" applyAlignment="1">
      <alignment horizontal="center" vertical="center" wrapText="1"/>
    </xf>
    <xf numFmtId="3" fontId="9" fillId="3" borderId="14" xfId="0" applyNumberFormat="1" applyFont="1" applyFill="1" applyBorder="1" applyAlignment="1">
      <alignment horizontal="right" vertical="center" wrapText="1"/>
    </xf>
    <xf numFmtId="3" fontId="9" fillId="3" borderId="13" xfId="0" applyNumberFormat="1" applyFont="1" applyFill="1" applyBorder="1" applyAlignment="1">
      <alignment horizontal="right" vertical="center" wrapText="1"/>
    </xf>
    <xf numFmtId="3" fontId="9" fillId="3" borderId="18" xfId="0" applyNumberFormat="1" applyFont="1" applyFill="1" applyBorder="1" applyAlignment="1">
      <alignment horizontal="right" vertical="center" wrapText="1"/>
    </xf>
    <xf numFmtId="3" fontId="9" fillId="3" borderId="26" xfId="0" applyNumberFormat="1" applyFont="1" applyFill="1" applyBorder="1" applyAlignment="1">
      <alignment horizontal="right" vertical="center" wrapText="1"/>
    </xf>
    <xf numFmtId="3" fontId="14" fillId="3" borderId="23" xfId="0" applyNumberFormat="1" applyFont="1" applyFill="1" applyBorder="1" applyAlignment="1">
      <alignment horizontal="right" vertical="center" wrapText="1"/>
    </xf>
    <xf numFmtId="3" fontId="14" fillId="3" borderId="26" xfId="0" applyNumberFormat="1" applyFont="1" applyFill="1" applyBorder="1" applyAlignment="1">
      <alignment horizontal="right" vertical="center" wrapText="1"/>
    </xf>
    <xf numFmtId="3" fontId="14" fillId="3" borderId="14" xfId="0" applyNumberFormat="1" applyFont="1" applyFill="1" applyBorder="1" applyAlignment="1">
      <alignment horizontal="right" vertical="center" wrapText="1"/>
    </xf>
    <xf numFmtId="3" fontId="9" fillId="3" borderId="23" xfId="0" applyNumberFormat="1" applyFont="1" applyFill="1" applyBorder="1" applyAlignment="1">
      <alignment horizontal="right" vertical="center"/>
    </xf>
    <xf numFmtId="3" fontId="9" fillId="3" borderId="26" xfId="0" applyNumberFormat="1" applyFont="1" applyFill="1" applyBorder="1" applyAlignment="1">
      <alignment horizontal="right" vertical="center"/>
    </xf>
    <xf numFmtId="3" fontId="9" fillId="3" borderId="14" xfId="0" applyNumberFormat="1" applyFont="1" applyFill="1" applyBorder="1" applyAlignment="1">
      <alignment horizontal="right" vertical="center"/>
    </xf>
    <xf numFmtId="3" fontId="9" fillId="11" borderId="33" xfId="0" applyNumberFormat="1" applyFont="1" applyFill="1" applyBorder="1" applyAlignment="1">
      <alignment horizontal="right" vertical="center" wrapText="1"/>
    </xf>
    <xf numFmtId="3" fontId="7" fillId="11" borderId="40" xfId="0" applyNumberFormat="1" applyFont="1" applyFill="1" applyBorder="1" applyAlignment="1">
      <alignment horizontal="right" vertical="center" wrapText="1"/>
    </xf>
    <xf numFmtId="3" fontId="9" fillId="3" borderId="20" xfId="0" applyNumberFormat="1" applyFont="1" applyFill="1" applyBorder="1" applyAlignment="1">
      <alignment horizontal="right" vertical="center" wrapText="1"/>
    </xf>
    <xf numFmtId="3" fontId="9" fillId="3" borderId="34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59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 wrapText="1"/>
    </xf>
    <xf numFmtId="3" fontId="26" fillId="0" borderId="48" xfId="0" applyNumberFormat="1" applyFont="1" applyFill="1" applyBorder="1" applyAlignment="1">
      <alignment horizontal="center" vertical="center"/>
    </xf>
    <xf numFmtId="3" fontId="26" fillId="0" borderId="45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2" fillId="2" borderId="0" xfId="0" applyFont="1" applyFill="1" applyAlignment="1">
      <alignment wrapText="1"/>
    </xf>
    <xf numFmtId="0" fontId="29" fillId="0" borderId="0" xfId="0" applyFont="1" applyAlignment="1">
      <alignment wrapText="1"/>
    </xf>
    <xf numFmtId="4" fontId="7" fillId="0" borderId="1" xfId="0" applyNumberFormat="1" applyFont="1" applyFill="1" applyBorder="1" applyAlignment="1">
      <alignment horizontal="right" vertical="center" wrapText="1"/>
    </xf>
    <xf numFmtId="3" fontId="26" fillId="0" borderId="54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168" fontId="9" fillId="0" borderId="0" xfId="0" applyNumberFormat="1" applyFont="1" applyAlignment="1"/>
    <xf numFmtId="168" fontId="9" fillId="0" borderId="0" xfId="0" applyNumberFormat="1" applyFont="1" applyFill="1" applyAlignment="1">
      <alignment vertical="center"/>
    </xf>
    <xf numFmtId="0" fontId="7" fillId="0" borderId="0" xfId="0" applyFont="1" applyAlignment="1"/>
    <xf numFmtId="165" fontId="8" fillId="0" borderId="0" xfId="0" applyNumberFormat="1" applyFont="1" applyFill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3" fontId="9" fillId="5" borderId="18" xfId="0" applyNumberFormat="1" applyFont="1" applyFill="1" applyBorder="1" applyAlignment="1">
      <alignment horizontal="center" vertical="center" wrapText="1" shrinkToFit="1"/>
    </xf>
    <xf numFmtId="3" fontId="9" fillId="5" borderId="3" xfId="0" applyNumberFormat="1" applyFont="1" applyFill="1" applyBorder="1" applyAlignment="1">
      <alignment horizontal="center" vertical="center" wrapText="1" shrinkToFit="1"/>
    </xf>
    <xf numFmtId="166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 vertical="center"/>
    </xf>
    <xf numFmtId="4" fontId="9" fillId="12" borderId="67" xfId="0" applyNumberFormat="1" applyFont="1" applyFill="1" applyBorder="1" applyAlignment="1">
      <alignment horizontal="center" vertical="center" wrapText="1"/>
    </xf>
    <xf numFmtId="4" fontId="9" fillId="12" borderId="56" xfId="0" applyNumberFormat="1" applyFont="1" applyFill="1" applyBorder="1" applyAlignment="1">
      <alignment horizontal="center" vertical="center" wrapText="1"/>
    </xf>
    <xf numFmtId="4" fontId="9" fillId="12" borderId="16" xfId="0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left" vertical="center"/>
    </xf>
    <xf numFmtId="0" fontId="27" fillId="2" borderId="0" xfId="0" applyFont="1" applyFill="1"/>
    <xf numFmtId="3" fontId="32" fillId="2" borderId="0" xfId="0" applyNumberFormat="1" applyFont="1" applyFill="1"/>
    <xf numFmtId="3" fontId="27" fillId="2" borderId="0" xfId="0" applyNumberFormat="1" applyFont="1" applyFill="1"/>
    <xf numFmtId="0" fontId="32" fillId="2" borderId="0" xfId="0" applyFont="1" applyFill="1" applyAlignment="1">
      <alignment horizontal="right"/>
    </xf>
    <xf numFmtId="0" fontId="26" fillId="2" borderId="0" xfId="0" applyFont="1" applyFill="1" applyAlignment="1">
      <alignment horizontal="right"/>
    </xf>
    <xf numFmtId="0" fontId="27" fillId="2" borderId="0" xfId="0" applyFont="1" applyFill="1" applyAlignment="1">
      <alignment horizontal="center"/>
    </xf>
    <xf numFmtId="0" fontId="27" fillId="0" borderId="0" xfId="0" applyFont="1"/>
    <xf numFmtId="0" fontId="32" fillId="0" borderId="0" xfId="0" applyFont="1" applyFill="1" applyBorder="1"/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3" fontId="9" fillId="0" borderId="34" xfId="1" applyNumberFormat="1" applyFont="1" applyBorder="1" applyAlignment="1">
      <alignment vertical="center" wrapText="1"/>
    </xf>
    <xf numFmtId="3" fontId="9" fillId="0" borderId="22" xfId="1" applyNumberFormat="1" applyFont="1" applyBorder="1" applyAlignment="1">
      <alignment vertical="center" wrapText="1"/>
    </xf>
    <xf numFmtId="0" fontId="29" fillId="2" borderId="0" xfId="0" applyFont="1" applyFill="1" applyBorder="1"/>
    <xf numFmtId="0" fontId="26" fillId="0" borderId="22" xfId="0" applyFont="1" applyBorder="1" applyAlignment="1">
      <alignment horizontal="center"/>
    </xf>
    <xf numFmtId="3" fontId="7" fillId="11" borderId="1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0" fontId="29" fillId="0" borderId="1" xfId="0" applyFont="1" applyFill="1" applyBorder="1"/>
    <xf numFmtId="0" fontId="26" fillId="0" borderId="0" xfId="0" applyFont="1" applyFill="1" applyBorder="1"/>
    <xf numFmtId="0" fontId="29" fillId="0" borderId="0" xfId="0" applyFont="1" applyFill="1" applyBorder="1" applyAlignment="1"/>
    <xf numFmtId="3" fontId="34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3" fontId="27" fillId="0" borderId="0" xfId="0" applyNumberFormat="1" applyFont="1"/>
    <xf numFmtId="3" fontId="7" fillId="11" borderId="26" xfId="0" applyNumberFormat="1" applyFont="1" applyFill="1" applyBorder="1" applyAlignment="1">
      <alignment horizontal="right" vertical="center"/>
    </xf>
    <xf numFmtId="3" fontId="7" fillId="3" borderId="37" xfId="0" applyNumberFormat="1" applyFont="1" applyFill="1" applyBorder="1" applyAlignment="1">
      <alignment horizontal="right" vertical="center" wrapText="1"/>
    </xf>
    <xf numFmtId="3" fontId="7" fillId="0" borderId="65" xfId="0" applyNumberFormat="1" applyFont="1" applyFill="1" applyBorder="1" applyAlignment="1">
      <alignment horizontal="center" vertical="center"/>
    </xf>
    <xf numFmtId="4" fontId="9" fillId="4" borderId="16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 horizontal="right" vertical="center" wrapText="1"/>
    </xf>
    <xf numFmtId="4" fontId="9" fillId="15" borderId="18" xfId="0" applyNumberFormat="1" applyFont="1" applyFill="1" applyBorder="1" applyAlignment="1">
      <alignment horizontal="center" vertical="center" wrapText="1"/>
    </xf>
    <xf numFmtId="4" fontId="9" fillId="15" borderId="12" xfId="0" applyNumberFormat="1" applyFont="1" applyFill="1" applyBorder="1" applyAlignment="1">
      <alignment horizontal="center" vertical="center" wrapText="1"/>
    </xf>
    <xf numFmtId="4" fontId="9" fillId="12" borderId="14" xfId="0" applyNumberFormat="1" applyFont="1" applyFill="1" applyBorder="1" applyAlignment="1">
      <alignment horizontal="center" vertical="center" wrapText="1"/>
    </xf>
    <xf numFmtId="3" fontId="7" fillId="4" borderId="65" xfId="0" applyNumberFormat="1" applyFont="1" applyFill="1" applyBorder="1" applyAlignment="1">
      <alignment vertical="center"/>
    </xf>
    <xf numFmtId="3" fontId="7" fillId="4" borderId="20" xfId="0" applyNumberFormat="1" applyFont="1" applyFill="1" applyBorder="1" applyAlignment="1">
      <alignment vertical="center"/>
    </xf>
    <xf numFmtId="3" fontId="7" fillId="0" borderId="59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Alignment="1">
      <alignment horizontal="right" vertical="center"/>
    </xf>
    <xf numFmtId="0" fontId="7" fillId="5" borderId="18" xfId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11" borderId="23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/>
    <xf numFmtId="0" fontId="7" fillId="0" borderId="14" xfId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9" fillId="5" borderId="18" xfId="1" applyNumberFormat="1" applyFont="1" applyFill="1" applyBorder="1" applyAlignment="1">
      <alignment vertical="center" wrapText="1"/>
    </xf>
    <xf numFmtId="3" fontId="9" fillId="0" borderId="23" xfId="1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3" fontId="7" fillId="0" borderId="58" xfId="0" applyNumberFormat="1" applyFont="1" applyFill="1" applyBorder="1" applyAlignment="1">
      <alignment vertical="center" wrapText="1"/>
    </xf>
    <xf numFmtId="4" fontId="7" fillId="5" borderId="18" xfId="1" applyNumberFormat="1" applyFont="1" applyFill="1" applyBorder="1" applyAlignment="1">
      <alignment horizontal="center" vertical="center" wrapText="1"/>
    </xf>
    <xf numFmtId="3" fontId="9" fillId="11" borderId="23" xfId="0" applyNumberFormat="1" applyFont="1" applyFill="1" applyBorder="1" applyAlignment="1">
      <alignment horizontal="right" vertical="center" wrapText="1"/>
    </xf>
    <xf numFmtId="3" fontId="9" fillId="11" borderId="26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9" fillId="3" borderId="23" xfId="0" applyNumberFormat="1" applyFont="1" applyFill="1" applyBorder="1" applyAlignment="1">
      <alignment horizontal="right" vertical="center" wrapText="1"/>
    </xf>
    <xf numFmtId="3" fontId="7" fillId="11" borderId="26" xfId="0" applyNumberFormat="1" applyFont="1" applyFill="1" applyBorder="1" applyAlignment="1">
      <alignment horizontal="right" vertical="center" wrapText="1"/>
    </xf>
    <xf numFmtId="3" fontId="9" fillId="0" borderId="58" xfId="1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8" fontId="18" fillId="0" borderId="8" xfId="0" applyNumberFormat="1" applyFont="1" applyBorder="1" applyAlignment="1">
      <alignment vertical="center"/>
    </xf>
    <xf numFmtId="168" fontId="18" fillId="0" borderId="9" xfId="0" applyNumberFormat="1" applyFont="1" applyBorder="1" applyAlignment="1">
      <alignment vertical="center"/>
    </xf>
    <xf numFmtId="3" fontId="7" fillId="3" borderId="2" xfId="0" applyNumberFormat="1" applyFont="1" applyFill="1" applyBorder="1" applyAlignment="1">
      <alignment horizontal="right" vertical="center" wrapText="1"/>
    </xf>
    <xf numFmtId="3" fontId="7" fillId="3" borderId="26" xfId="0" applyNumberFormat="1" applyFont="1" applyFill="1" applyBorder="1" applyAlignment="1">
      <alignment horizontal="right" vertical="center" wrapText="1"/>
    </xf>
    <xf numFmtId="3" fontId="7" fillId="11" borderId="13" xfId="0" applyNumberFormat="1" applyFont="1" applyFill="1" applyBorder="1" applyAlignment="1">
      <alignment horizontal="right" vertical="center"/>
    </xf>
    <xf numFmtId="3" fontId="7" fillId="3" borderId="19" xfId="0" applyNumberFormat="1" applyFont="1" applyFill="1" applyBorder="1" applyAlignment="1">
      <alignment horizontal="right" vertical="center" wrapText="1"/>
    </xf>
    <xf numFmtId="3" fontId="13" fillId="11" borderId="24" xfId="0" applyNumberFormat="1" applyFont="1" applyFill="1" applyBorder="1" applyAlignment="1">
      <alignment horizontal="right" vertical="center"/>
    </xf>
    <xf numFmtId="3" fontId="14" fillId="11" borderId="23" xfId="0" applyNumberFormat="1" applyFont="1" applyFill="1" applyBorder="1" applyAlignment="1">
      <alignment horizontal="right" vertical="center"/>
    </xf>
    <xf numFmtId="3" fontId="7" fillId="11" borderId="19" xfId="0" applyNumberFormat="1" applyFont="1" applyFill="1" applyBorder="1" applyAlignment="1">
      <alignment horizontal="right" vertical="center" wrapText="1"/>
    </xf>
    <xf numFmtId="3" fontId="9" fillId="3" borderId="15" xfId="0" applyNumberFormat="1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center" vertical="center"/>
    </xf>
    <xf numFmtId="3" fontId="9" fillId="5" borderId="11" xfId="1" applyNumberFormat="1" applyFont="1" applyFill="1" applyBorder="1" applyAlignment="1">
      <alignment vertical="center" wrapText="1"/>
    </xf>
    <xf numFmtId="3" fontId="9" fillId="5" borderId="66" xfId="1" applyNumberFormat="1" applyFont="1" applyFill="1" applyBorder="1" applyAlignment="1">
      <alignment vertical="center" wrapText="1"/>
    </xf>
    <xf numFmtId="3" fontId="9" fillId="5" borderId="60" xfId="1" applyNumberFormat="1" applyFont="1" applyFill="1" applyBorder="1" applyAlignment="1">
      <alignment vertical="center" wrapText="1"/>
    </xf>
    <xf numFmtId="3" fontId="9" fillId="11" borderId="25" xfId="0" applyNumberFormat="1" applyFont="1" applyFill="1" applyBorder="1" applyAlignment="1">
      <alignment horizontal="right" vertical="center" wrapText="1"/>
    </xf>
    <xf numFmtId="3" fontId="9" fillId="11" borderId="15" xfId="0" applyNumberFormat="1" applyFont="1" applyFill="1" applyBorder="1" applyAlignment="1">
      <alignment horizontal="right" vertical="center" wrapText="1"/>
    </xf>
    <xf numFmtId="3" fontId="9" fillId="11" borderId="30" xfId="0" applyNumberFormat="1" applyFont="1" applyFill="1" applyBorder="1" applyAlignment="1">
      <alignment horizontal="right" vertical="center" wrapText="1"/>
    </xf>
    <xf numFmtId="3" fontId="9" fillId="11" borderId="12" xfId="0" applyNumberFormat="1" applyFont="1" applyFill="1" applyBorder="1" applyAlignment="1">
      <alignment horizontal="right" vertical="center" wrapText="1"/>
    </xf>
    <xf numFmtId="3" fontId="9" fillId="11" borderId="31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vertical="center" wrapText="1"/>
    </xf>
    <xf numFmtId="3" fontId="7" fillId="7" borderId="24" xfId="0" applyNumberFormat="1" applyFont="1" applyFill="1" applyBorder="1" applyAlignment="1">
      <alignment horizontal="right" vertical="center" wrapText="1"/>
    </xf>
    <xf numFmtId="3" fontId="9" fillId="7" borderId="23" xfId="0" applyNumberFormat="1" applyFont="1" applyFill="1" applyBorder="1" applyAlignment="1">
      <alignment horizontal="right" vertical="center" wrapText="1"/>
    </xf>
    <xf numFmtId="3" fontId="7" fillId="11" borderId="14" xfId="0" applyNumberFormat="1" applyFont="1" applyFill="1" applyBorder="1" applyAlignment="1">
      <alignment horizontal="right" vertical="center" wrapText="1"/>
    </xf>
    <xf numFmtId="3" fontId="9" fillId="11" borderId="14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horizontal="right" vertical="center" wrapText="1"/>
    </xf>
    <xf numFmtId="4" fontId="9" fillId="9" borderId="16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right" vertical="center" wrapText="1"/>
    </xf>
    <xf numFmtId="3" fontId="9" fillId="3" borderId="31" xfId="0" applyNumberFormat="1" applyFont="1" applyFill="1" applyBorder="1" applyAlignment="1">
      <alignment horizontal="right" vertical="center" wrapText="1"/>
    </xf>
    <xf numFmtId="3" fontId="9" fillId="11" borderId="4" xfId="0" applyNumberFormat="1" applyFont="1" applyFill="1" applyBorder="1" applyAlignment="1">
      <alignment horizontal="right" vertical="center" wrapText="1"/>
    </xf>
    <xf numFmtId="3" fontId="12" fillId="3" borderId="23" xfId="0" applyNumberFormat="1" applyFont="1" applyFill="1" applyBorder="1" applyAlignment="1">
      <alignment horizontal="right" vertical="center" wrapText="1"/>
    </xf>
    <xf numFmtId="3" fontId="22" fillId="11" borderId="24" xfId="0" applyNumberFormat="1" applyFont="1" applyFill="1" applyBorder="1" applyAlignment="1">
      <alignment horizontal="right" vertical="center" wrapText="1"/>
    </xf>
    <xf numFmtId="3" fontId="40" fillId="3" borderId="23" xfId="0" applyNumberFormat="1" applyFont="1" applyFill="1" applyBorder="1" applyAlignment="1">
      <alignment horizontal="right" vertical="center" wrapText="1"/>
    </xf>
    <xf numFmtId="3" fontId="40" fillId="11" borderId="26" xfId="0" applyNumberFormat="1" applyFont="1" applyFill="1" applyBorder="1" applyAlignment="1">
      <alignment horizontal="right" vertical="center" wrapText="1"/>
    </xf>
    <xf numFmtId="0" fontId="42" fillId="0" borderId="0" xfId="0" applyFont="1" applyFill="1" applyBorder="1"/>
    <xf numFmtId="3" fontId="7" fillId="11" borderId="23" xfId="0" applyNumberFormat="1" applyFont="1" applyFill="1" applyBorder="1" applyAlignment="1">
      <alignment horizontal="right" vertical="center"/>
    </xf>
    <xf numFmtId="3" fontId="7" fillId="3" borderId="27" xfId="0" applyNumberFormat="1" applyFont="1" applyFill="1" applyBorder="1" applyAlignment="1">
      <alignment horizontal="right" vertical="center" wrapText="1"/>
    </xf>
    <xf numFmtId="3" fontId="9" fillId="11" borderId="22" xfId="0" applyNumberFormat="1" applyFont="1" applyFill="1" applyBorder="1" applyAlignment="1">
      <alignment horizontal="right" vertical="center" wrapText="1"/>
    </xf>
    <xf numFmtId="0" fontId="19" fillId="14" borderId="56" xfId="0" applyFont="1" applyFill="1" applyBorder="1" applyAlignment="1">
      <alignment horizontal="center" vertical="center" wrapText="1"/>
    </xf>
    <xf numFmtId="0" fontId="19" fillId="6" borderId="56" xfId="0" applyFont="1" applyFill="1" applyBorder="1" applyAlignment="1">
      <alignment horizontal="center" vertical="center" wrapText="1"/>
    </xf>
    <xf numFmtId="0" fontId="19" fillId="6" borderId="57" xfId="0" applyFont="1" applyFill="1" applyBorder="1" applyAlignment="1">
      <alignment horizontal="center" vertical="center" wrapText="1"/>
    </xf>
    <xf numFmtId="3" fontId="36" fillId="14" borderId="21" xfId="0" applyNumberFormat="1" applyFont="1" applyFill="1" applyBorder="1" applyAlignment="1">
      <alignment horizontal="right" vertical="center"/>
    </xf>
    <xf numFmtId="3" fontId="37" fillId="6" borderId="21" xfId="0" applyNumberFormat="1" applyFont="1" applyFill="1" applyBorder="1" applyAlignment="1">
      <alignment vertical="center"/>
    </xf>
    <xf numFmtId="3" fontId="37" fillId="6" borderId="73" xfId="0" applyNumberFormat="1" applyFont="1" applyFill="1" applyBorder="1" applyAlignment="1">
      <alignment vertical="center"/>
    </xf>
    <xf numFmtId="3" fontId="36" fillId="14" borderId="43" xfId="0" applyNumberFormat="1" applyFont="1" applyFill="1" applyBorder="1" applyAlignment="1">
      <alignment horizontal="right" vertical="center"/>
    </xf>
    <xf numFmtId="3" fontId="37" fillId="6" borderId="43" xfId="0" applyNumberFormat="1" applyFont="1" applyFill="1" applyBorder="1" applyAlignment="1">
      <alignment vertical="center"/>
    </xf>
    <xf numFmtId="0" fontId="37" fillId="6" borderId="74" xfId="0" applyFont="1" applyFill="1" applyBorder="1" applyAlignment="1">
      <alignment vertical="center"/>
    </xf>
    <xf numFmtId="3" fontId="36" fillId="14" borderId="56" xfId="0" applyNumberFormat="1" applyFont="1" applyFill="1" applyBorder="1" applyAlignment="1">
      <alignment horizontal="right" vertical="center"/>
    </xf>
    <xf numFmtId="3" fontId="36" fillId="6" borderId="56" xfId="0" applyNumberFormat="1" applyFont="1" applyFill="1" applyBorder="1" applyAlignment="1">
      <alignment horizontal="right" vertical="center"/>
    </xf>
    <xf numFmtId="3" fontId="36" fillId="6" borderId="57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center" vertical="center"/>
    </xf>
    <xf numFmtId="0" fontId="0" fillId="0" borderId="21" xfId="0" applyBorder="1"/>
    <xf numFmtId="0" fontId="19" fillId="0" borderId="73" xfId="0" applyFont="1" applyBorder="1" applyAlignment="1">
      <alignment horizontal="center" vertical="center"/>
    </xf>
    <xf numFmtId="3" fontId="36" fillId="14" borderId="48" xfId="0" applyNumberFormat="1" applyFont="1" applyFill="1" applyBorder="1" applyAlignment="1">
      <alignment horizontal="right" vertical="center"/>
    </xf>
    <xf numFmtId="3" fontId="31" fillId="6" borderId="48" xfId="0" applyNumberFormat="1" applyFont="1" applyFill="1" applyBorder="1" applyAlignment="1">
      <alignment vertical="center"/>
    </xf>
    <xf numFmtId="3" fontId="31" fillId="6" borderId="17" xfId="0" applyNumberFormat="1" applyFont="1" applyFill="1" applyBorder="1" applyAlignment="1">
      <alignment vertical="center"/>
    </xf>
    <xf numFmtId="3" fontId="7" fillId="0" borderId="67" xfId="1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11" fillId="11" borderId="23" xfId="0" applyNumberFormat="1" applyFont="1" applyFill="1" applyBorder="1" applyAlignment="1">
      <alignment horizontal="right" vertical="center" wrapText="1"/>
    </xf>
    <xf numFmtId="3" fontId="12" fillId="11" borderId="25" xfId="0" applyNumberFormat="1" applyFont="1" applyFill="1" applyBorder="1" applyAlignment="1">
      <alignment horizontal="right" vertical="center" wrapText="1"/>
    </xf>
    <xf numFmtId="49" fontId="9" fillId="7" borderId="23" xfId="0" applyNumberFormat="1" applyFont="1" applyFill="1" applyBorder="1" applyAlignment="1">
      <alignment horizontal="center" vertical="center" wrapText="1"/>
    </xf>
    <xf numFmtId="49" fontId="9" fillId="7" borderId="23" xfId="0" applyNumberFormat="1" applyFont="1" applyFill="1" applyBorder="1" applyAlignment="1">
      <alignment horizontal="center" vertical="center" wrapText="1" shrinkToFit="1"/>
    </xf>
    <xf numFmtId="0" fontId="8" fillId="7" borderId="23" xfId="0" applyFont="1" applyFill="1" applyBorder="1" applyAlignment="1">
      <alignment horizontal="center" vertical="center" wrapText="1"/>
    </xf>
    <xf numFmtId="3" fontId="9" fillId="7" borderId="24" xfId="1" applyNumberFormat="1" applyFont="1" applyFill="1" applyBorder="1" applyAlignment="1">
      <alignment vertical="center" wrapText="1"/>
    </xf>
    <xf numFmtId="3" fontId="9" fillId="7" borderId="62" xfId="1" applyNumberFormat="1" applyFont="1" applyFill="1" applyBorder="1" applyAlignment="1">
      <alignment vertical="center" wrapText="1"/>
    </xf>
    <xf numFmtId="3" fontId="7" fillId="7" borderId="62" xfId="0" applyNumberFormat="1" applyFont="1" applyFill="1" applyBorder="1" applyAlignment="1">
      <alignment vertical="center" wrapText="1"/>
    </xf>
    <xf numFmtId="3" fontId="7" fillId="7" borderId="63" xfId="0" applyNumberFormat="1" applyFont="1" applyFill="1" applyBorder="1" applyAlignment="1">
      <alignment vertical="center" wrapText="1"/>
    </xf>
    <xf numFmtId="3" fontId="7" fillId="7" borderId="9" xfId="0" applyNumberFormat="1" applyFont="1" applyFill="1" applyBorder="1" applyAlignment="1">
      <alignment vertical="center" wrapText="1"/>
    </xf>
    <xf numFmtId="3" fontId="9" fillId="7" borderId="31" xfId="0" applyNumberFormat="1" applyFont="1" applyFill="1" applyBorder="1" applyAlignment="1">
      <alignment horizontal="right" vertical="center" wrapText="1"/>
    </xf>
    <xf numFmtId="3" fontId="7" fillId="7" borderId="2" xfId="0" applyNumberFormat="1" applyFont="1" applyFill="1" applyBorder="1" applyAlignment="1">
      <alignment vertical="center" wrapText="1"/>
    </xf>
    <xf numFmtId="3" fontId="7" fillId="7" borderId="24" xfId="0" applyNumberFormat="1" applyFont="1" applyFill="1" applyBorder="1" applyAlignment="1">
      <alignment vertical="center" wrapText="1"/>
    </xf>
    <xf numFmtId="3" fontId="7" fillId="7" borderId="27" xfId="0" applyNumberFormat="1" applyFont="1" applyFill="1" applyBorder="1" applyAlignment="1">
      <alignment vertical="center" wrapText="1"/>
    </xf>
    <xf numFmtId="3" fontId="7" fillId="7" borderId="58" xfId="0" applyNumberFormat="1" applyFont="1" applyFill="1" applyBorder="1" applyAlignment="1">
      <alignment horizontal="right" vertical="center" wrapText="1"/>
    </xf>
    <xf numFmtId="3" fontId="7" fillId="7" borderId="63" xfId="0" applyNumberFormat="1" applyFont="1" applyFill="1" applyBorder="1" applyAlignment="1">
      <alignment horizontal="right" vertical="center" wrapText="1"/>
    </xf>
    <xf numFmtId="3" fontId="7" fillId="7" borderId="53" xfId="0" applyNumberFormat="1" applyFont="1" applyFill="1" applyBorder="1" applyAlignment="1">
      <alignment horizontal="right" vertical="center" wrapText="1"/>
    </xf>
    <xf numFmtId="3" fontId="7" fillId="7" borderId="24" xfId="0" applyNumberFormat="1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3" fontId="9" fillId="3" borderId="48" xfId="0" applyNumberFormat="1" applyFont="1" applyFill="1" applyBorder="1" applyAlignment="1">
      <alignment horizontal="right" vertical="center" wrapText="1"/>
    </xf>
    <xf numFmtId="49" fontId="9" fillId="7" borderId="13" xfId="0" applyNumberFormat="1" applyFont="1" applyFill="1" applyBorder="1" applyAlignment="1">
      <alignment horizontal="center" vertical="center" wrapText="1"/>
    </xf>
    <xf numFmtId="49" fontId="9" fillId="7" borderId="13" xfId="0" applyNumberFormat="1" applyFont="1" applyFill="1" applyBorder="1" applyAlignment="1">
      <alignment horizontal="center" vertical="center" wrapText="1" shrinkToFit="1"/>
    </xf>
    <xf numFmtId="0" fontId="7" fillId="7" borderId="13" xfId="0" applyFont="1" applyFill="1" applyBorder="1" applyAlignment="1">
      <alignment horizontal="center" vertical="center" wrapText="1"/>
    </xf>
    <xf numFmtId="0" fontId="8" fillId="7" borderId="13" xfId="1" applyFont="1" applyFill="1" applyBorder="1" applyAlignment="1">
      <alignment horizontal="center" vertical="center" wrapText="1"/>
    </xf>
    <xf numFmtId="3" fontId="9" fillId="7" borderId="13" xfId="1" applyNumberFormat="1" applyFont="1" applyFill="1" applyBorder="1" applyAlignment="1">
      <alignment horizontal="right" vertical="center" wrapText="1"/>
    </xf>
    <xf numFmtId="3" fontId="9" fillId="7" borderId="59" xfId="1" applyNumberFormat="1" applyFont="1" applyFill="1" applyBorder="1" applyAlignment="1">
      <alignment horizontal="right" vertical="center" wrapText="1"/>
    </xf>
    <xf numFmtId="3" fontId="7" fillId="7" borderId="59" xfId="0" applyNumberFormat="1" applyFont="1" applyFill="1" applyBorder="1" applyAlignment="1">
      <alignment vertical="center" wrapText="1"/>
    </xf>
    <xf numFmtId="3" fontId="7" fillId="7" borderId="48" xfId="0" applyNumberFormat="1" applyFont="1" applyFill="1" applyBorder="1" applyAlignment="1">
      <alignment vertical="center" wrapText="1"/>
    </xf>
    <xf numFmtId="3" fontId="7" fillId="7" borderId="45" xfId="0" applyNumberFormat="1" applyFont="1" applyFill="1" applyBorder="1" applyAlignment="1">
      <alignment vertical="center" wrapText="1"/>
    </xf>
    <xf numFmtId="3" fontId="7" fillId="7" borderId="16" xfId="0" applyNumberFormat="1" applyFont="1" applyFill="1" applyBorder="1" applyAlignment="1">
      <alignment horizontal="right" vertical="center" wrapText="1"/>
    </xf>
    <xf numFmtId="3" fontId="9" fillId="7" borderId="14" xfId="0" applyNumberFormat="1" applyFont="1" applyFill="1" applyBorder="1" applyAlignment="1">
      <alignment horizontal="right" vertical="center" wrapText="1"/>
    </xf>
    <xf numFmtId="3" fontId="9" fillId="7" borderId="13" xfId="0" applyNumberFormat="1" applyFont="1" applyFill="1" applyBorder="1" applyAlignment="1">
      <alignment horizontal="right" vertical="center" wrapText="1"/>
    </xf>
    <xf numFmtId="3" fontId="7" fillId="7" borderId="13" xfId="0" applyNumberFormat="1" applyFont="1" applyFill="1" applyBorder="1" applyAlignment="1">
      <alignment vertical="center" wrapText="1"/>
    </xf>
    <xf numFmtId="3" fontId="7" fillId="7" borderId="19" xfId="0" applyNumberFormat="1" applyFont="1" applyFill="1" applyBorder="1" applyAlignment="1">
      <alignment vertical="center" wrapText="1"/>
    </xf>
    <xf numFmtId="3" fontId="7" fillId="7" borderId="59" xfId="0" applyNumberFormat="1" applyFont="1" applyFill="1" applyBorder="1" applyAlignment="1">
      <alignment horizontal="right" vertical="center" wrapText="1"/>
    </xf>
    <xf numFmtId="3" fontId="7" fillId="7" borderId="61" xfId="0" applyNumberFormat="1" applyFont="1" applyFill="1" applyBorder="1" applyAlignment="1">
      <alignment horizontal="right" vertical="center" wrapText="1"/>
    </xf>
    <xf numFmtId="3" fontId="7" fillId="7" borderId="48" xfId="0" applyNumberFormat="1" applyFont="1" applyFill="1" applyBorder="1" applyAlignment="1">
      <alignment horizontal="right" vertical="center" wrapText="1"/>
    </xf>
    <xf numFmtId="3" fontId="7" fillId="7" borderId="54" xfId="0" applyNumberFormat="1" applyFont="1" applyFill="1" applyBorder="1" applyAlignment="1">
      <alignment horizontal="right" vertical="center" wrapText="1"/>
    </xf>
    <xf numFmtId="3" fontId="7" fillId="7" borderId="45" xfId="0" applyNumberFormat="1" applyFont="1" applyFill="1" applyBorder="1" applyAlignment="1">
      <alignment horizontal="right" vertical="center" wrapText="1"/>
    </xf>
    <xf numFmtId="4" fontId="7" fillId="7" borderId="13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/>
    <xf numFmtId="49" fontId="9" fillId="7" borderId="22" xfId="0" applyNumberFormat="1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 shrinkToFit="1"/>
    </xf>
    <xf numFmtId="0" fontId="7" fillId="7" borderId="23" xfId="1" applyFill="1" applyBorder="1" applyAlignment="1">
      <alignment horizontal="center" vertical="center" wrapText="1"/>
    </xf>
    <xf numFmtId="3" fontId="9" fillId="7" borderId="58" xfId="1" applyNumberFormat="1" applyFont="1" applyFill="1" applyBorder="1" applyAlignment="1">
      <alignment vertical="center" wrapText="1"/>
    </xf>
    <xf numFmtId="3" fontId="7" fillId="7" borderId="46" xfId="0" applyNumberFormat="1" applyFont="1" applyFill="1" applyBorder="1" applyAlignment="1">
      <alignment vertical="center" wrapText="1"/>
    </xf>
    <xf numFmtId="3" fontId="7" fillId="7" borderId="23" xfId="0" applyNumberFormat="1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3" fontId="7" fillId="0" borderId="58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0" borderId="58" xfId="0" applyNumberFormat="1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center" vertical="center" wrapText="1"/>
    </xf>
    <xf numFmtId="49" fontId="9" fillId="7" borderId="26" xfId="0" applyNumberFormat="1" applyFont="1" applyFill="1" applyBorder="1" applyAlignment="1">
      <alignment horizontal="center" vertical="center" wrapText="1"/>
    </xf>
    <xf numFmtId="49" fontId="9" fillId="7" borderId="26" xfId="0" applyNumberFormat="1" applyFont="1" applyFill="1" applyBorder="1" applyAlignment="1">
      <alignment horizontal="center" vertical="center" wrapText="1" shrinkToFit="1"/>
    </xf>
    <xf numFmtId="0" fontId="7" fillId="7" borderId="26" xfId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3" fontId="9" fillId="7" borderId="33" xfId="1" applyNumberFormat="1" applyFont="1" applyFill="1" applyBorder="1" applyAlignment="1">
      <alignment vertical="center" wrapText="1"/>
    </xf>
    <xf numFmtId="3" fontId="7" fillId="7" borderId="47" xfId="0" applyNumberFormat="1" applyFont="1" applyFill="1" applyBorder="1" applyAlignment="1">
      <alignment vertical="center" wrapText="1"/>
    </xf>
    <xf numFmtId="3" fontId="7" fillId="7" borderId="20" xfId="0" applyNumberFormat="1" applyFont="1" applyFill="1" applyBorder="1" applyAlignment="1">
      <alignment vertical="center" wrapText="1"/>
    </xf>
    <xf numFmtId="3" fontId="7" fillId="7" borderId="32" xfId="0" applyNumberFormat="1" applyFont="1" applyFill="1" applyBorder="1" applyAlignment="1">
      <alignment vertical="center" wrapText="1"/>
    </xf>
    <xf numFmtId="3" fontId="7" fillId="7" borderId="26" xfId="0" applyNumberFormat="1" applyFont="1" applyFill="1" applyBorder="1" applyAlignment="1">
      <alignment vertical="center" wrapText="1"/>
    </xf>
    <xf numFmtId="3" fontId="7" fillId="0" borderId="32" xfId="0" applyNumberFormat="1" applyFont="1" applyBorder="1" applyAlignment="1">
      <alignment vertical="center" wrapText="1"/>
    </xf>
    <xf numFmtId="3" fontId="7" fillId="0" borderId="47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0" borderId="47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 shrinkToFit="1"/>
    </xf>
    <xf numFmtId="0" fontId="7" fillId="0" borderId="26" xfId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" fontId="9" fillId="0" borderId="58" xfId="1" applyNumberFormat="1" applyFont="1" applyBorder="1" applyAlignment="1">
      <alignment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3" fontId="9" fillId="7" borderId="47" xfId="1" applyNumberFormat="1" applyFont="1" applyFill="1" applyBorder="1" applyAlignment="1">
      <alignment vertical="center" wrapText="1"/>
    </xf>
    <xf numFmtId="3" fontId="7" fillId="0" borderId="20" xfId="0" applyNumberFormat="1" applyFont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 shrinkToFit="1"/>
    </xf>
    <xf numFmtId="0" fontId="7" fillId="0" borderId="13" xfId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9" fillId="0" borderId="13" xfId="1" applyNumberFormat="1" applyFont="1" applyBorder="1" applyAlignment="1">
      <alignment vertical="center" wrapText="1"/>
    </xf>
    <xf numFmtId="3" fontId="9" fillId="0" borderId="67" xfId="1" applyNumberFormat="1" applyFont="1" applyBorder="1" applyAlignment="1">
      <alignment vertical="center" wrapText="1"/>
    </xf>
    <xf numFmtId="3" fontId="7" fillId="0" borderId="59" xfId="0" applyNumberFormat="1" applyFont="1" applyBorder="1" applyAlignment="1">
      <alignment vertical="center" wrapText="1"/>
    </xf>
    <xf numFmtId="3" fontId="7" fillId="0" borderId="48" xfId="0" applyNumberFormat="1" applyFont="1" applyBorder="1" applyAlignment="1">
      <alignment vertical="center" wrapText="1"/>
    </xf>
    <xf numFmtId="3" fontId="7" fillId="0" borderId="45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59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right" vertical="center" wrapText="1"/>
    </xf>
    <xf numFmtId="3" fontId="7" fillId="0" borderId="54" xfId="0" applyNumberFormat="1" applyFont="1" applyBorder="1" applyAlignment="1">
      <alignment horizontal="right" vertical="center" wrapText="1"/>
    </xf>
    <xf numFmtId="3" fontId="7" fillId="0" borderId="4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9" fillId="0" borderId="14" xfId="1" applyNumberFormat="1" applyFont="1" applyBorder="1" applyAlignment="1">
      <alignment vertical="center" wrapText="1"/>
    </xf>
    <xf numFmtId="3" fontId="7" fillId="0" borderId="55" xfId="0" applyNumberFormat="1" applyFont="1" applyBorder="1" applyAlignment="1">
      <alignment vertical="center" wrapText="1"/>
    </xf>
    <xf numFmtId="3" fontId="7" fillId="0" borderId="56" xfId="0" applyNumberFormat="1" applyFont="1" applyBorder="1" applyAlignment="1">
      <alignment vertical="center" wrapText="1"/>
    </xf>
    <xf numFmtId="3" fontId="7" fillId="0" borderId="57" xfId="0" applyNumberFormat="1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67" xfId="0" applyNumberFormat="1" applyFont="1" applyBorder="1" applyAlignment="1">
      <alignment vertical="center" wrapText="1"/>
    </xf>
    <xf numFmtId="3" fontId="7" fillId="0" borderId="68" xfId="0" applyNumberFormat="1" applyFont="1" applyBorder="1" applyAlignment="1">
      <alignment vertical="center" wrapText="1"/>
    </xf>
    <xf numFmtId="3" fontId="7" fillId="0" borderId="67" xfId="0" applyNumberFormat="1" applyFont="1" applyBorder="1" applyAlignment="1">
      <alignment horizontal="right" vertical="center" wrapText="1"/>
    </xf>
    <xf numFmtId="3" fontId="7" fillId="0" borderId="71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7" fillId="0" borderId="23" xfId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7" borderId="2" xfId="0" applyNumberFormat="1" applyFont="1" applyFill="1" applyBorder="1" applyAlignment="1">
      <alignment horizontal="right" vertical="center" wrapText="1"/>
    </xf>
    <xf numFmtId="3" fontId="9" fillId="7" borderId="25" xfId="0" applyNumberFormat="1" applyFont="1" applyFill="1" applyBorder="1" applyAlignment="1">
      <alignment horizontal="right" vertical="center" wrapText="1"/>
    </xf>
    <xf numFmtId="3" fontId="7" fillId="7" borderId="58" xfId="0" applyNumberFormat="1" applyFont="1" applyFill="1" applyBorder="1" applyAlignment="1">
      <alignment vertical="center" wrapText="1"/>
    </xf>
    <xf numFmtId="3" fontId="7" fillId="7" borderId="21" xfId="0" applyNumberFormat="1" applyFont="1" applyFill="1" applyBorder="1" applyAlignment="1">
      <alignment vertical="center" wrapText="1"/>
    </xf>
    <xf numFmtId="3" fontId="7" fillId="7" borderId="8" xfId="0" applyNumberFormat="1" applyFont="1" applyFill="1" applyBorder="1" applyAlignment="1">
      <alignment vertical="center" wrapText="1"/>
    </xf>
    <xf numFmtId="3" fontId="7" fillId="7" borderId="44" xfId="0" applyNumberFormat="1" applyFont="1" applyFill="1" applyBorder="1" applyAlignment="1">
      <alignment horizontal="right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3" fontId="7" fillId="7" borderId="23" xfId="0" applyNumberFormat="1" applyFont="1" applyFill="1" applyBorder="1" applyAlignment="1">
      <alignment horizontal="right" vertical="center" wrapText="1"/>
    </xf>
    <xf numFmtId="3" fontId="7" fillId="7" borderId="47" xfId="0" applyNumberFormat="1" applyFont="1" applyFill="1" applyBorder="1" applyAlignment="1">
      <alignment horizontal="right" vertical="center" wrapText="1"/>
    </xf>
    <xf numFmtId="3" fontId="7" fillId="7" borderId="36" xfId="0" applyNumberFormat="1" applyFont="1" applyFill="1" applyBorder="1" applyAlignment="1">
      <alignment horizontal="right" vertical="center" wrapText="1"/>
    </xf>
    <xf numFmtId="3" fontId="7" fillId="7" borderId="21" xfId="0" applyNumberFormat="1" applyFont="1" applyFill="1" applyBorder="1" applyAlignment="1">
      <alignment horizontal="right" vertical="center" wrapText="1"/>
    </xf>
    <xf numFmtId="3" fontId="7" fillId="7" borderId="32" xfId="0" applyNumberFormat="1" applyFont="1" applyFill="1" applyBorder="1" applyAlignment="1">
      <alignment horizontal="right" vertical="center" wrapText="1"/>
    </xf>
    <xf numFmtId="0" fontId="7" fillId="7" borderId="31" xfId="0" applyFont="1" applyFill="1" applyBorder="1" applyAlignment="1">
      <alignment horizontal="center" vertical="center" wrapText="1"/>
    </xf>
    <xf numFmtId="3" fontId="7" fillId="7" borderId="26" xfId="0" applyNumberFormat="1" applyFont="1" applyFill="1" applyBorder="1" applyAlignment="1">
      <alignment horizontal="right" vertical="center" wrapText="1"/>
    </xf>
    <xf numFmtId="3" fontId="7" fillId="7" borderId="65" xfId="0" applyNumberFormat="1" applyFont="1" applyFill="1" applyBorder="1" applyAlignment="1">
      <alignment vertical="center" wrapText="1"/>
    </xf>
    <xf numFmtId="3" fontId="7" fillId="7" borderId="0" xfId="0" applyNumberFormat="1" applyFont="1" applyFill="1" applyAlignment="1">
      <alignment vertical="center" wrapText="1"/>
    </xf>
    <xf numFmtId="3" fontId="7" fillId="7" borderId="64" xfId="0" applyNumberFormat="1" applyFont="1" applyFill="1" applyBorder="1" applyAlignment="1">
      <alignment horizontal="right" vertical="center" wrapText="1"/>
    </xf>
    <xf numFmtId="3" fontId="7" fillId="7" borderId="70" xfId="0" applyNumberFormat="1" applyFont="1" applyFill="1" applyBorder="1" applyAlignment="1">
      <alignment horizontal="right" vertical="center" wrapText="1"/>
    </xf>
    <xf numFmtId="3" fontId="7" fillId="7" borderId="20" xfId="0" applyNumberFormat="1" applyFont="1" applyFill="1" applyBorder="1" applyAlignment="1">
      <alignment horizontal="right" vertical="center" wrapText="1"/>
    </xf>
    <xf numFmtId="3" fontId="7" fillId="7" borderId="29" xfId="0" applyNumberFormat="1" applyFont="1" applyFill="1" applyBorder="1" applyAlignment="1">
      <alignment horizontal="right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/>
    </xf>
    <xf numFmtId="0" fontId="7" fillId="0" borderId="18" xfId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3" fontId="9" fillId="0" borderId="18" xfId="1" applyNumberFormat="1" applyFont="1" applyBorder="1" applyAlignment="1">
      <alignment vertical="center" wrapText="1"/>
    </xf>
    <xf numFmtId="3" fontId="9" fillId="0" borderId="55" xfId="1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7" fillId="0" borderId="55" xfId="0" applyNumberFormat="1" applyFont="1" applyBorder="1" applyAlignment="1">
      <alignment horizontal="right" vertical="center" wrapText="1"/>
    </xf>
    <xf numFmtId="3" fontId="7" fillId="0" borderId="56" xfId="0" applyNumberFormat="1" applyFont="1" applyBorder="1" applyAlignment="1">
      <alignment horizontal="right" vertical="center" wrapText="1"/>
    </xf>
    <xf numFmtId="3" fontId="7" fillId="0" borderId="57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3" fontId="12" fillId="0" borderId="23" xfId="1" applyNumberFormat="1" applyFont="1" applyBorder="1" applyAlignment="1">
      <alignment vertical="center" wrapText="1"/>
    </xf>
    <xf numFmtId="3" fontId="12" fillId="0" borderId="58" xfId="1" applyNumberFormat="1" applyFont="1" applyBorder="1" applyAlignment="1">
      <alignment vertical="center" wrapText="1"/>
    </xf>
    <xf numFmtId="3" fontId="11" fillId="0" borderId="58" xfId="0" applyNumberFormat="1" applyFont="1" applyBorder="1" applyAlignment="1">
      <alignment vertical="center" wrapText="1"/>
    </xf>
    <xf numFmtId="3" fontId="11" fillId="0" borderId="51" xfId="0" applyNumberFormat="1" applyFont="1" applyBorder="1" applyAlignment="1">
      <alignment vertical="center" wrapText="1"/>
    </xf>
    <xf numFmtId="3" fontId="11" fillId="0" borderId="24" xfId="0" applyNumberFormat="1" applyFont="1" applyBorder="1" applyAlignment="1">
      <alignment vertical="center" wrapText="1"/>
    </xf>
    <xf numFmtId="3" fontId="12" fillId="11" borderId="23" xfId="0" applyNumberFormat="1" applyFont="1" applyFill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58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24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3" fontId="9" fillId="0" borderId="47" xfId="1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 shrinkToFit="1"/>
    </xf>
    <xf numFmtId="0" fontId="7" fillId="0" borderId="24" xfId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3" fontId="9" fillId="0" borderId="62" xfId="1" applyNumberFormat="1" applyFont="1" applyBorder="1" applyAlignment="1">
      <alignment vertical="center" wrapText="1"/>
    </xf>
    <xf numFmtId="3" fontId="7" fillId="0" borderId="62" xfId="0" applyNumberFormat="1" applyFont="1" applyBorder="1" applyAlignment="1">
      <alignment vertical="center" wrapText="1"/>
    </xf>
    <xf numFmtId="3" fontId="7" fillId="0" borderId="63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 wrapText="1"/>
    </xf>
    <xf numFmtId="3" fontId="7" fillId="0" borderId="62" xfId="0" applyNumberFormat="1" applyFont="1" applyBorder="1" applyAlignment="1">
      <alignment horizontal="right" vertical="center" wrapText="1"/>
    </xf>
    <xf numFmtId="3" fontId="7" fillId="0" borderId="53" xfId="0" applyNumberFormat="1" applyFont="1" applyBorder="1" applyAlignment="1">
      <alignment horizontal="right" vertical="center" wrapText="1"/>
    </xf>
    <xf numFmtId="3" fontId="7" fillId="0" borderId="27" xfId="0" applyNumberFormat="1" applyFont="1" applyBorder="1" applyAlignment="1">
      <alignment horizontal="right" vertical="center" wrapText="1"/>
    </xf>
    <xf numFmtId="49" fontId="9" fillId="0" borderId="33" xfId="0" applyNumberFormat="1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 wrapText="1"/>
    </xf>
    <xf numFmtId="0" fontId="7" fillId="0" borderId="33" xfId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3" fontId="9" fillId="0" borderId="33" xfId="1" applyNumberFormat="1" applyFont="1" applyBorder="1" applyAlignment="1">
      <alignment vertical="center" wrapText="1"/>
    </xf>
    <xf numFmtId="3" fontId="9" fillId="0" borderId="32" xfId="1" applyNumberFormat="1" applyFont="1" applyBorder="1" applyAlignment="1">
      <alignment vertical="center" wrapText="1"/>
    </xf>
    <xf numFmtId="3" fontId="7" fillId="0" borderId="49" xfId="0" applyNumberFormat="1" applyFont="1" applyBorder="1" applyAlignment="1">
      <alignment vertical="center" wrapText="1"/>
    </xf>
    <xf numFmtId="3" fontId="7" fillId="0" borderId="43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69" xfId="0" applyNumberFormat="1" applyFont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vertical="center" wrapText="1"/>
    </xf>
    <xf numFmtId="3" fontId="9" fillId="0" borderId="58" xfId="0" applyNumberFormat="1" applyFont="1" applyBorder="1" applyAlignment="1">
      <alignment vertical="center" wrapText="1"/>
    </xf>
    <xf numFmtId="3" fontId="7" fillId="0" borderId="41" xfId="0" applyNumberFormat="1" applyFont="1" applyBorder="1" applyAlignment="1">
      <alignment vertical="center" wrapText="1"/>
    </xf>
    <xf numFmtId="3" fontId="7" fillId="0" borderId="31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3" fontId="7" fillId="0" borderId="37" xfId="0" applyNumberFormat="1" applyFont="1" applyBorder="1" applyAlignment="1">
      <alignment horizontal="right" vertical="center"/>
    </xf>
    <xf numFmtId="49" fontId="12" fillId="0" borderId="26" xfId="0" applyNumberFormat="1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3" fontId="12" fillId="0" borderId="26" xfId="1" applyNumberFormat="1" applyFont="1" applyBorder="1" applyAlignment="1">
      <alignment vertical="center" wrapText="1"/>
    </xf>
    <xf numFmtId="3" fontId="12" fillId="0" borderId="47" xfId="1" applyNumberFormat="1" applyFont="1" applyBorder="1" applyAlignment="1">
      <alignment vertical="center" wrapText="1"/>
    </xf>
    <xf numFmtId="3" fontId="11" fillId="0" borderId="47" xfId="0" applyNumberFormat="1" applyFont="1" applyBorder="1" applyAlignment="1">
      <alignment vertical="center" wrapText="1"/>
    </xf>
    <xf numFmtId="3" fontId="11" fillId="0" borderId="20" xfId="0" applyNumberFormat="1" applyFont="1" applyBorder="1" applyAlignment="1">
      <alignment vertical="center" wrapText="1"/>
    </xf>
    <xf numFmtId="3" fontId="11" fillId="0" borderId="32" xfId="0" applyNumberFormat="1" applyFont="1" applyBorder="1" applyAlignment="1">
      <alignment vertical="center" wrapText="1"/>
    </xf>
    <xf numFmtId="3" fontId="11" fillId="11" borderId="26" xfId="0" applyNumberFormat="1" applyFont="1" applyFill="1" applyBorder="1" applyAlignment="1">
      <alignment horizontal="right" vertical="center" wrapText="1"/>
    </xf>
    <xf numFmtId="3" fontId="12" fillId="11" borderId="26" xfId="0" applyNumberFormat="1" applyFont="1" applyFill="1" applyBorder="1" applyAlignment="1">
      <alignment horizontal="right" vertical="center" wrapText="1"/>
    </xf>
    <xf numFmtId="3" fontId="11" fillId="0" borderId="31" xfId="0" applyNumberFormat="1" applyFont="1" applyBorder="1" applyAlignment="1">
      <alignment vertical="center" wrapText="1"/>
    </xf>
    <xf numFmtId="3" fontId="11" fillId="0" borderId="26" xfId="0" applyNumberFormat="1" applyFont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37" xfId="0" applyNumberFormat="1" applyFont="1" applyBorder="1" applyAlignment="1">
      <alignment horizontal="right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4" fillId="7" borderId="26" xfId="0" applyNumberFormat="1" applyFont="1" applyFill="1" applyBorder="1" applyAlignment="1">
      <alignment horizontal="center" vertical="center" wrapText="1" shrinkToFit="1"/>
    </xf>
    <xf numFmtId="0" fontId="13" fillId="7" borderId="26" xfId="1" applyFont="1" applyFill="1" applyBorder="1" applyAlignment="1">
      <alignment horizontal="center" vertical="center" wrapText="1"/>
    </xf>
    <xf numFmtId="0" fontId="13" fillId="7" borderId="32" xfId="1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 wrapText="1"/>
    </xf>
    <xf numFmtId="3" fontId="13" fillId="7" borderId="26" xfId="1" applyNumberFormat="1" applyFont="1" applyFill="1" applyBorder="1" applyAlignment="1">
      <alignment horizontal="center" vertical="center" wrapText="1"/>
    </xf>
    <xf numFmtId="3" fontId="13" fillId="7" borderId="23" xfId="0" applyNumberFormat="1" applyFont="1" applyFill="1" applyBorder="1" applyAlignment="1">
      <alignment horizontal="center" vertical="center" wrapText="1"/>
    </xf>
    <xf numFmtId="3" fontId="14" fillId="7" borderId="58" xfId="0" applyNumberFormat="1" applyFont="1" applyFill="1" applyBorder="1" applyAlignment="1">
      <alignment vertical="center" wrapText="1"/>
    </xf>
    <xf numFmtId="3" fontId="13" fillId="7" borderId="31" xfId="0" applyNumberFormat="1" applyFont="1" applyFill="1" applyBorder="1" applyAlignment="1">
      <alignment vertical="center" wrapText="1"/>
    </xf>
    <xf numFmtId="3" fontId="13" fillId="7" borderId="20" xfId="0" applyNumberFormat="1" applyFont="1" applyFill="1" applyBorder="1" applyAlignment="1">
      <alignment vertical="center" wrapText="1"/>
    </xf>
    <xf numFmtId="3" fontId="14" fillId="7" borderId="25" xfId="0" applyNumberFormat="1" applyFont="1" applyFill="1" applyBorder="1" applyAlignment="1">
      <alignment horizontal="right" vertical="center" wrapText="1"/>
    </xf>
    <xf numFmtId="3" fontId="14" fillId="7" borderId="42" xfId="0" applyNumberFormat="1" applyFont="1" applyFill="1" applyBorder="1" applyAlignment="1">
      <alignment horizontal="right" vertical="center" wrapText="1"/>
    </xf>
    <xf numFmtId="3" fontId="13" fillId="7" borderId="42" xfId="0" applyNumberFormat="1" applyFont="1" applyFill="1" applyBorder="1" applyAlignment="1">
      <alignment vertical="center"/>
    </xf>
    <xf numFmtId="3" fontId="13" fillId="7" borderId="42" xfId="0" applyNumberFormat="1" applyFont="1" applyFill="1" applyBorder="1" applyAlignment="1">
      <alignment vertical="center" wrapText="1"/>
    </xf>
    <xf numFmtId="3" fontId="13" fillId="7" borderId="26" xfId="0" applyNumberFormat="1" applyFont="1" applyFill="1" applyBorder="1" applyAlignment="1">
      <alignment vertical="center"/>
    </xf>
    <xf numFmtId="3" fontId="13" fillId="7" borderId="31" xfId="0" applyNumberFormat="1" applyFont="1" applyFill="1" applyBorder="1" applyAlignment="1">
      <alignment horizontal="right" vertical="center"/>
    </xf>
    <xf numFmtId="3" fontId="13" fillId="7" borderId="26" xfId="0" applyNumberFormat="1" applyFont="1" applyFill="1" applyBorder="1" applyAlignment="1">
      <alignment horizontal="right" vertical="center"/>
    </xf>
    <xf numFmtId="3" fontId="13" fillId="7" borderId="27" xfId="0" applyNumberFormat="1" applyFont="1" applyFill="1" applyBorder="1" applyAlignment="1">
      <alignment horizontal="right" vertical="center"/>
    </xf>
    <xf numFmtId="3" fontId="13" fillId="7" borderId="37" xfId="0" applyNumberFormat="1" applyFont="1" applyFill="1" applyBorder="1" applyAlignment="1">
      <alignment horizontal="right" vertical="center"/>
    </xf>
    <xf numFmtId="0" fontId="13" fillId="7" borderId="42" xfId="0" applyFont="1" applyFill="1" applyBorder="1" applyAlignment="1">
      <alignment horizontal="right" vertical="center" wrapText="1"/>
    </xf>
    <xf numFmtId="0" fontId="13" fillId="7" borderId="41" xfId="0" applyFont="1" applyFill="1" applyBorder="1" applyAlignment="1">
      <alignment horizontal="right" vertical="center" wrapText="1"/>
    </xf>
    <xf numFmtId="49" fontId="13" fillId="7" borderId="31" xfId="0" applyNumberFormat="1" applyFont="1" applyFill="1" applyBorder="1" applyAlignment="1">
      <alignment horizontal="right" vertical="center" wrapText="1"/>
    </xf>
    <xf numFmtId="49" fontId="13" fillId="7" borderId="42" xfId="0" applyNumberFormat="1" applyFont="1" applyFill="1" applyBorder="1" applyAlignment="1">
      <alignment horizontal="right" vertical="center" wrapText="1"/>
    </xf>
    <xf numFmtId="49" fontId="14" fillId="7" borderId="42" xfId="0" applyNumberFormat="1" applyFont="1" applyFill="1" applyBorder="1" applyAlignment="1">
      <alignment horizontal="right" vertical="center" wrapText="1" shrinkToFit="1"/>
    </xf>
    <xf numFmtId="0" fontId="13" fillId="7" borderId="42" xfId="1" applyFont="1" applyFill="1" applyBorder="1" applyAlignment="1">
      <alignment horizontal="right" vertical="center" wrapText="1"/>
    </xf>
    <xf numFmtId="0" fontId="21" fillId="7" borderId="41" xfId="0" applyFont="1" applyFill="1" applyBorder="1" applyAlignment="1">
      <alignment horizontal="right" vertical="center" wrapText="1"/>
    </xf>
    <xf numFmtId="0" fontId="13" fillId="7" borderId="26" xfId="0" applyFont="1" applyFill="1" applyBorder="1" applyAlignment="1">
      <alignment horizontal="center" vertical="center" wrapText="1"/>
    </xf>
    <xf numFmtId="3" fontId="13" fillId="7" borderId="58" xfId="0" applyNumberFormat="1" applyFont="1" applyFill="1" applyBorder="1" applyAlignment="1">
      <alignment horizontal="center" vertical="center" wrapText="1"/>
    </xf>
    <xf numFmtId="49" fontId="14" fillId="7" borderId="23" xfId="0" applyNumberFormat="1" applyFont="1" applyFill="1" applyBorder="1" applyAlignment="1">
      <alignment horizontal="center" vertical="center" wrapText="1"/>
    </xf>
    <xf numFmtId="3" fontId="14" fillId="7" borderId="26" xfId="1" applyNumberFormat="1" applyFont="1" applyFill="1" applyBorder="1" applyAlignment="1">
      <alignment vertical="center" wrapText="1"/>
    </xf>
    <xf numFmtId="3" fontId="14" fillId="7" borderId="23" xfId="0" applyNumberFormat="1" applyFont="1" applyFill="1" applyBorder="1" applyAlignment="1">
      <alignment vertical="center" wrapText="1"/>
    </xf>
    <xf numFmtId="3" fontId="13" fillId="7" borderId="47" xfId="0" applyNumberFormat="1" applyFont="1" applyFill="1" applyBorder="1" applyAlignment="1">
      <alignment vertical="center" wrapText="1"/>
    </xf>
    <xf numFmtId="3" fontId="13" fillId="7" borderId="32" xfId="0" applyNumberFormat="1" applyFont="1" applyFill="1" applyBorder="1" applyAlignment="1">
      <alignment vertical="center" wrapText="1"/>
    </xf>
    <xf numFmtId="3" fontId="13" fillId="7" borderId="24" xfId="0" applyNumberFormat="1" applyFont="1" applyFill="1" applyBorder="1" applyAlignment="1">
      <alignment horizontal="right" vertical="center" wrapText="1"/>
    </xf>
    <xf numFmtId="3" fontId="14" fillId="7" borderId="23" xfId="0" applyNumberFormat="1" applyFont="1" applyFill="1" applyBorder="1" applyAlignment="1">
      <alignment horizontal="right" vertical="center" wrapText="1"/>
    </xf>
    <xf numFmtId="3" fontId="13" fillId="7" borderId="31" xfId="0" applyNumberFormat="1" applyFont="1" applyFill="1" applyBorder="1" applyAlignment="1">
      <alignment vertical="center"/>
    </xf>
    <xf numFmtId="3" fontId="13" fillId="7" borderId="37" xfId="0" applyNumberFormat="1" applyFont="1" applyFill="1" applyBorder="1" applyAlignment="1">
      <alignment vertical="center"/>
    </xf>
    <xf numFmtId="3" fontId="13" fillId="7" borderId="47" xfId="0" applyNumberFormat="1" applyFont="1" applyFill="1" applyBorder="1" applyAlignment="1">
      <alignment horizontal="right" vertical="center"/>
    </xf>
    <xf numFmtId="3" fontId="13" fillId="7" borderId="36" xfId="0" applyNumberFormat="1" applyFont="1" applyFill="1" applyBorder="1" applyAlignment="1">
      <alignment horizontal="right" vertical="center"/>
    </xf>
    <xf numFmtId="3" fontId="13" fillId="7" borderId="44" xfId="0" applyNumberFormat="1" applyFont="1" applyFill="1" applyBorder="1" applyAlignment="1">
      <alignment horizontal="right" vertical="center"/>
    </xf>
    <xf numFmtId="3" fontId="14" fillId="7" borderId="26" xfId="0" applyNumberFormat="1" applyFont="1" applyFill="1" applyBorder="1" applyAlignment="1">
      <alignment horizontal="right" vertical="center" wrapText="1"/>
    </xf>
    <xf numFmtId="0" fontId="7" fillId="8" borderId="32" xfId="1" applyFill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0" fontId="7" fillId="0" borderId="32" xfId="1" applyBorder="1" applyAlignment="1">
      <alignment horizontal="center" vertical="center" wrapText="1"/>
    </xf>
    <xf numFmtId="49" fontId="40" fillId="0" borderId="23" xfId="0" applyNumberFormat="1" applyFont="1" applyBorder="1" applyAlignment="1">
      <alignment horizontal="center" vertical="center" wrapText="1"/>
    </xf>
    <xf numFmtId="49" fontId="40" fillId="0" borderId="26" xfId="0" applyNumberFormat="1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3" fontId="40" fillId="0" borderId="26" xfId="1" applyNumberFormat="1" applyFont="1" applyBorder="1" applyAlignment="1">
      <alignment vertical="center" wrapText="1"/>
    </xf>
    <xf numFmtId="3" fontId="40" fillId="0" borderId="23" xfId="0" applyNumberFormat="1" applyFont="1" applyBorder="1" applyAlignment="1">
      <alignment vertical="center" wrapText="1"/>
    </xf>
    <xf numFmtId="3" fontId="40" fillId="0" borderId="58" xfId="0" applyNumberFormat="1" applyFont="1" applyBorder="1" applyAlignment="1">
      <alignment vertical="center" wrapText="1"/>
    </xf>
    <xf numFmtId="3" fontId="22" fillId="0" borderId="47" xfId="0" applyNumberFormat="1" applyFont="1" applyBorder="1" applyAlignment="1">
      <alignment vertical="center" wrapText="1"/>
    </xf>
    <xf numFmtId="3" fontId="22" fillId="0" borderId="20" xfId="0" applyNumberFormat="1" applyFont="1" applyBorder="1" applyAlignment="1">
      <alignment vertical="center" wrapText="1"/>
    </xf>
    <xf numFmtId="3" fontId="22" fillId="0" borderId="32" xfId="0" applyNumberFormat="1" applyFont="1" applyBorder="1" applyAlignment="1">
      <alignment vertical="center" wrapText="1"/>
    </xf>
    <xf numFmtId="3" fontId="22" fillId="0" borderId="31" xfId="0" applyNumberFormat="1" applyFont="1" applyBorder="1" applyAlignment="1">
      <alignment vertical="center" wrapText="1"/>
    </xf>
    <xf numFmtId="3" fontId="22" fillId="0" borderId="26" xfId="0" applyNumberFormat="1" applyFont="1" applyBorder="1" applyAlignment="1">
      <alignment vertical="center" wrapText="1"/>
    </xf>
    <xf numFmtId="3" fontId="22" fillId="0" borderId="37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horizontal="right" vertical="center"/>
    </xf>
    <xf numFmtId="3" fontId="22" fillId="0" borderId="36" xfId="0" applyNumberFormat="1" applyFont="1" applyBorder="1" applyAlignment="1">
      <alignment horizontal="right" vertical="center"/>
    </xf>
    <xf numFmtId="3" fontId="22" fillId="0" borderId="44" xfId="0" applyNumberFormat="1" applyFont="1" applyBorder="1" applyAlignment="1">
      <alignment horizontal="right" vertical="center"/>
    </xf>
    <xf numFmtId="3" fontId="22" fillId="0" borderId="37" xfId="0" applyNumberFormat="1" applyFont="1" applyBorder="1" applyAlignment="1">
      <alignment horizontal="right" vertical="center"/>
    </xf>
    <xf numFmtId="49" fontId="22" fillId="0" borderId="2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top" wrapText="1"/>
    </xf>
    <xf numFmtId="0" fontId="8" fillId="0" borderId="31" xfId="1" applyFont="1" applyBorder="1" applyAlignment="1">
      <alignment horizontal="center" vertical="center" wrapText="1"/>
    </xf>
    <xf numFmtId="49" fontId="14" fillId="7" borderId="26" xfId="0" applyNumberFormat="1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3" fontId="14" fillId="7" borderId="26" xfId="0" applyNumberFormat="1" applyFont="1" applyFill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49" fontId="19" fillId="0" borderId="26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3" fontId="19" fillId="0" borderId="26" xfId="0" applyNumberFormat="1" applyFont="1" applyBorder="1" applyAlignment="1">
      <alignment horizontal="right" vertical="center"/>
    </xf>
    <xf numFmtId="3" fontId="19" fillId="0" borderId="23" xfId="0" applyNumberFormat="1" applyFont="1" applyBorder="1" applyAlignment="1">
      <alignment vertical="center" wrapText="1"/>
    </xf>
    <xf numFmtId="3" fontId="19" fillId="0" borderId="25" xfId="0" applyNumberFormat="1" applyFont="1" applyBorder="1" applyAlignment="1">
      <alignment vertical="center" wrapText="1"/>
    </xf>
    <xf numFmtId="3" fontId="17" fillId="0" borderId="20" xfId="0" applyNumberFormat="1" applyFont="1" applyBorder="1" applyAlignment="1">
      <alignment vertical="center" wrapText="1"/>
    </xf>
    <xf numFmtId="3" fontId="17" fillId="0" borderId="32" xfId="0" applyNumberFormat="1" applyFont="1" applyBorder="1" applyAlignment="1">
      <alignment vertical="center" wrapText="1"/>
    </xf>
    <xf numFmtId="3" fontId="17" fillId="11" borderId="24" xfId="0" applyNumberFormat="1" applyFont="1" applyFill="1" applyBorder="1" applyAlignment="1">
      <alignment horizontal="right" vertical="center" wrapText="1"/>
    </xf>
    <xf numFmtId="3" fontId="19" fillId="3" borderId="23" xfId="0" applyNumberFormat="1" applyFont="1" applyFill="1" applyBorder="1" applyAlignment="1">
      <alignment horizontal="right" vertical="center" wrapText="1"/>
    </xf>
    <xf numFmtId="3" fontId="19" fillId="11" borderId="26" xfId="0" applyNumberFormat="1" applyFont="1" applyFill="1" applyBorder="1" applyAlignment="1">
      <alignment horizontal="right" vertical="center" wrapText="1"/>
    </xf>
    <xf numFmtId="3" fontId="17" fillId="0" borderId="31" xfId="0" applyNumberFormat="1" applyFont="1" applyBorder="1" applyAlignment="1">
      <alignment horizontal="right" vertical="center"/>
    </xf>
    <xf numFmtId="3" fontId="17" fillId="0" borderId="26" xfId="0" applyNumberFormat="1" applyFont="1" applyBorder="1" applyAlignment="1">
      <alignment horizontal="right" vertical="center"/>
    </xf>
    <xf numFmtId="3" fontId="17" fillId="0" borderId="37" xfId="0" applyNumberFormat="1" applyFont="1" applyBorder="1" applyAlignment="1">
      <alignment vertical="center" wrapText="1"/>
    </xf>
    <xf numFmtId="3" fontId="17" fillId="0" borderId="37" xfId="0" applyNumberFormat="1" applyFont="1" applyBorder="1" applyAlignment="1">
      <alignment vertical="center"/>
    </xf>
    <xf numFmtId="3" fontId="17" fillId="0" borderId="47" xfId="0" applyNumberFormat="1" applyFont="1" applyBorder="1" applyAlignment="1">
      <alignment horizontal="right" vertical="center"/>
    </xf>
    <xf numFmtId="3" fontId="17" fillId="0" borderId="20" xfId="0" applyNumberFormat="1" applyFont="1" applyBorder="1" applyAlignment="1">
      <alignment horizontal="right" vertical="center"/>
    </xf>
    <xf numFmtId="3" fontId="17" fillId="0" borderId="44" xfId="0" applyNumberFormat="1" applyFont="1" applyBorder="1" applyAlignment="1">
      <alignment horizontal="right" vertical="center"/>
    </xf>
    <xf numFmtId="3" fontId="17" fillId="0" borderId="36" xfId="0" applyNumberFormat="1" applyFont="1" applyBorder="1" applyAlignment="1">
      <alignment horizontal="right" vertical="center"/>
    </xf>
    <xf numFmtId="3" fontId="17" fillId="0" borderId="37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0" fontId="13" fillId="0" borderId="24" xfId="0" applyFont="1" applyBorder="1" applyAlignment="1">
      <alignment horizontal="center" vertical="center" wrapText="1"/>
    </xf>
    <xf numFmtId="3" fontId="13" fillId="0" borderId="27" xfId="0" applyNumberFormat="1" applyFont="1" applyBorder="1" applyAlignment="1">
      <alignment horizontal="right" vertical="center"/>
    </xf>
    <xf numFmtId="3" fontId="13" fillId="0" borderId="27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horizontal="right" vertical="center"/>
    </xf>
    <xf numFmtId="3" fontId="13" fillId="0" borderId="44" xfId="0" applyNumberFormat="1" applyFont="1" applyBorder="1" applyAlignment="1">
      <alignment horizontal="right" vertical="center"/>
    </xf>
    <xf numFmtId="49" fontId="14" fillId="7" borderId="23" xfId="0" applyNumberFormat="1" applyFont="1" applyFill="1" applyBorder="1" applyAlignment="1">
      <alignment horizontal="center" vertical="center" wrapText="1" shrinkToFit="1"/>
    </xf>
    <xf numFmtId="0" fontId="13" fillId="7" borderId="23" xfId="0" applyFont="1" applyFill="1" applyBorder="1" applyAlignment="1">
      <alignment horizontal="center" vertical="center" wrapText="1"/>
    </xf>
    <xf numFmtId="0" fontId="21" fillId="7" borderId="23" xfId="0" applyFont="1" applyFill="1" applyBorder="1" applyAlignment="1">
      <alignment horizontal="center" vertical="center" wrapText="1"/>
    </xf>
    <xf numFmtId="3" fontId="14" fillId="7" borderId="23" xfId="0" applyNumberFormat="1" applyFont="1" applyFill="1" applyBorder="1" applyAlignment="1">
      <alignment horizontal="right" vertical="center"/>
    </xf>
    <xf numFmtId="3" fontId="13" fillId="7" borderId="58" xfId="0" applyNumberFormat="1" applyFont="1" applyFill="1" applyBorder="1" applyAlignment="1">
      <alignment vertical="center" wrapText="1"/>
    </xf>
    <xf numFmtId="3" fontId="13" fillId="7" borderId="21" xfId="0" applyNumberFormat="1" applyFont="1" applyFill="1" applyBorder="1" applyAlignment="1">
      <alignment vertical="center" wrapText="1"/>
    </xf>
    <xf numFmtId="3" fontId="13" fillId="7" borderId="24" xfId="0" applyNumberFormat="1" applyFont="1" applyFill="1" applyBorder="1" applyAlignment="1">
      <alignment vertical="center" wrapText="1"/>
    </xf>
    <xf numFmtId="3" fontId="13" fillId="7" borderId="25" xfId="0" applyNumberFormat="1" applyFont="1" applyFill="1" applyBorder="1" applyAlignment="1">
      <alignment horizontal="right" vertical="center"/>
    </xf>
    <xf numFmtId="3" fontId="13" fillId="7" borderId="23" xfId="0" applyNumberFormat="1" applyFont="1" applyFill="1" applyBorder="1" applyAlignment="1">
      <alignment horizontal="right" vertical="center"/>
    </xf>
    <xf numFmtId="3" fontId="13" fillId="7" borderId="27" xfId="0" applyNumberFormat="1" applyFont="1" applyFill="1" applyBorder="1" applyAlignment="1">
      <alignment vertical="center"/>
    </xf>
    <xf numFmtId="3" fontId="13" fillId="7" borderId="58" xfId="0" applyNumberFormat="1" applyFont="1" applyFill="1" applyBorder="1" applyAlignment="1">
      <alignment horizontal="right" vertical="center"/>
    </xf>
    <xf numFmtId="0" fontId="11" fillId="0" borderId="31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right" vertical="center"/>
    </xf>
    <xf numFmtId="3" fontId="12" fillId="0" borderId="23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11" fillId="11" borderId="24" xfId="0" applyNumberFormat="1" applyFont="1" applyFill="1" applyBorder="1" applyAlignment="1">
      <alignment horizontal="right" vertical="center" wrapText="1"/>
    </xf>
    <xf numFmtId="3" fontId="11" fillId="0" borderId="31" xfId="0" applyNumberFormat="1" applyFont="1" applyBorder="1" applyAlignment="1">
      <alignment horizontal="right" vertical="center"/>
    </xf>
    <xf numFmtId="3" fontId="11" fillId="0" borderId="23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vertical="center"/>
    </xf>
    <xf numFmtId="3" fontId="11" fillId="0" borderId="58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0" fontId="7" fillId="8" borderId="31" xfId="0" applyFont="1" applyFill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3" fontId="7" fillId="0" borderId="58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0" fontId="7" fillId="0" borderId="31" xfId="0" applyFont="1" applyBorder="1" applyAlignment="1">
      <alignment horizontal="center" wrapText="1"/>
    </xf>
    <xf numFmtId="3" fontId="7" fillId="0" borderId="20" xfId="0" applyNumberFormat="1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3" fontId="9" fillId="0" borderId="19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 wrapText="1"/>
    </xf>
    <xf numFmtId="3" fontId="9" fillId="0" borderId="59" xfId="0" applyNumberFormat="1" applyFont="1" applyBorder="1" applyAlignment="1">
      <alignment horizontal="right" vertical="center" wrapText="1"/>
    </xf>
    <xf numFmtId="3" fontId="9" fillId="0" borderId="48" xfId="0" applyNumberFormat="1" applyFont="1" applyBorder="1" applyAlignment="1">
      <alignment horizontal="right" vertical="center" wrapText="1"/>
    </xf>
    <xf numFmtId="3" fontId="9" fillId="0" borderId="45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59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54" xfId="0" applyNumberFormat="1" applyFont="1" applyBorder="1" applyAlignment="1">
      <alignment horizontal="right" vertical="center"/>
    </xf>
    <xf numFmtId="3" fontId="7" fillId="0" borderId="71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 wrapText="1"/>
    </xf>
    <xf numFmtId="3" fontId="9" fillId="0" borderId="58" xfId="0" applyNumberFormat="1" applyFont="1" applyBorder="1" applyAlignment="1">
      <alignment horizontal="right" vertical="center" wrapText="1"/>
    </xf>
    <xf numFmtId="3" fontId="9" fillId="0" borderId="21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46" fillId="7" borderId="23" xfId="0" applyNumberFormat="1" applyFont="1" applyFill="1" applyBorder="1" applyAlignment="1">
      <alignment horizontal="center" vertical="center" wrapText="1"/>
    </xf>
    <xf numFmtId="49" fontId="46" fillId="7" borderId="26" xfId="0" applyNumberFormat="1" applyFont="1" applyFill="1" applyBorder="1" applyAlignment="1">
      <alignment horizontal="center" vertical="center" wrapText="1" shrinkToFit="1"/>
    </xf>
    <xf numFmtId="0" fontId="15" fillId="7" borderId="26" xfId="0" applyFont="1" applyFill="1" applyBorder="1" applyAlignment="1">
      <alignment horizontal="center" vertical="center" wrapText="1"/>
    </xf>
    <xf numFmtId="0" fontId="15" fillId="7" borderId="26" xfId="1" applyFont="1" applyFill="1" applyBorder="1" applyAlignment="1">
      <alignment horizontal="center" vertical="center" wrapText="1"/>
    </xf>
    <xf numFmtId="0" fontId="15" fillId="7" borderId="32" xfId="1" applyFont="1" applyFill="1" applyBorder="1" applyAlignment="1">
      <alignment horizontal="center" vertical="center" wrapText="1"/>
    </xf>
    <xf numFmtId="0" fontId="47" fillId="7" borderId="31" xfId="0" applyFont="1" applyFill="1" applyBorder="1" applyAlignment="1">
      <alignment horizontal="center" vertical="center" wrapText="1"/>
    </xf>
    <xf numFmtId="3" fontId="46" fillId="7" borderId="23" xfId="0" applyNumberFormat="1" applyFont="1" applyFill="1" applyBorder="1" applyAlignment="1">
      <alignment vertical="center" wrapText="1"/>
    </xf>
    <xf numFmtId="3" fontId="46" fillId="7" borderId="58" xfId="0" applyNumberFormat="1" applyFont="1" applyFill="1" applyBorder="1" applyAlignment="1">
      <alignment vertical="center" wrapText="1"/>
    </xf>
    <xf numFmtId="3" fontId="15" fillId="7" borderId="47" xfId="0" applyNumberFormat="1" applyFont="1" applyFill="1" applyBorder="1" applyAlignment="1">
      <alignment vertical="center" wrapText="1"/>
    </xf>
    <xf numFmtId="3" fontId="15" fillId="7" borderId="20" xfId="0" applyNumberFormat="1" applyFont="1" applyFill="1" applyBorder="1" applyAlignment="1">
      <alignment vertical="center" wrapText="1"/>
    </xf>
    <xf numFmtId="3" fontId="15" fillId="7" borderId="32" xfId="0" applyNumberFormat="1" applyFont="1" applyFill="1" applyBorder="1" applyAlignment="1">
      <alignment vertical="center" wrapText="1"/>
    </xf>
    <xf numFmtId="3" fontId="15" fillId="7" borderId="24" xfId="0" applyNumberFormat="1" applyFont="1" applyFill="1" applyBorder="1" applyAlignment="1">
      <alignment horizontal="right" vertical="center" wrapText="1"/>
    </xf>
    <xf numFmtId="3" fontId="46" fillId="7" borderId="23" xfId="0" applyNumberFormat="1" applyFont="1" applyFill="1" applyBorder="1" applyAlignment="1">
      <alignment horizontal="right" vertical="center" wrapText="1"/>
    </xf>
    <xf numFmtId="3" fontId="15" fillId="7" borderId="23" xfId="0" applyNumberFormat="1" applyFont="1" applyFill="1" applyBorder="1" applyAlignment="1">
      <alignment vertical="center"/>
    </xf>
    <xf numFmtId="3" fontId="15" fillId="7" borderId="37" xfId="0" applyNumberFormat="1" applyFont="1" applyFill="1" applyBorder="1" applyAlignment="1">
      <alignment vertical="center"/>
    </xf>
    <xf numFmtId="3" fontId="15" fillId="7" borderId="47" xfId="0" applyNumberFormat="1" applyFont="1" applyFill="1" applyBorder="1" applyAlignment="1">
      <alignment horizontal="right" vertical="center"/>
    </xf>
    <xf numFmtId="3" fontId="15" fillId="7" borderId="36" xfId="0" applyNumberFormat="1" applyFont="1" applyFill="1" applyBorder="1" applyAlignment="1">
      <alignment horizontal="right" vertical="center"/>
    </xf>
    <xf numFmtId="3" fontId="15" fillId="7" borderId="44" xfId="0" applyNumberFormat="1" applyFont="1" applyFill="1" applyBorder="1" applyAlignment="1">
      <alignment horizontal="right" vertical="center"/>
    </xf>
    <xf numFmtId="3" fontId="15" fillId="7" borderId="37" xfId="0" applyNumberFormat="1" applyFont="1" applyFill="1" applyBorder="1" applyAlignment="1">
      <alignment horizontal="right" vertical="center"/>
    </xf>
    <xf numFmtId="3" fontId="46" fillId="7" borderId="26" xfId="0" applyNumberFormat="1" applyFont="1" applyFill="1" applyBorder="1" applyAlignment="1">
      <alignment horizontal="right" vertical="center" wrapText="1"/>
    </xf>
    <xf numFmtId="3" fontId="15" fillId="7" borderId="26" xfId="0" applyNumberFormat="1" applyFont="1" applyFill="1" applyBorder="1" applyAlignment="1">
      <alignment vertical="center"/>
    </xf>
    <xf numFmtId="3" fontId="17" fillId="0" borderId="47" xfId="0" applyNumberFormat="1" applyFont="1" applyBorder="1" applyAlignment="1">
      <alignment vertical="center" wrapText="1"/>
    </xf>
    <xf numFmtId="3" fontId="46" fillId="7" borderId="26" xfId="1" applyNumberFormat="1" applyFont="1" applyFill="1" applyBorder="1" applyAlignment="1">
      <alignment vertical="center" wrapText="1"/>
    </xf>
    <xf numFmtId="3" fontId="15" fillId="7" borderId="31" xfId="0" applyNumberFormat="1" applyFont="1" applyFill="1" applyBorder="1" applyAlignment="1">
      <alignment vertical="center"/>
    </xf>
    <xf numFmtId="0" fontId="45" fillId="0" borderId="26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 shrinkToFit="1"/>
    </xf>
    <xf numFmtId="0" fontId="8" fillId="0" borderId="2" xfId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3" fontId="7" fillId="0" borderId="63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63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3" fontId="9" fillId="4" borderId="22" xfId="1" applyNumberFormat="1" applyFont="1" applyFill="1" applyBorder="1" applyAlignment="1">
      <alignment vertical="center"/>
    </xf>
    <xf numFmtId="0" fontId="7" fillId="0" borderId="2" xfId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horizontal="right" vertical="center" wrapText="1"/>
    </xf>
    <xf numFmtId="3" fontId="9" fillId="0" borderId="66" xfId="0" applyNumberFormat="1" applyFont="1" applyBorder="1" applyAlignment="1">
      <alignment vertical="center" wrapText="1"/>
    </xf>
    <xf numFmtId="3" fontId="9" fillId="0" borderId="63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3" fontId="9" fillId="0" borderId="49" xfId="0" applyNumberFormat="1" applyFont="1" applyBorder="1" applyAlignment="1">
      <alignment vertical="center" wrapText="1"/>
    </xf>
    <xf numFmtId="3" fontId="9" fillId="0" borderId="20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5" xfId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26" fillId="0" borderId="14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 wrapText="1" shrinkToFit="1"/>
    </xf>
    <xf numFmtId="0" fontId="7" fillId="0" borderId="9" xfId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 wrapText="1"/>
    </xf>
    <xf numFmtId="0" fontId="39" fillId="0" borderId="15" xfId="1" applyFont="1" applyBorder="1" applyAlignment="1">
      <alignment horizontal="center" vertical="center" wrapText="1"/>
    </xf>
    <xf numFmtId="3" fontId="12" fillId="0" borderId="13" xfId="1" applyNumberFormat="1" applyFont="1" applyBorder="1" applyAlignment="1">
      <alignment vertical="center" wrapText="1"/>
    </xf>
    <xf numFmtId="3" fontId="12" fillId="0" borderId="59" xfId="1" applyNumberFormat="1" applyFont="1" applyBorder="1" applyAlignment="1">
      <alignment vertical="center" wrapText="1"/>
    </xf>
    <xf numFmtId="3" fontId="11" fillId="0" borderId="59" xfId="0" applyNumberFormat="1" applyFont="1" applyBorder="1" applyAlignment="1">
      <alignment vertical="center" wrapText="1"/>
    </xf>
    <xf numFmtId="3" fontId="11" fillId="0" borderId="48" xfId="0" applyNumberFormat="1" applyFont="1" applyBorder="1" applyAlignment="1">
      <alignment vertical="center" wrapText="1"/>
    </xf>
    <xf numFmtId="3" fontId="11" fillId="0" borderId="45" xfId="0" applyNumberFormat="1" applyFont="1" applyBorder="1" applyAlignment="1">
      <alignment vertical="center" wrapText="1"/>
    </xf>
    <xf numFmtId="3" fontId="11" fillId="11" borderId="45" xfId="0" applyNumberFormat="1" applyFont="1" applyFill="1" applyBorder="1" applyAlignment="1">
      <alignment horizontal="right" vertical="center" wrapText="1"/>
    </xf>
    <xf numFmtId="3" fontId="12" fillId="3" borderId="13" xfId="0" applyNumberFormat="1" applyFont="1" applyFill="1" applyBorder="1" applyAlignment="1">
      <alignment horizontal="right" vertical="center" wrapText="1"/>
    </xf>
    <xf numFmtId="3" fontId="12" fillId="11" borderId="13" xfId="0" applyNumberFormat="1" applyFont="1" applyFill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59" xfId="0" applyNumberFormat="1" applyFont="1" applyBorder="1" applyAlignment="1">
      <alignment horizontal="right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3" fontId="11" fillId="0" borderId="54" xfId="0" applyNumberFormat="1" applyFont="1" applyBorder="1" applyAlignment="1">
      <alignment horizontal="right" vertical="center" wrapText="1"/>
    </xf>
    <xf numFmtId="3" fontId="11" fillId="0" borderId="45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9" fillId="0" borderId="59" xfId="1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7" fillId="7" borderId="13" xfId="1" applyFill="1" applyBorder="1" applyAlignment="1">
      <alignment horizontal="center" vertical="center" wrapText="1"/>
    </xf>
    <xf numFmtId="0" fontId="7" fillId="7" borderId="45" xfId="1" applyFill="1" applyBorder="1" applyAlignment="1">
      <alignment horizontal="center" vertical="center" wrapText="1"/>
    </xf>
    <xf numFmtId="0" fontId="8" fillId="7" borderId="15" xfId="1" applyFont="1" applyFill="1" applyBorder="1" applyAlignment="1">
      <alignment horizontal="center" vertical="center" wrapText="1"/>
    </xf>
    <xf numFmtId="3" fontId="9" fillId="7" borderId="67" xfId="1" applyNumberFormat="1" applyFont="1" applyFill="1" applyBorder="1" applyAlignment="1">
      <alignment vertical="center" wrapText="1"/>
    </xf>
    <xf numFmtId="3" fontId="7" fillId="7" borderId="19" xfId="0" applyNumberFormat="1" applyFont="1" applyFill="1" applyBorder="1" applyAlignment="1">
      <alignment horizontal="right" vertical="center" wrapText="1"/>
    </xf>
    <xf numFmtId="3" fontId="7" fillId="7" borderId="13" xfId="0" applyNumberFormat="1" applyFont="1" applyFill="1" applyBorder="1" applyAlignment="1">
      <alignment horizontal="right" vertical="center" wrapText="1"/>
    </xf>
    <xf numFmtId="3" fontId="7" fillId="7" borderId="67" xfId="0" applyNumberFormat="1" applyFont="1" applyFill="1" applyBorder="1" applyAlignment="1">
      <alignment horizontal="right" vertical="center" wrapText="1"/>
    </xf>
    <xf numFmtId="3" fontId="7" fillId="7" borderId="1" xfId="0" applyNumberFormat="1" applyFont="1" applyFill="1" applyBorder="1" applyAlignment="1">
      <alignment horizontal="right" vertical="center" wrapText="1"/>
    </xf>
    <xf numFmtId="3" fontId="7" fillId="7" borderId="71" xfId="0" applyNumberFormat="1" applyFont="1" applyFill="1" applyBorder="1" applyAlignment="1">
      <alignment horizontal="right" vertical="center" wrapText="1"/>
    </xf>
    <xf numFmtId="49" fontId="9" fillId="0" borderId="23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 wrapText="1"/>
    </xf>
    <xf numFmtId="3" fontId="9" fillId="0" borderId="23" xfId="1" applyNumberFormat="1" applyFont="1" applyBorder="1" applyAlignment="1">
      <alignment vertical="center"/>
    </xf>
    <xf numFmtId="3" fontId="9" fillId="0" borderId="58" xfId="1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shrinkToFit="1"/>
    </xf>
    <xf numFmtId="0" fontId="29" fillId="0" borderId="26" xfId="0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3" fontId="9" fillId="0" borderId="26" xfId="1" applyNumberFormat="1" applyFont="1" applyBorder="1" applyAlignment="1">
      <alignment vertical="center"/>
    </xf>
    <xf numFmtId="3" fontId="9" fillId="0" borderId="47" xfId="1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3" fontId="9" fillId="0" borderId="14" xfId="1" applyNumberFormat="1" applyFont="1" applyBorder="1" applyAlignment="1">
      <alignment vertical="center"/>
    </xf>
    <xf numFmtId="3" fontId="9" fillId="0" borderId="13" xfId="1" applyNumberFormat="1" applyFont="1" applyBorder="1" applyAlignment="1">
      <alignment vertical="center"/>
    </xf>
    <xf numFmtId="3" fontId="9" fillId="0" borderId="67" xfId="1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70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3" fontId="9" fillId="0" borderId="2" xfId="1" applyNumberFormat="1" applyFont="1" applyBorder="1" applyAlignment="1">
      <alignment vertical="center"/>
    </xf>
    <xf numFmtId="3" fontId="9" fillId="0" borderId="62" xfId="1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3" fontId="7" fillId="0" borderId="46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/>
    </xf>
    <xf numFmtId="49" fontId="14" fillId="0" borderId="23" xfId="0" applyNumberFormat="1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21" fillId="0" borderId="27" xfId="1" applyFont="1" applyBorder="1" applyAlignment="1">
      <alignment horizontal="center" vertical="center" wrapText="1"/>
    </xf>
    <xf numFmtId="3" fontId="14" fillId="0" borderId="23" xfId="1" applyNumberFormat="1" applyFont="1" applyBorder="1" applyAlignment="1">
      <alignment vertical="center"/>
    </xf>
    <xf numFmtId="3" fontId="14" fillId="0" borderId="58" xfId="1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21" xfId="0" applyNumberFormat="1" applyFont="1" applyBorder="1" applyAlignment="1">
      <alignment vertical="center"/>
    </xf>
    <xf numFmtId="3" fontId="13" fillId="0" borderId="24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49" fontId="9" fillId="4" borderId="23" xfId="0" applyNumberFormat="1" applyFont="1" applyFill="1" applyBorder="1" applyAlignment="1">
      <alignment horizontal="center" vertical="center"/>
    </xf>
    <xf numFmtId="49" fontId="9" fillId="4" borderId="23" xfId="0" applyNumberFormat="1" applyFont="1" applyFill="1" applyBorder="1" applyAlignment="1">
      <alignment horizontal="center" vertical="center" shrinkToFit="1"/>
    </xf>
    <xf numFmtId="0" fontId="29" fillId="4" borderId="24" xfId="0" applyFont="1" applyFill="1" applyBorder="1" applyAlignment="1">
      <alignment horizontal="center" vertical="center" wrapText="1"/>
    </xf>
    <xf numFmtId="0" fontId="8" fillId="4" borderId="27" xfId="1" applyFont="1" applyFill="1" applyBorder="1" applyAlignment="1">
      <alignment horizontal="center" vertical="center" wrapText="1"/>
    </xf>
    <xf numFmtId="3" fontId="9" fillId="4" borderId="58" xfId="1" applyNumberFormat="1" applyFont="1" applyFill="1" applyBorder="1" applyAlignment="1">
      <alignment vertical="center"/>
    </xf>
    <xf numFmtId="3" fontId="7" fillId="4" borderId="58" xfId="0" applyNumberFormat="1" applyFont="1" applyFill="1" applyBorder="1" applyAlignment="1">
      <alignment vertical="center"/>
    </xf>
    <xf numFmtId="3" fontId="7" fillId="4" borderId="24" xfId="0" applyNumberFormat="1" applyFont="1" applyFill="1" applyBorder="1" applyAlignment="1">
      <alignment horizontal="right" vertical="center"/>
    </xf>
    <xf numFmtId="3" fontId="9" fillId="4" borderId="24" xfId="0" applyNumberFormat="1" applyFont="1" applyFill="1" applyBorder="1" applyAlignment="1">
      <alignment horizontal="right" vertical="center"/>
    </xf>
    <xf numFmtId="3" fontId="9" fillId="4" borderId="32" xfId="0" applyNumberFormat="1" applyFont="1" applyFill="1" applyBorder="1" applyAlignment="1">
      <alignment horizontal="right" vertical="center"/>
    </xf>
    <xf numFmtId="3" fontId="7" fillId="4" borderId="23" xfId="0" applyNumberFormat="1" applyFont="1" applyFill="1" applyBorder="1" applyAlignment="1">
      <alignment vertical="center"/>
    </xf>
    <xf numFmtId="3" fontId="7" fillId="4" borderId="58" xfId="0" applyNumberFormat="1" applyFont="1" applyFill="1" applyBorder="1" applyAlignment="1">
      <alignment horizontal="right" vertical="center"/>
    </xf>
    <xf numFmtId="3" fontId="7" fillId="4" borderId="27" xfId="0" applyNumberFormat="1" applyFont="1" applyFill="1" applyBorder="1" applyAlignment="1">
      <alignment horizontal="right" vertical="center"/>
    </xf>
    <xf numFmtId="3" fontId="7" fillId="4" borderId="20" xfId="0" applyNumberFormat="1" applyFont="1" applyFill="1" applyBorder="1" applyAlignment="1">
      <alignment horizontal="right" vertical="center"/>
    </xf>
    <xf numFmtId="3" fontId="7" fillId="4" borderId="44" xfId="0" applyNumberFormat="1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center" vertical="center"/>
    </xf>
    <xf numFmtId="49" fontId="9" fillId="4" borderId="23" xfId="0" applyNumberFormat="1" applyFont="1" applyFill="1" applyBorder="1" applyAlignment="1">
      <alignment horizontal="center" vertical="center" wrapText="1"/>
    </xf>
    <xf numFmtId="49" fontId="9" fillId="4" borderId="23" xfId="0" applyNumberFormat="1" applyFont="1" applyFill="1" applyBorder="1" applyAlignment="1">
      <alignment horizontal="center" vertical="center" wrapText="1" shrinkToFit="1"/>
    </xf>
    <xf numFmtId="0" fontId="7" fillId="4" borderId="23" xfId="1" applyFill="1" applyBorder="1" applyAlignment="1">
      <alignment horizontal="center" vertical="center" wrapText="1"/>
    </xf>
    <xf numFmtId="3" fontId="9" fillId="4" borderId="58" xfId="1" applyNumberFormat="1" applyFont="1" applyFill="1" applyBorder="1" applyAlignment="1">
      <alignment vertical="center" wrapText="1"/>
    </xf>
    <xf numFmtId="3" fontId="7" fillId="4" borderId="24" xfId="0" applyNumberFormat="1" applyFont="1" applyFill="1" applyBorder="1" applyAlignment="1">
      <alignment horizontal="right" vertical="center" wrapText="1"/>
    </xf>
    <xf numFmtId="3" fontId="9" fillId="4" borderId="24" xfId="0" applyNumberFormat="1" applyFont="1" applyFill="1" applyBorder="1" applyAlignment="1">
      <alignment horizontal="right" vertical="center" wrapText="1"/>
    </xf>
    <xf numFmtId="3" fontId="9" fillId="4" borderId="32" xfId="0" applyNumberFormat="1" applyFont="1" applyFill="1" applyBorder="1" applyAlignment="1">
      <alignment horizontal="right" vertical="center" wrapText="1"/>
    </xf>
    <xf numFmtId="3" fontId="7" fillId="4" borderId="58" xfId="0" applyNumberFormat="1" applyFont="1" applyFill="1" applyBorder="1" applyAlignment="1">
      <alignment horizontal="right" vertical="center" wrapText="1"/>
    </xf>
    <xf numFmtId="3" fontId="7" fillId="4" borderId="27" xfId="0" applyNumberFormat="1" applyFont="1" applyFill="1" applyBorder="1" applyAlignment="1">
      <alignment horizontal="right" vertical="center" wrapText="1"/>
    </xf>
    <xf numFmtId="3" fontId="7" fillId="4" borderId="20" xfId="0" applyNumberFormat="1" applyFont="1" applyFill="1" applyBorder="1" applyAlignment="1">
      <alignment horizontal="right" vertical="center" wrapText="1"/>
    </xf>
    <xf numFmtId="3" fontId="7" fillId="4" borderId="44" xfId="0" applyNumberFormat="1" applyFont="1" applyFill="1" applyBorder="1" applyAlignment="1">
      <alignment horizontal="right" vertical="center" wrapText="1"/>
    </xf>
    <xf numFmtId="49" fontId="9" fillId="4" borderId="26" xfId="0" applyNumberFormat="1" applyFont="1" applyFill="1" applyBorder="1" applyAlignment="1">
      <alignment horizontal="center" vertical="center"/>
    </xf>
    <xf numFmtId="49" fontId="9" fillId="4" borderId="26" xfId="0" applyNumberFormat="1" applyFont="1" applyFill="1" applyBorder="1" applyAlignment="1">
      <alignment horizontal="center" vertical="center" shrinkToFit="1"/>
    </xf>
    <xf numFmtId="0" fontId="29" fillId="4" borderId="32" xfId="0" applyFont="1" applyFill="1" applyBorder="1" applyAlignment="1">
      <alignment horizontal="center" vertical="center" wrapText="1"/>
    </xf>
    <xf numFmtId="0" fontId="7" fillId="4" borderId="26" xfId="1" applyFill="1" applyBorder="1" applyAlignment="1">
      <alignment horizontal="center" vertical="center" wrapText="1"/>
    </xf>
    <xf numFmtId="0" fontId="8" fillId="4" borderId="37" xfId="1" applyFont="1" applyFill="1" applyBorder="1" applyAlignment="1">
      <alignment horizontal="center" vertical="center" wrapText="1"/>
    </xf>
    <xf numFmtId="3" fontId="9" fillId="4" borderId="47" xfId="1" applyNumberFormat="1" applyFont="1" applyFill="1" applyBorder="1" applyAlignment="1">
      <alignment vertical="center"/>
    </xf>
    <xf numFmtId="3" fontId="7" fillId="4" borderId="47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horizontal="right" vertical="center"/>
    </xf>
    <xf numFmtId="3" fontId="7" fillId="4" borderId="47" xfId="0" applyNumberFormat="1" applyFont="1" applyFill="1" applyBorder="1" applyAlignment="1">
      <alignment horizontal="right" vertical="center"/>
    </xf>
    <xf numFmtId="3" fontId="7" fillId="4" borderId="37" xfId="0" applyNumberFormat="1" applyFont="1" applyFill="1" applyBorder="1" applyAlignment="1">
      <alignment horizontal="right" vertical="center"/>
    </xf>
    <xf numFmtId="3" fontId="7" fillId="4" borderId="36" xfId="0" applyNumberFormat="1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>
      <alignment horizontal="center" vertical="center" shrinkToFit="1"/>
    </xf>
    <xf numFmtId="0" fontId="29" fillId="4" borderId="29" xfId="0" applyFont="1" applyFill="1" applyBorder="1" applyAlignment="1">
      <alignment horizontal="center" vertical="center" wrapText="1"/>
    </xf>
    <xf numFmtId="0" fontId="7" fillId="4" borderId="22" xfId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3" fontId="9" fillId="4" borderId="64" xfId="1" applyNumberFormat="1" applyFont="1" applyFill="1" applyBorder="1" applyAlignment="1">
      <alignment vertical="center"/>
    </xf>
    <xf numFmtId="3" fontId="7" fillId="4" borderId="64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horizontal="right" vertical="center"/>
    </xf>
    <xf numFmtId="3" fontId="9" fillId="4" borderId="29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Alignment="1">
      <alignment vertical="center"/>
    </xf>
    <xf numFmtId="3" fontId="7" fillId="4" borderId="64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Alignment="1">
      <alignment horizontal="right" vertical="center"/>
    </xf>
    <xf numFmtId="3" fontId="7" fillId="4" borderId="65" xfId="0" applyNumberFormat="1" applyFont="1" applyFill="1" applyBorder="1" applyAlignment="1">
      <alignment horizontal="right" vertical="center"/>
    </xf>
    <xf numFmtId="3" fontId="7" fillId="4" borderId="70" xfId="0" applyNumberFormat="1" applyFont="1" applyFill="1" applyBorder="1" applyAlignment="1">
      <alignment horizontal="right" vertical="center"/>
    </xf>
    <xf numFmtId="49" fontId="9" fillId="7" borderId="33" xfId="0" applyNumberFormat="1" applyFont="1" applyFill="1" applyBorder="1" applyAlignment="1">
      <alignment horizontal="center" vertical="center" wrapText="1"/>
    </xf>
    <xf numFmtId="0" fontId="7" fillId="7" borderId="32" xfId="1" applyFill="1" applyBorder="1" applyAlignment="1">
      <alignment horizontal="center" vertical="center" wrapText="1"/>
    </xf>
    <xf numFmtId="0" fontId="8" fillId="7" borderId="31" xfId="1" applyFont="1" applyFill="1" applyBorder="1" applyAlignment="1">
      <alignment horizontal="center" vertical="center" wrapText="1"/>
    </xf>
    <xf numFmtId="3" fontId="9" fillId="7" borderId="26" xfId="0" applyNumberFormat="1" applyFont="1" applyFill="1" applyBorder="1" applyAlignment="1">
      <alignment horizontal="right" vertical="center" wrapText="1"/>
    </xf>
    <xf numFmtId="3" fontId="7" fillId="7" borderId="37" xfId="0" applyNumberFormat="1" applyFont="1" applyFill="1" applyBorder="1" applyAlignment="1">
      <alignment horizontal="right" vertical="center" wrapText="1"/>
    </xf>
    <xf numFmtId="0" fontId="29" fillId="0" borderId="16" xfId="0" applyFont="1" applyBorder="1" applyAlignment="1">
      <alignment horizontal="center" vertical="center" wrapText="1"/>
    </xf>
    <xf numFmtId="3" fontId="7" fillId="4" borderId="21" xfId="0" applyNumberFormat="1" applyFont="1" applyFill="1" applyBorder="1" applyAlignment="1">
      <alignment horizontal="right" vertical="center"/>
    </xf>
    <xf numFmtId="49" fontId="9" fillId="0" borderId="24" xfId="0" applyNumberFormat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right" vertical="center"/>
    </xf>
    <xf numFmtId="3" fontId="9" fillId="0" borderId="59" xfId="1" applyNumberFormat="1" applyFont="1" applyBorder="1" applyAlignment="1">
      <alignment vertical="center"/>
    </xf>
    <xf numFmtId="3" fontId="7" fillId="0" borderId="59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wrapText="1"/>
    </xf>
    <xf numFmtId="3" fontId="7" fillId="0" borderId="25" xfId="0" applyNumberFormat="1" applyFont="1" applyBorder="1" applyAlignment="1">
      <alignment horizontal="right" vertical="center"/>
    </xf>
    <xf numFmtId="0" fontId="8" fillId="0" borderId="26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right" vertical="center"/>
    </xf>
    <xf numFmtId="3" fontId="9" fillId="0" borderId="58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9" fillId="0" borderId="67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0" fontId="8" fillId="0" borderId="29" xfId="0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3" fontId="9" fillId="0" borderId="64" xfId="0" applyNumberFormat="1" applyFont="1" applyBorder="1" applyAlignment="1">
      <alignment horizontal="right" vertical="center"/>
    </xf>
    <xf numFmtId="3" fontId="7" fillId="0" borderId="64" xfId="0" applyNumberFormat="1" applyFont="1" applyBorder="1" applyAlignment="1">
      <alignment horizontal="right" vertical="center" wrapText="1"/>
    </xf>
    <xf numFmtId="3" fontId="7" fillId="0" borderId="65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11" borderId="0" xfId="0" applyNumberFormat="1" applyFont="1" applyFill="1" applyAlignment="1">
      <alignment horizontal="right" vertical="center" wrapText="1"/>
    </xf>
    <xf numFmtId="3" fontId="7" fillId="0" borderId="28" xfId="0" applyNumberFormat="1" applyFont="1" applyBorder="1" applyAlignment="1">
      <alignment horizontal="right" vertical="center"/>
    </xf>
    <xf numFmtId="3" fontId="7" fillId="0" borderId="64" xfId="0" applyNumberFormat="1" applyFont="1" applyBorder="1" applyAlignment="1">
      <alignment horizontal="right" vertical="center"/>
    </xf>
    <xf numFmtId="3" fontId="7" fillId="0" borderId="65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right" vertical="center"/>
    </xf>
    <xf numFmtId="3" fontId="7" fillId="0" borderId="33" xfId="0" applyNumberFormat="1" applyFont="1" applyBorder="1" applyAlignment="1">
      <alignment horizontal="right" vertical="center"/>
    </xf>
    <xf numFmtId="3" fontId="9" fillId="0" borderId="49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43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3" fontId="7" fillId="0" borderId="69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3" fontId="9" fillId="0" borderId="59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/>
    </xf>
    <xf numFmtId="3" fontId="9" fillId="0" borderId="5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horizontal="right" vertical="center"/>
    </xf>
    <xf numFmtId="3" fontId="7" fillId="0" borderId="56" xfId="0" applyNumberFormat="1" applyFont="1" applyBorder="1" applyAlignment="1">
      <alignment horizontal="right" vertical="center"/>
    </xf>
    <xf numFmtId="3" fontId="7" fillId="0" borderId="38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3" fontId="9" fillId="4" borderId="23" xfId="0" applyNumberFormat="1" applyFont="1" applyFill="1" applyBorder="1" applyAlignment="1">
      <alignment horizontal="right" vertical="center"/>
    </xf>
    <xf numFmtId="3" fontId="7" fillId="4" borderId="23" xfId="0" applyNumberFormat="1" applyFont="1" applyFill="1" applyBorder="1" applyAlignment="1">
      <alignment horizontal="right" vertical="center"/>
    </xf>
    <xf numFmtId="3" fontId="9" fillId="4" borderId="58" xfId="0" applyNumberFormat="1" applyFont="1" applyFill="1" applyBorder="1" applyAlignment="1">
      <alignment horizontal="right" vertical="center"/>
    </xf>
    <xf numFmtId="3" fontId="7" fillId="4" borderId="21" xfId="0" applyNumberFormat="1" applyFont="1" applyFill="1" applyBorder="1" applyAlignment="1">
      <alignment horizontal="right" vertical="center" wrapText="1"/>
    </xf>
    <xf numFmtId="49" fontId="46" fillId="0" borderId="13" xfId="0" applyNumberFormat="1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47" fillId="0" borderId="13" xfId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3" fontId="46" fillId="0" borderId="14" xfId="1" applyNumberFormat="1" applyFont="1" applyBorder="1" applyAlignment="1">
      <alignment vertical="center"/>
    </xf>
    <xf numFmtId="3" fontId="15" fillId="0" borderId="54" xfId="0" applyNumberFormat="1" applyFont="1" applyBorder="1" applyAlignment="1">
      <alignment vertical="center" wrapText="1"/>
    </xf>
    <xf numFmtId="3" fontId="15" fillId="0" borderId="45" xfId="0" applyNumberFormat="1" applyFont="1" applyBorder="1" applyAlignment="1">
      <alignment vertical="center" wrapText="1"/>
    </xf>
    <xf numFmtId="3" fontId="15" fillId="11" borderId="14" xfId="0" applyNumberFormat="1" applyFont="1" applyFill="1" applyBorder="1" applyAlignment="1">
      <alignment horizontal="right" vertical="center" wrapText="1"/>
    </xf>
    <xf numFmtId="3" fontId="46" fillId="3" borderId="14" xfId="0" applyNumberFormat="1" applyFont="1" applyFill="1" applyBorder="1" applyAlignment="1">
      <alignment horizontal="right" vertical="center" wrapText="1"/>
    </xf>
    <xf numFmtId="3" fontId="46" fillId="11" borderId="13" xfId="0" applyNumberFormat="1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3" fontId="15" fillId="0" borderId="59" xfId="0" applyNumberFormat="1" applyFont="1" applyBorder="1" applyAlignment="1">
      <alignment vertical="center"/>
    </xf>
    <xf numFmtId="3" fontId="15" fillId="0" borderId="4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59" xfId="0" applyNumberFormat="1" applyFont="1" applyBorder="1" applyAlignment="1">
      <alignment horizontal="right" vertical="center"/>
    </xf>
    <xf numFmtId="3" fontId="15" fillId="0" borderId="48" xfId="0" applyNumberFormat="1" applyFont="1" applyBorder="1" applyAlignment="1">
      <alignment horizontal="right" vertical="center"/>
    </xf>
    <xf numFmtId="3" fontId="15" fillId="0" borderId="68" xfId="0" applyNumberFormat="1" applyFont="1" applyBorder="1" applyAlignment="1">
      <alignment horizontal="right" vertical="center"/>
    </xf>
    <xf numFmtId="3" fontId="15" fillId="0" borderId="54" xfId="0" applyNumberFormat="1" applyFont="1" applyBorder="1" applyAlignment="1">
      <alignment horizontal="right" vertical="center"/>
    </xf>
    <xf numFmtId="3" fontId="15" fillId="0" borderId="45" xfId="0" applyNumberFormat="1" applyFont="1" applyBorder="1" applyAlignment="1">
      <alignment horizontal="right" vertical="center"/>
    </xf>
    <xf numFmtId="0" fontId="48" fillId="0" borderId="0" xfId="0" applyFont="1" applyFill="1" applyBorder="1"/>
    <xf numFmtId="49" fontId="46" fillId="0" borderId="14" xfId="0" applyNumberFormat="1" applyFont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wrapText="1"/>
    </xf>
    <xf numFmtId="0" fontId="47" fillId="0" borderId="14" xfId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3" fontId="46" fillId="0" borderId="67" xfId="1" applyNumberFormat="1" applyFont="1" applyBorder="1" applyAlignment="1">
      <alignment vertical="center"/>
    </xf>
    <xf numFmtId="3" fontId="15" fillId="0" borderId="68" xfId="0" applyNumberFormat="1" applyFont="1" applyBorder="1" applyAlignment="1">
      <alignment vertical="center" wrapText="1"/>
    </xf>
    <xf numFmtId="3" fontId="15" fillId="0" borderId="16" xfId="0" applyNumberFormat="1" applyFont="1" applyBorder="1" applyAlignment="1">
      <alignment vertical="center" wrapText="1"/>
    </xf>
    <xf numFmtId="3" fontId="15" fillId="11" borderId="16" xfId="0" applyNumberFormat="1" applyFont="1" applyFill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67" xfId="0" applyNumberFormat="1" applyFont="1" applyBorder="1" applyAlignment="1">
      <alignment vertical="center"/>
    </xf>
    <xf numFmtId="3" fontId="15" fillId="0" borderId="68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3" fontId="15" fillId="0" borderId="67" xfId="0" applyNumberFormat="1" applyFont="1" applyBorder="1" applyAlignment="1">
      <alignment horizontal="right" vertical="center"/>
    </xf>
    <xf numFmtId="3" fontId="15" fillId="0" borderId="71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3" fontId="46" fillId="0" borderId="13" xfId="1" applyNumberFormat="1" applyFont="1" applyBorder="1" applyAlignment="1">
      <alignment vertical="center"/>
    </xf>
    <xf numFmtId="3" fontId="15" fillId="0" borderId="59" xfId="0" applyNumberFormat="1" applyFont="1" applyBorder="1" applyAlignment="1">
      <alignment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67" xfId="0" applyNumberFormat="1" applyFont="1" applyBorder="1" applyAlignment="1">
      <alignment vertical="center" wrapText="1"/>
    </xf>
    <xf numFmtId="3" fontId="46" fillId="11" borderId="14" xfId="0" applyNumberFormat="1" applyFont="1" applyFill="1" applyBorder="1" applyAlignment="1">
      <alignment horizontal="right" vertical="center" wrapText="1"/>
    </xf>
    <xf numFmtId="0" fontId="15" fillId="0" borderId="18" xfId="0" applyFont="1" applyBorder="1" applyAlignment="1">
      <alignment horizontal="center" vertical="center" wrapText="1"/>
    </xf>
    <xf numFmtId="49" fontId="14" fillId="7" borderId="13" xfId="0" applyNumberFormat="1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21" fillId="7" borderId="13" xfId="1" applyFont="1" applyFill="1" applyBorder="1" applyAlignment="1">
      <alignment horizontal="center" vertical="center" wrapText="1"/>
    </xf>
    <xf numFmtId="0" fontId="21" fillId="7" borderId="45" xfId="0" applyFont="1" applyFill="1" applyBorder="1" applyAlignment="1">
      <alignment horizontal="center" vertical="center" wrapText="1"/>
    </xf>
    <xf numFmtId="3" fontId="14" fillId="7" borderId="13" xfId="0" applyNumberFormat="1" applyFont="1" applyFill="1" applyBorder="1" applyAlignment="1">
      <alignment horizontal="right" vertical="center"/>
    </xf>
    <xf numFmtId="3" fontId="13" fillId="7" borderId="13" xfId="0" applyNumberFormat="1" applyFont="1" applyFill="1" applyBorder="1" applyAlignment="1">
      <alignment horizontal="right" vertical="center"/>
    </xf>
    <xf numFmtId="3" fontId="14" fillId="7" borderId="59" xfId="0" applyNumberFormat="1" applyFont="1" applyFill="1" applyBorder="1" applyAlignment="1">
      <alignment horizontal="right" vertical="center"/>
    </xf>
    <xf numFmtId="3" fontId="13" fillId="7" borderId="59" xfId="0" applyNumberFormat="1" applyFont="1" applyFill="1" applyBorder="1" applyAlignment="1">
      <alignment horizontal="right" vertical="center" wrapText="1"/>
    </xf>
    <xf numFmtId="3" fontId="13" fillId="7" borderId="48" xfId="0" applyNumberFormat="1" applyFont="1" applyFill="1" applyBorder="1" applyAlignment="1">
      <alignment horizontal="right" vertical="center" wrapText="1"/>
    </xf>
    <xf numFmtId="3" fontId="13" fillId="7" borderId="45" xfId="0" applyNumberFormat="1" applyFont="1" applyFill="1" applyBorder="1" applyAlignment="1">
      <alignment horizontal="right" vertical="center" wrapText="1"/>
    </xf>
    <xf numFmtId="3" fontId="13" fillId="7" borderId="19" xfId="0" applyNumberFormat="1" applyFont="1" applyFill="1" applyBorder="1" applyAlignment="1">
      <alignment horizontal="right" vertical="center" wrapText="1"/>
    </xf>
    <xf numFmtId="3" fontId="14" fillId="7" borderId="14" xfId="0" applyNumberFormat="1" applyFont="1" applyFill="1" applyBorder="1" applyAlignment="1">
      <alignment horizontal="right" vertical="center" wrapText="1"/>
    </xf>
    <xf numFmtId="3" fontId="14" fillId="7" borderId="13" xfId="0" applyNumberFormat="1" applyFont="1" applyFill="1" applyBorder="1" applyAlignment="1">
      <alignment horizontal="right" vertical="center" wrapText="1"/>
    </xf>
    <xf numFmtId="3" fontId="13" fillId="7" borderId="15" xfId="0" applyNumberFormat="1" applyFont="1" applyFill="1" applyBorder="1" applyAlignment="1">
      <alignment horizontal="right" vertical="center"/>
    </xf>
    <xf numFmtId="3" fontId="13" fillId="7" borderId="59" xfId="0" applyNumberFormat="1" applyFont="1" applyFill="1" applyBorder="1" applyAlignment="1">
      <alignment horizontal="right" vertical="center"/>
    </xf>
    <xf numFmtId="3" fontId="13" fillId="7" borderId="48" xfId="0" applyNumberFormat="1" applyFont="1" applyFill="1" applyBorder="1" applyAlignment="1">
      <alignment horizontal="right" vertical="center"/>
    </xf>
    <xf numFmtId="3" fontId="13" fillId="7" borderId="19" xfId="0" applyNumberFormat="1" applyFont="1" applyFill="1" applyBorder="1" applyAlignment="1">
      <alignment horizontal="right" vertical="center"/>
    </xf>
    <xf numFmtId="3" fontId="13" fillId="7" borderId="68" xfId="0" applyNumberFormat="1" applyFont="1" applyFill="1" applyBorder="1" applyAlignment="1">
      <alignment horizontal="right" vertical="center"/>
    </xf>
    <xf numFmtId="3" fontId="13" fillId="7" borderId="54" xfId="0" applyNumberFormat="1" applyFont="1" applyFill="1" applyBorder="1" applyAlignment="1">
      <alignment horizontal="right" vertical="center"/>
    </xf>
    <xf numFmtId="3" fontId="13" fillId="7" borderId="45" xfId="0" applyNumberFormat="1" applyFont="1" applyFill="1" applyBorder="1" applyAlignment="1">
      <alignment horizontal="right" vertical="center"/>
    </xf>
    <xf numFmtId="3" fontId="13" fillId="7" borderId="13" xfId="0" applyNumberFormat="1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right" vertical="center" wrapText="1"/>
    </xf>
    <xf numFmtId="3" fontId="9" fillId="0" borderId="23" xfId="1" applyNumberFormat="1" applyFont="1" applyBorder="1" applyAlignment="1">
      <alignment horizontal="right" vertical="center" wrapText="1"/>
    </xf>
    <xf numFmtId="3" fontId="9" fillId="0" borderId="58" xfId="1" applyNumberFormat="1" applyFont="1" applyBorder="1" applyAlignment="1">
      <alignment horizontal="right" vertical="center" wrapText="1"/>
    </xf>
    <xf numFmtId="3" fontId="7" fillId="0" borderId="50" xfId="0" applyNumberFormat="1" applyFont="1" applyBorder="1" applyAlignment="1">
      <alignment vertical="center" wrapText="1"/>
    </xf>
    <xf numFmtId="3" fontId="7" fillId="0" borderId="46" xfId="0" applyNumberFormat="1" applyFont="1" applyBorder="1" applyAlignment="1">
      <alignment vertical="center" wrapText="1"/>
    </xf>
    <xf numFmtId="3" fontId="7" fillId="0" borderId="50" xfId="0" applyNumberFormat="1" applyFont="1" applyBorder="1" applyAlignment="1">
      <alignment horizontal="right" vertical="center" wrapText="1"/>
    </xf>
    <xf numFmtId="3" fontId="7" fillId="0" borderId="6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5" xfId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3" fontId="9" fillId="0" borderId="49" xfId="1" applyNumberFormat="1" applyFont="1" applyBorder="1" applyAlignment="1">
      <alignment vertical="center" wrapText="1"/>
    </xf>
    <xf numFmtId="3" fontId="7" fillId="0" borderId="42" xfId="0" applyNumberFormat="1" applyFont="1" applyBorder="1" applyAlignment="1">
      <alignment horizontal="right" vertical="center" wrapText="1"/>
    </xf>
    <xf numFmtId="3" fontId="9" fillId="0" borderId="24" xfId="1" applyNumberFormat="1" applyFont="1" applyBorder="1" applyAlignment="1">
      <alignment vertical="center" wrapText="1"/>
    </xf>
    <xf numFmtId="3" fontId="7" fillId="0" borderId="51" xfId="0" applyNumberFormat="1" applyFont="1" applyBorder="1" applyAlignment="1">
      <alignment horizontal="right" vertical="center" wrapText="1"/>
    </xf>
    <xf numFmtId="3" fontId="7" fillId="0" borderId="47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vertical="center" wrapText="1"/>
    </xf>
    <xf numFmtId="3" fontId="7" fillId="0" borderId="41" xfId="0" applyNumberFormat="1" applyFont="1" applyBorder="1" applyAlignment="1">
      <alignment horizontal="right" vertical="center" wrapText="1"/>
    </xf>
    <xf numFmtId="0" fontId="29" fillId="0" borderId="45" xfId="0" applyFont="1" applyBorder="1" applyAlignment="1">
      <alignment horizontal="center" vertical="center" wrapText="1"/>
    </xf>
    <xf numFmtId="3" fontId="9" fillId="0" borderId="54" xfId="1" applyNumberFormat="1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3" fontId="7" fillId="0" borderId="59" xfId="0" applyNumberFormat="1" applyFont="1" applyBorder="1" applyAlignment="1">
      <alignment horizontal="center" vertical="center" wrapText="1"/>
    </xf>
    <xf numFmtId="3" fontId="7" fillId="0" borderId="61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 shrinkToFit="1"/>
    </xf>
    <xf numFmtId="3" fontId="9" fillId="0" borderId="16" xfId="1" applyNumberFormat="1" applyFont="1" applyBorder="1" applyAlignment="1">
      <alignment vertical="center" wrapText="1"/>
    </xf>
    <xf numFmtId="3" fontId="9" fillId="0" borderId="14" xfId="1" applyNumberFormat="1" applyFont="1" applyBorder="1" applyAlignment="1">
      <alignment horizontal="right" vertical="center" wrapText="1"/>
    </xf>
    <xf numFmtId="3" fontId="7" fillId="0" borderId="67" xfId="1" applyNumberFormat="1" applyBorder="1" applyAlignment="1">
      <alignment horizontal="right" vertical="center" wrapText="1"/>
    </xf>
    <xf numFmtId="3" fontId="7" fillId="0" borderId="52" xfId="0" applyNumberFormat="1" applyFont="1" applyBorder="1" applyAlignment="1">
      <alignment vertical="center" wrapText="1"/>
    </xf>
    <xf numFmtId="3" fontId="7" fillId="0" borderId="72" xfId="0" applyNumberFormat="1" applyFont="1" applyBorder="1" applyAlignment="1">
      <alignment horizontal="right" vertical="center" wrapText="1"/>
    </xf>
    <xf numFmtId="3" fontId="7" fillId="0" borderId="58" xfId="1" applyNumberFormat="1" applyBorder="1" applyAlignment="1">
      <alignment horizontal="right" vertical="center" wrapText="1"/>
    </xf>
    <xf numFmtId="3" fontId="7" fillId="0" borderId="27" xfId="1" applyNumberFormat="1" applyBorder="1" applyAlignment="1">
      <alignment horizontal="right" vertical="center" wrapText="1"/>
    </xf>
    <xf numFmtId="0" fontId="7" fillId="7" borderId="27" xfId="1" applyFill="1" applyBorder="1" applyAlignment="1">
      <alignment horizontal="center" vertical="center" wrapText="1"/>
    </xf>
    <xf numFmtId="0" fontId="7" fillId="0" borderId="37" xfId="1" applyBorder="1" applyAlignment="1">
      <alignment horizontal="center" vertical="center" wrapText="1"/>
    </xf>
    <xf numFmtId="3" fontId="9" fillId="0" borderId="47" xfId="0" applyNumberFormat="1" applyFont="1" applyBorder="1" applyAlignment="1">
      <alignment vertical="center" wrapText="1"/>
    </xf>
    <xf numFmtId="3" fontId="9" fillId="0" borderId="36" xfId="0" applyNumberFormat="1" applyFont="1" applyBorder="1" applyAlignment="1">
      <alignment horizontal="right" vertical="center" wrapText="1"/>
    </xf>
    <xf numFmtId="0" fontId="7" fillId="0" borderId="19" xfId="1" applyBorder="1" applyAlignment="1">
      <alignment horizontal="center" vertical="center" wrapText="1"/>
    </xf>
    <xf numFmtId="3" fontId="9" fillId="0" borderId="59" xfId="0" applyNumberFormat="1" applyFont="1" applyBorder="1" applyAlignment="1">
      <alignment vertical="center" wrapText="1"/>
    </xf>
    <xf numFmtId="3" fontId="9" fillId="0" borderId="48" xfId="0" applyNumberFormat="1" applyFont="1" applyBorder="1" applyAlignment="1">
      <alignment vertical="center" wrapText="1"/>
    </xf>
    <xf numFmtId="3" fontId="9" fillId="0" borderId="45" xfId="1" applyNumberFormat="1" applyFont="1" applyBorder="1" applyAlignment="1">
      <alignment vertical="center" wrapText="1"/>
    </xf>
    <xf numFmtId="3" fontId="9" fillId="0" borderId="54" xfId="0" applyNumberFormat="1" applyFont="1" applyBorder="1" applyAlignment="1">
      <alignment horizontal="right" vertical="center" wrapText="1"/>
    </xf>
    <xf numFmtId="3" fontId="9" fillId="0" borderId="68" xfId="0" applyNumberFormat="1" applyFont="1" applyBorder="1" applyAlignment="1">
      <alignment horizontal="right" vertical="center" wrapText="1"/>
    </xf>
    <xf numFmtId="49" fontId="9" fillId="0" borderId="16" xfId="0" applyNumberFormat="1" applyFont="1" applyBorder="1" applyAlignment="1">
      <alignment horizontal="center" vertical="center" wrapText="1" shrinkToFit="1"/>
    </xf>
    <xf numFmtId="0" fontId="7" fillId="0" borderId="16" xfId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67" xfId="0" applyNumberFormat="1" applyFont="1" applyBorder="1" applyAlignment="1">
      <alignment horizontal="right" vertical="center" wrapText="1"/>
    </xf>
    <xf numFmtId="3" fontId="9" fillId="0" borderId="71" xfId="0" applyNumberFormat="1" applyFont="1" applyBorder="1" applyAlignment="1">
      <alignment horizontal="right" vertical="center" wrapText="1"/>
    </xf>
    <xf numFmtId="3" fontId="9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 shrinkToFit="1"/>
    </xf>
    <xf numFmtId="0" fontId="29" fillId="0" borderId="18" xfId="0" applyFont="1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 wrapText="1"/>
    </xf>
    <xf numFmtId="3" fontId="9" fillId="0" borderId="55" xfId="0" applyNumberFormat="1" applyFont="1" applyBorder="1" applyAlignment="1">
      <alignment horizontal="right" vertical="center" wrapText="1"/>
    </xf>
    <xf numFmtId="3" fontId="9" fillId="0" borderId="38" xfId="0" applyNumberFormat="1" applyFont="1" applyBorder="1" applyAlignment="1">
      <alignment horizontal="right" vertical="center" wrapText="1"/>
    </xf>
    <xf numFmtId="3" fontId="9" fillId="0" borderId="56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 shrinkToFit="1"/>
    </xf>
    <xf numFmtId="0" fontId="7" fillId="0" borderId="22" xfId="1" applyBorder="1" applyAlignment="1">
      <alignment horizontal="center" vertical="center" wrapText="1"/>
    </xf>
    <xf numFmtId="3" fontId="9" fillId="0" borderId="64" xfId="1" applyNumberFormat="1" applyFont="1" applyBorder="1" applyAlignment="1">
      <alignment vertical="center" wrapText="1"/>
    </xf>
    <xf numFmtId="3" fontId="7" fillId="0" borderId="64" xfId="0" applyNumberFormat="1" applyFont="1" applyBorder="1" applyAlignment="1">
      <alignment vertical="center" wrapText="1"/>
    </xf>
    <xf numFmtId="3" fontId="7" fillId="0" borderId="65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3" fontId="9" fillId="0" borderId="64" xfId="0" applyNumberFormat="1" applyFont="1" applyBorder="1" applyAlignment="1">
      <alignment horizontal="right" vertical="center" wrapText="1"/>
    </xf>
    <xf numFmtId="3" fontId="9" fillId="0" borderId="70" xfId="0" applyNumberFormat="1" applyFont="1" applyBorder="1" applyAlignment="1">
      <alignment horizontal="right" vertical="center" wrapText="1"/>
    </xf>
    <xf numFmtId="3" fontId="9" fillId="0" borderId="29" xfId="0" applyNumberFormat="1" applyFont="1" applyBorder="1" applyAlignment="1">
      <alignment horizontal="right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/>
    </xf>
    <xf numFmtId="3" fontId="46" fillId="0" borderId="18" xfId="1" applyNumberFormat="1" applyFont="1" applyBorder="1" applyAlignment="1">
      <alignment horizontal="right" vertical="center" wrapText="1"/>
    </xf>
    <xf numFmtId="3" fontId="15" fillId="0" borderId="18" xfId="1" applyNumberFormat="1" applyFont="1" applyBorder="1" applyAlignment="1">
      <alignment horizontal="right" vertical="center" wrapText="1"/>
    </xf>
    <xf numFmtId="3" fontId="46" fillId="0" borderId="55" xfId="1" applyNumberFormat="1" applyFont="1" applyBorder="1" applyAlignment="1">
      <alignment horizontal="right" vertical="center" wrapText="1"/>
    </xf>
    <xf numFmtId="3" fontId="15" fillId="0" borderId="55" xfId="0" applyNumberFormat="1" applyFont="1" applyBorder="1" applyAlignment="1">
      <alignment horizontal="right" vertical="center" wrapText="1"/>
    </xf>
    <xf numFmtId="3" fontId="15" fillId="0" borderId="5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11" borderId="6" xfId="0" applyNumberFormat="1" applyFont="1" applyFill="1" applyBorder="1" applyAlignment="1">
      <alignment horizontal="right" vertical="center" wrapText="1"/>
    </xf>
    <xf numFmtId="3" fontId="46" fillId="3" borderId="18" xfId="0" applyNumberFormat="1" applyFont="1" applyFill="1" applyBorder="1" applyAlignment="1">
      <alignment horizontal="right" vertical="center" wrapText="1"/>
    </xf>
    <xf numFmtId="3" fontId="46" fillId="11" borderId="12" xfId="0" applyNumberFormat="1" applyFont="1" applyFill="1" applyBorder="1" applyAlignment="1">
      <alignment horizontal="right" vertical="center" wrapText="1"/>
    </xf>
    <xf numFmtId="3" fontId="15" fillId="0" borderId="18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 wrapText="1"/>
    </xf>
    <xf numFmtId="3" fontId="46" fillId="0" borderId="55" xfId="0" applyNumberFormat="1" applyFont="1" applyBorder="1" applyAlignment="1">
      <alignment horizontal="right" vertical="center" wrapText="1"/>
    </xf>
    <xf numFmtId="3" fontId="46" fillId="0" borderId="38" xfId="0" applyNumberFormat="1" applyFont="1" applyBorder="1" applyAlignment="1">
      <alignment horizontal="right" vertical="center" wrapText="1"/>
    </xf>
    <xf numFmtId="3" fontId="46" fillId="0" borderId="56" xfId="0" applyNumberFormat="1" applyFont="1" applyBorder="1" applyAlignment="1">
      <alignment horizontal="right" vertical="center" wrapText="1"/>
    </xf>
    <xf numFmtId="3" fontId="46" fillId="0" borderId="6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3" fontId="12" fillId="0" borderId="23" xfId="1" applyNumberFormat="1" applyFont="1" applyBorder="1" applyAlignment="1">
      <alignment horizontal="right" vertical="center" wrapText="1"/>
    </xf>
    <xf numFmtId="3" fontId="12" fillId="0" borderId="58" xfId="1" applyNumberFormat="1" applyFont="1" applyBorder="1" applyAlignment="1">
      <alignment horizontal="right" vertical="center" wrapText="1"/>
    </xf>
    <xf numFmtId="3" fontId="11" fillId="0" borderId="73" xfId="0" applyNumberFormat="1" applyFont="1" applyBorder="1" applyAlignment="1">
      <alignment horizontal="right" vertical="center" wrapText="1"/>
    </xf>
    <xf numFmtId="3" fontId="12" fillId="0" borderId="58" xfId="0" applyNumberFormat="1" applyFont="1" applyBorder="1" applyAlignment="1">
      <alignment horizontal="right" vertical="center" wrapText="1"/>
    </xf>
    <xf numFmtId="3" fontId="12" fillId="0" borderId="44" xfId="0" applyNumberFormat="1" applyFont="1" applyBorder="1" applyAlignment="1">
      <alignment horizontal="right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3" fontId="12" fillId="0" borderId="24" xfId="0" applyNumberFormat="1" applyFont="1" applyBorder="1" applyAlignment="1">
      <alignment horizontal="right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3" fontId="12" fillId="0" borderId="26" xfId="1" applyNumberFormat="1" applyFont="1" applyBorder="1" applyAlignment="1">
      <alignment horizontal="right" vertical="center" wrapText="1"/>
    </xf>
    <xf numFmtId="3" fontId="12" fillId="0" borderId="47" xfId="1" applyNumberFormat="1" applyFont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right" vertical="center" wrapText="1"/>
    </xf>
    <xf numFmtId="3" fontId="11" fillId="0" borderId="41" xfId="0" applyNumberFormat="1" applyFont="1" applyBorder="1" applyAlignment="1">
      <alignment horizontal="right" vertical="center" wrapText="1"/>
    </xf>
    <xf numFmtId="3" fontId="12" fillId="3" borderId="26" xfId="0" applyNumberFormat="1" applyFont="1" applyFill="1" applyBorder="1" applyAlignment="1">
      <alignment horizontal="right" vertical="center" wrapText="1"/>
    </xf>
    <xf numFmtId="3" fontId="12" fillId="11" borderId="31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Border="1" applyAlignment="1">
      <alignment horizontal="right" vertical="center" wrapText="1"/>
    </xf>
    <xf numFmtId="3" fontId="11" fillId="0" borderId="32" xfId="0" applyNumberFormat="1" applyFont="1" applyBorder="1" applyAlignment="1">
      <alignment horizontal="right" vertical="center" wrapText="1"/>
    </xf>
    <xf numFmtId="3" fontId="12" fillId="0" borderId="47" xfId="0" applyNumberFormat="1" applyFont="1" applyBorder="1" applyAlignment="1">
      <alignment horizontal="right" vertical="center" wrapText="1"/>
    </xf>
    <xf numFmtId="3" fontId="12" fillId="0" borderId="36" xfId="0" applyNumberFormat="1" applyFont="1" applyBorder="1" applyAlignment="1">
      <alignment horizontal="right" vertical="center" wrapText="1"/>
    </xf>
    <xf numFmtId="3" fontId="12" fillId="0" borderId="32" xfId="0" applyNumberFormat="1" applyFont="1" applyBorder="1" applyAlignment="1">
      <alignment horizontal="right"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3" fontId="9" fillId="0" borderId="26" xfId="1" applyNumberFormat="1" applyFont="1" applyBorder="1" applyAlignment="1">
      <alignment horizontal="right" vertical="center" wrapText="1"/>
    </xf>
    <xf numFmtId="3" fontId="9" fillId="0" borderId="47" xfId="1" applyNumberFormat="1" applyFont="1" applyBorder="1" applyAlignment="1">
      <alignment horizontal="right" vertical="center" wrapText="1"/>
    </xf>
    <xf numFmtId="3" fontId="9" fillId="0" borderId="13" xfId="1" applyNumberFormat="1" applyFont="1" applyBorder="1" applyAlignment="1">
      <alignment horizontal="right" vertical="center" wrapText="1"/>
    </xf>
    <xf numFmtId="3" fontId="9" fillId="0" borderId="59" xfId="1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 wrapText="1"/>
    </xf>
    <xf numFmtId="3" fontId="9" fillId="0" borderId="44" xfId="0" applyNumberFormat="1" applyFont="1" applyBorder="1" applyAlignment="1">
      <alignment horizontal="right" vertical="center" wrapText="1"/>
    </xf>
    <xf numFmtId="49" fontId="46" fillId="0" borderId="18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168" fontId="9" fillId="0" borderId="18" xfId="0" applyNumberFormat="1" applyFont="1" applyBorder="1" applyAlignment="1">
      <alignment horizontal="center" vertical="center" wrapText="1" shrinkToFit="1"/>
    </xf>
    <xf numFmtId="3" fontId="9" fillId="0" borderId="18" xfId="1" applyNumberFormat="1" applyFont="1" applyBorder="1" applyAlignment="1">
      <alignment horizontal="right" vertical="center" wrapText="1"/>
    </xf>
    <xf numFmtId="3" fontId="9" fillId="0" borderId="55" xfId="1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60" xfId="0" applyNumberFormat="1" applyFont="1" applyBorder="1" applyAlignment="1">
      <alignment horizontal="right" vertical="center" wrapText="1"/>
    </xf>
    <xf numFmtId="3" fontId="7" fillId="0" borderId="38" xfId="0" applyNumberFormat="1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3" fontId="14" fillId="0" borderId="2" xfId="1" applyNumberFormat="1" applyFont="1" applyBorder="1" applyAlignment="1">
      <alignment vertical="center" wrapText="1"/>
    </xf>
    <xf numFmtId="3" fontId="14" fillId="0" borderId="2" xfId="1" applyNumberFormat="1" applyFont="1" applyBorder="1" applyAlignment="1">
      <alignment horizontal="right" vertical="center" wrapText="1"/>
    </xf>
    <xf numFmtId="3" fontId="14" fillId="0" borderId="62" xfId="1" applyNumberFormat="1" applyFont="1" applyBorder="1" applyAlignment="1">
      <alignment horizontal="right" vertical="center" wrapText="1"/>
    </xf>
    <xf numFmtId="3" fontId="13" fillId="0" borderId="62" xfId="0" applyNumberFormat="1" applyFont="1" applyBorder="1" applyAlignment="1">
      <alignment horizontal="right" vertical="center" wrapText="1"/>
    </xf>
    <xf numFmtId="3" fontId="13" fillId="0" borderId="53" xfId="0" applyNumberFormat="1" applyFont="1" applyBorder="1" applyAlignment="1">
      <alignment horizontal="right" vertical="center" wrapText="1"/>
    </xf>
    <xf numFmtId="3" fontId="13" fillId="0" borderId="8" xfId="1" applyNumberFormat="1" applyFont="1" applyBorder="1" applyAlignment="1">
      <alignment horizontal="right" vertical="center" wrapText="1"/>
    </xf>
    <xf numFmtId="3" fontId="13" fillId="0" borderId="46" xfId="0" applyNumberFormat="1" applyFont="1" applyBorder="1" applyAlignment="1">
      <alignment horizontal="right" vertical="center" wrapText="1"/>
    </xf>
    <xf numFmtId="3" fontId="13" fillId="11" borderId="9" xfId="0" applyNumberFormat="1" applyFont="1" applyFill="1" applyBorder="1" applyAlignment="1">
      <alignment horizontal="right" vertical="center" wrapText="1"/>
    </xf>
    <xf numFmtId="3" fontId="14" fillId="11" borderId="2" xfId="0" applyNumberFormat="1" applyFont="1" applyFill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63" xfId="0" applyNumberFormat="1" applyFont="1" applyBorder="1" applyAlignment="1">
      <alignment horizontal="right" vertical="center" wrapText="1"/>
    </xf>
    <xf numFmtId="3" fontId="13" fillId="0" borderId="9" xfId="0" applyNumberFormat="1" applyFont="1" applyBorder="1" applyAlignment="1">
      <alignment horizontal="right" vertical="center" wrapText="1"/>
    </xf>
    <xf numFmtId="3" fontId="14" fillId="0" borderId="62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 shrinkToFit="1"/>
    </xf>
    <xf numFmtId="0" fontId="13" fillId="0" borderId="26" xfId="1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3" fontId="14" fillId="0" borderId="26" xfId="1" applyNumberFormat="1" applyFont="1" applyBorder="1" applyAlignment="1">
      <alignment vertical="center" wrapText="1"/>
    </xf>
    <xf numFmtId="3" fontId="14" fillId="0" borderId="26" xfId="1" applyNumberFormat="1" applyFont="1" applyBorder="1" applyAlignment="1">
      <alignment horizontal="right" vertical="center" wrapText="1"/>
    </xf>
    <xf numFmtId="3" fontId="14" fillId="0" borderId="47" xfId="1" applyNumberFormat="1" applyFont="1" applyBorder="1" applyAlignment="1">
      <alignment horizontal="right" vertical="center" wrapText="1"/>
    </xf>
    <xf numFmtId="3" fontId="13" fillId="0" borderId="47" xfId="0" applyNumberFormat="1" applyFont="1" applyBorder="1" applyAlignment="1">
      <alignment horizontal="right" vertical="center" wrapText="1"/>
    </xf>
    <xf numFmtId="3" fontId="13" fillId="0" borderId="20" xfId="0" applyNumberFormat="1" applyFont="1" applyBorder="1" applyAlignment="1">
      <alignment horizontal="right" vertical="center" wrapText="1"/>
    </xf>
    <xf numFmtId="3" fontId="13" fillId="0" borderId="32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3" fontId="13" fillId="0" borderId="26" xfId="0" applyNumberFormat="1" applyFont="1" applyBorder="1" applyAlignment="1">
      <alignment horizontal="right" vertical="center" wrapText="1"/>
    </xf>
    <xf numFmtId="3" fontId="14" fillId="0" borderId="47" xfId="0" applyNumberFormat="1" applyFont="1" applyBorder="1" applyAlignment="1">
      <alignment horizontal="right" vertical="center" wrapText="1"/>
    </xf>
    <xf numFmtId="3" fontId="13" fillId="0" borderId="36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3" fontId="9" fillId="0" borderId="53" xfId="1" applyNumberFormat="1" applyFont="1" applyBorder="1" applyAlignment="1">
      <alignment vertical="center" wrapText="1"/>
    </xf>
    <xf numFmtId="3" fontId="9" fillId="0" borderId="2" xfId="1" applyNumberFormat="1" applyFont="1" applyBorder="1" applyAlignment="1">
      <alignment horizontal="right" vertical="center" wrapText="1"/>
    </xf>
    <xf numFmtId="3" fontId="7" fillId="0" borderId="46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9" fillId="0" borderId="62" xfId="0" applyNumberFormat="1" applyFont="1" applyBorder="1" applyAlignment="1">
      <alignment horizontal="right" vertical="center" wrapText="1"/>
    </xf>
    <xf numFmtId="3" fontId="9" fillId="0" borderId="36" xfId="1" applyNumberFormat="1" applyFont="1" applyBorder="1" applyAlignment="1">
      <alignment vertical="center" wrapText="1"/>
    </xf>
    <xf numFmtId="3" fontId="14" fillId="3" borderId="2" xfId="0" applyNumberFormat="1" applyFont="1" applyFill="1" applyBorder="1" applyAlignment="1">
      <alignment horizontal="right" vertical="center" wrapText="1"/>
    </xf>
    <xf numFmtId="3" fontId="9" fillId="0" borderId="59" xfId="1" applyNumberFormat="1" applyFont="1" applyFill="1" applyBorder="1" applyAlignment="1">
      <alignment vertical="center" wrapText="1"/>
    </xf>
    <xf numFmtId="168" fontId="9" fillId="0" borderId="3" xfId="0" applyNumberFormat="1" applyFont="1" applyBorder="1" applyAlignment="1">
      <alignment horizontal="center" vertical="center" wrapText="1"/>
    </xf>
    <xf numFmtId="168" fontId="9" fillId="0" borderId="22" xfId="0" applyNumberFormat="1" applyFont="1" applyBorder="1" applyAlignment="1">
      <alignment horizontal="center" vertical="center" wrapText="1" shrinkToFit="1"/>
    </xf>
    <xf numFmtId="3" fontId="7" fillId="0" borderId="11" xfId="0" applyNumberFormat="1" applyFont="1" applyBorder="1" applyAlignment="1">
      <alignment horizontal="right" vertical="center" wrapText="1"/>
    </xf>
    <xf numFmtId="168" fontId="9" fillId="0" borderId="26" xfId="0" applyNumberFormat="1" applyFont="1" applyBorder="1" applyAlignment="1">
      <alignment horizontal="center" vertical="center" wrapText="1"/>
    </xf>
    <xf numFmtId="168" fontId="9" fillId="0" borderId="26" xfId="0" applyNumberFormat="1" applyFont="1" applyBorder="1" applyAlignment="1">
      <alignment horizontal="center" vertical="center" wrapText="1" shrinkToFit="1"/>
    </xf>
    <xf numFmtId="0" fontId="26" fillId="0" borderId="32" xfId="0" applyFont="1" applyBorder="1" applyAlignment="1">
      <alignment horizontal="center" vertical="center"/>
    </xf>
    <xf numFmtId="168" fontId="9" fillId="0" borderId="13" xfId="0" applyNumberFormat="1" applyFont="1" applyBorder="1" applyAlignment="1">
      <alignment horizontal="center" vertical="center" wrapText="1"/>
    </xf>
    <xf numFmtId="168" fontId="9" fillId="0" borderId="13" xfId="0" applyNumberFormat="1" applyFont="1" applyBorder="1" applyAlignment="1">
      <alignment horizontal="center" vertical="center" wrapText="1" shrinkToFit="1"/>
    </xf>
    <xf numFmtId="3" fontId="9" fillId="0" borderId="15" xfId="1" applyNumberFormat="1" applyFont="1" applyBorder="1" applyAlignment="1">
      <alignment vertical="center" wrapText="1"/>
    </xf>
    <xf numFmtId="3" fontId="9" fillId="0" borderId="67" xfId="1" applyNumberFormat="1" applyFont="1" applyBorder="1" applyAlignment="1">
      <alignment horizontal="right" vertical="center" wrapText="1"/>
    </xf>
    <xf numFmtId="168" fontId="9" fillId="0" borderId="23" xfId="0" applyNumberFormat="1" applyFont="1" applyBorder="1" applyAlignment="1">
      <alignment horizontal="center" vertical="center" wrapText="1"/>
    </xf>
    <xf numFmtId="168" fontId="9" fillId="0" borderId="23" xfId="0" applyNumberFormat="1" applyFont="1" applyBorder="1" applyAlignment="1">
      <alignment horizontal="center" vertical="center" wrapText="1" shrinkToFit="1"/>
    </xf>
    <xf numFmtId="3" fontId="7" fillId="0" borderId="32" xfId="1" applyNumberFormat="1" applyBorder="1" applyAlignment="1">
      <alignment horizontal="right" vertical="center" wrapText="1"/>
    </xf>
    <xf numFmtId="3" fontId="7" fillId="0" borderId="26" xfId="1" applyNumberForma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31" xfId="1" applyNumberFormat="1" applyBorder="1" applyAlignment="1">
      <alignment horizontal="right" vertical="center" wrapText="1"/>
    </xf>
    <xf numFmtId="0" fontId="29" fillId="0" borderId="31" xfId="0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39" fillId="0" borderId="32" xfId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right" vertical="center" wrapText="1"/>
    </xf>
    <xf numFmtId="0" fontId="11" fillId="0" borderId="2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8" fillId="0" borderId="45" xfId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" fontId="7" fillId="0" borderId="18" xfId="0" applyNumberFormat="1" applyFont="1" applyBorder="1" applyAlignment="1">
      <alignment horizontal="right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 shrinkToFit="1"/>
    </xf>
    <xf numFmtId="2" fontId="8" fillId="0" borderId="2" xfId="0" applyNumberFormat="1" applyFont="1" applyBorder="1" applyAlignment="1">
      <alignment horizontal="center" vertical="center" wrapText="1"/>
    </xf>
    <xf numFmtId="3" fontId="9" fillId="0" borderId="62" xfId="1" applyNumberFormat="1" applyFont="1" applyBorder="1" applyAlignment="1">
      <alignment horizontal="right" vertical="center" wrapText="1"/>
    </xf>
    <xf numFmtId="3" fontId="7" fillId="0" borderId="73" xfId="0" applyNumberFormat="1" applyFont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right" vertical="center" wrapText="1"/>
    </xf>
    <xf numFmtId="2" fontId="7" fillId="7" borderId="14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 shrinkToFit="1"/>
    </xf>
    <xf numFmtId="2" fontId="8" fillId="0" borderId="23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right" vertical="center" wrapText="1"/>
    </xf>
    <xf numFmtId="49" fontId="9" fillId="0" borderId="32" xfId="0" applyNumberFormat="1" applyFont="1" applyBorder="1" applyAlignment="1">
      <alignment horizontal="center" vertical="center" wrapText="1" shrinkToFit="1"/>
    </xf>
    <xf numFmtId="2" fontId="8" fillId="0" borderId="26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right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 shrinkToFit="1"/>
    </xf>
    <xf numFmtId="0" fontId="29" fillId="4" borderId="2" xfId="0" applyFont="1" applyFill="1" applyBorder="1" applyAlignment="1">
      <alignment horizontal="center" vertical="center" wrapText="1"/>
    </xf>
    <xf numFmtId="0" fontId="7" fillId="4" borderId="2" xfId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3" fontId="9" fillId="4" borderId="62" xfId="1" applyNumberFormat="1" applyFont="1" applyFill="1" applyBorder="1" applyAlignment="1">
      <alignment vertical="center" wrapText="1"/>
    </xf>
    <xf numFmtId="3" fontId="7" fillId="4" borderId="62" xfId="0" applyNumberFormat="1" applyFont="1" applyFill="1" applyBorder="1" applyAlignment="1">
      <alignment vertical="center" wrapText="1"/>
    </xf>
    <xf numFmtId="3" fontId="7" fillId="4" borderId="53" xfId="0" applyNumberFormat="1" applyFont="1" applyFill="1" applyBorder="1" applyAlignment="1">
      <alignment vertical="center" wrapText="1"/>
    </xf>
    <xf numFmtId="3" fontId="7" fillId="4" borderId="63" xfId="0" applyNumberFormat="1" applyFont="1" applyFill="1" applyBorder="1" applyAlignment="1">
      <alignment vertical="center" wrapText="1"/>
    </xf>
    <xf numFmtId="3" fontId="7" fillId="4" borderId="9" xfId="0" applyNumberFormat="1" applyFont="1" applyFill="1" applyBorder="1" applyAlignment="1">
      <alignment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3" fontId="9" fillId="4" borderId="9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vertical="center" wrapText="1"/>
    </xf>
    <xf numFmtId="3" fontId="7" fillId="4" borderId="62" xfId="0" applyNumberFormat="1" applyFont="1" applyFill="1" applyBorder="1" applyAlignment="1">
      <alignment horizontal="right" vertical="center" wrapText="1"/>
    </xf>
    <xf numFmtId="3" fontId="7" fillId="4" borderId="63" xfId="0" applyNumberFormat="1" applyFont="1" applyFill="1" applyBorder="1" applyAlignment="1">
      <alignment horizontal="right" vertical="center" wrapText="1"/>
    </xf>
    <xf numFmtId="3" fontId="7" fillId="4" borderId="53" xfId="0" applyNumberFormat="1" applyFont="1" applyFill="1" applyBorder="1" applyAlignment="1">
      <alignment horizontal="right" vertical="center" wrapText="1"/>
    </xf>
    <xf numFmtId="49" fontId="9" fillId="4" borderId="26" xfId="0" applyNumberFormat="1" applyFont="1" applyFill="1" applyBorder="1" applyAlignment="1">
      <alignment horizontal="center" vertical="center" wrapText="1"/>
    </xf>
    <xf numFmtId="49" fontId="9" fillId="4" borderId="26" xfId="0" applyNumberFormat="1" applyFont="1" applyFill="1" applyBorder="1" applyAlignment="1">
      <alignment horizontal="center" vertical="center" wrapText="1" shrinkToFit="1"/>
    </xf>
    <xf numFmtId="0" fontId="29" fillId="4" borderId="26" xfId="0" applyFont="1" applyFill="1" applyBorder="1" applyAlignment="1">
      <alignment horizontal="center" vertical="center" wrapText="1"/>
    </xf>
    <xf numFmtId="3" fontId="9" fillId="4" borderId="47" xfId="1" applyNumberFormat="1" applyFont="1" applyFill="1" applyBorder="1" applyAlignment="1">
      <alignment vertical="center" wrapText="1"/>
    </xf>
    <xf numFmtId="3" fontId="7" fillId="4" borderId="47" xfId="0" applyNumberFormat="1" applyFont="1" applyFill="1" applyBorder="1" applyAlignment="1">
      <alignment vertical="center" wrapText="1"/>
    </xf>
    <xf numFmtId="3" fontId="7" fillId="4" borderId="36" xfId="0" applyNumberFormat="1" applyFont="1" applyFill="1" applyBorder="1" applyAlignment="1">
      <alignment vertical="center" wrapText="1"/>
    </xf>
    <xf numFmtId="3" fontId="7" fillId="4" borderId="20" xfId="0" applyNumberFormat="1" applyFont="1" applyFill="1" applyBorder="1" applyAlignment="1">
      <alignment vertical="center" wrapText="1"/>
    </xf>
    <xf numFmtId="3" fontId="7" fillId="4" borderId="32" xfId="0" applyNumberFormat="1" applyFont="1" applyFill="1" applyBorder="1" applyAlignment="1">
      <alignment horizontal="right" vertical="center" wrapText="1"/>
    </xf>
    <xf numFmtId="3" fontId="7" fillId="4" borderId="47" xfId="0" applyNumberFormat="1" applyFont="1" applyFill="1" applyBorder="1" applyAlignment="1">
      <alignment horizontal="right" vertical="center" wrapText="1"/>
    </xf>
    <xf numFmtId="3" fontId="7" fillId="4" borderId="36" xfId="0" applyNumberFormat="1" applyFont="1" applyFill="1" applyBorder="1" applyAlignment="1">
      <alignment horizontal="right" vertical="center" wrapText="1"/>
    </xf>
    <xf numFmtId="3" fontId="9" fillId="4" borderId="9" xfId="1" applyNumberFormat="1" applyFont="1" applyFill="1" applyBorder="1" applyAlignment="1">
      <alignment vertical="center" wrapText="1"/>
    </xf>
    <xf numFmtId="0" fontId="8" fillId="7" borderId="31" xfId="0" applyFont="1" applyFill="1" applyBorder="1" applyAlignment="1">
      <alignment horizontal="center" vertical="center" wrapText="1"/>
    </xf>
    <xf numFmtId="3" fontId="9" fillId="7" borderId="23" xfId="0" applyNumberFormat="1" applyFont="1" applyFill="1" applyBorder="1" applyAlignment="1">
      <alignment vertical="center" wrapText="1"/>
    </xf>
    <xf numFmtId="3" fontId="9" fillId="7" borderId="58" xfId="0" applyNumberFormat="1" applyFont="1" applyFill="1" applyBorder="1" applyAlignment="1">
      <alignment vertical="center" wrapText="1"/>
    </xf>
    <xf numFmtId="3" fontId="7" fillId="7" borderId="33" xfId="0" applyNumberFormat="1" applyFont="1" applyFill="1" applyBorder="1" applyAlignment="1">
      <alignment vertical="center" wrapText="1"/>
    </xf>
    <xf numFmtId="3" fontId="7" fillId="7" borderId="37" xfId="0" applyNumberFormat="1" applyFont="1" applyFill="1" applyBorder="1" applyAlignment="1">
      <alignment vertical="center"/>
    </xf>
    <xf numFmtId="3" fontId="7" fillId="7" borderId="47" xfId="0" applyNumberFormat="1" applyFont="1" applyFill="1" applyBorder="1" applyAlignment="1">
      <alignment horizontal="right" vertical="center"/>
    </xf>
    <xf numFmtId="3" fontId="7" fillId="7" borderId="36" xfId="0" applyNumberFormat="1" applyFont="1" applyFill="1" applyBorder="1" applyAlignment="1">
      <alignment horizontal="right" vertical="center"/>
    </xf>
    <xf numFmtId="3" fontId="7" fillId="7" borderId="44" xfId="0" applyNumberFormat="1" applyFont="1" applyFill="1" applyBorder="1" applyAlignment="1">
      <alignment horizontal="right" vertical="center"/>
    </xf>
    <xf numFmtId="3" fontId="7" fillId="7" borderId="37" xfId="0" applyNumberFormat="1" applyFont="1" applyFill="1" applyBorder="1" applyAlignment="1">
      <alignment horizontal="right" vertical="center"/>
    </xf>
    <xf numFmtId="3" fontId="7" fillId="7" borderId="26" xfId="0" applyNumberFormat="1" applyFont="1" applyFill="1" applyBorder="1" applyAlignment="1">
      <alignment horizontal="center" vertical="center" wrapText="1"/>
    </xf>
    <xf numFmtId="3" fontId="7" fillId="7" borderId="40" xfId="0" applyNumberFormat="1" applyFont="1" applyFill="1" applyBorder="1" applyAlignment="1">
      <alignment vertical="center" wrapText="1"/>
    </xf>
    <xf numFmtId="3" fontId="11" fillId="0" borderId="42" xfId="0" applyNumberFormat="1" applyFont="1" applyBorder="1" applyAlignment="1">
      <alignment horizontal="right" vertical="center" wrapText="1"/>
    </xf>
    <xf numFmtId="49" fontId="46" fillId="7" borderId="13" xfId="0" applyNumberFormat="1" applyFont="1" applyFill="1" applyBorder="1" applyAlignment="1">
      <alignment horizontal="center" vertical="center" wrapText="1"/>
    </xf>
    <xf numFmtId="49" fontId="46" fillId="7" borderId="13" xfId="0" applyNumberFormat="1" applyFont="1" applyFill="1" applyBorder="1" applyAlignment="1">
      <alignment horizontal="center" vertical="center" wrapText="1" shrinkToFit="1"/>
    </xf>
    <xf numFmtId="0" fontId="15" fillId="7" borderId="1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3" fontId="46" fillId="7" borderId="13" xfId="0" applyNumberFormat="1" applyFont="1" applyFill="1" applyBorder="1" applyAlignment="1">
      <alignment horizontal="right" vertical="center"/>
    </xf>
    <xf numFmtId="3" fontId="46" fillId="7" borderId="13" xfId="0" applyNumberFormat="1" applyFont="1" applyFill="1" applyBorder="1" applyAlignment="1">
      <alignment vertical="center" wrapText="1"/>
    </xf>
    <xf numFmtId="3" fontId="46" fillId="7" borderId="59" xfId="0" applyNumberFormat="1" applyFont="1" applyFill="1" applyBorder="1" applyAlignment="1">
      <alignment vertical="center" wrapText="1"/>
    </xf>
    <xf numFmtId="3" fontId="15" fillId="7" borderId="59" xfId="0" applyNumberFormat="1" applyFont="1" applyFill="1" applyBorder="1" applyAlignment="1">
      <alignment vertical="center" wrapText="1"/>
    </xf>
    <xf numFmtId="3" fontId="15" fillId="7" borderId="48" xfId="0" applyNumberFormat="1" applyFont="1" applyFill="1" applyBorder="1" applyAlignment="1">
      <alignment vertical="center" wrapText="1"/>
    </xf>
    <xf numFmtId="3" fontId="15" fillId="7" borderId="45" xfId="0" applyNumberFormat="1" applyFont="1" applyFill="1" applyBorder="1" applyAlignment="1">
      <alignment vertical="center" wrapText="1"/>
    </xf>
    <xf numFmtId="3" fontId="15" fillId="7" borderId="45" xfId="0" applyNumberFormat="1" applyFont="1" applyFill="1" applyBorder="1" applyAlignment="1">
      <alignment horizontal="right" vertical="center" wrapText="1"/>
    </xf>
    <xf numFmtId="3" fontId="46" fillId="7" borderId="13" xfId="0" applyNumberFormat="1" applyFont="1" applyFill="1" applyBorder="1" applyAlignment="1">
      <alignment horizontal="right" vertical="center" wrapText="1"/>
    </xf>
    <xf numFmtId="3" fontId="15" fillId="7" borderId="15" xfId="0" applyNumberFormat="1" applyFont="1" applyFill="1" applyBorder="1" applyAlignment="1">
      <alignment horizontal="right" vertical="center"/>
    </xf>
    <xf numFmtId="3" fontId="15" fillId="7" borderId="13" xfId="0" applyNumberFormat="1" applyFont="1" applyFill="1" applyBorder="1" applyAlignment="1">
      <alignment horizontal="right" vertical="center"/>
    </xf>
    <xf numFmtId="3" fontId="15" fillId="7" borderId="19" xfId="0" applyNumberFormat="1" applyFont="1" applyFill="1" applyBorder="1" applyAlignment="1">
      <alignment vertical="center"/>
    </xf>
    <xf numFmtId="3" fontId="15" fillId="7" borderId="59" xfId="0" applyNumberFormat="1" applyFont="1" applyFill="1" applyBorder="1" applyAlignment="1">
      <alignment horizontal="right" vertical="center"/>
    </xf>
    <xf numFmtId="3" fontId="15" fillId="7" borderId="54" xfId="0" applyNumberFormat="1" applyFont="1" applyFill="1" applyBorder="1" applyAlignment="1">
      <alignment horizontal="right" vertical="center"/>
    </xf>
    <xf numFmtId="3" fontId="15" fillId="7" borderId="19" xfId="0" applyNumberFormat="1" applyFont="1" applyFill="1" applyBorder="1" applyAlignment="1">
      <alignment horizontal="right" vertical="center"/>
    </xf>
    <xf numFmtId="49" fontId="14" fillId="7" borderId="13" xfId="0" applyNumberFormat="1" applyFont="1" applyFill="1" applyBorder="1" applyAlignment="1">
      <alignment horizontal="center" vertical="center" wrapText="1" shrinkToFit="1"/>
    </xf>
    <xf numFmtId="0" fontId="21" fillId="7" borderId="13" xfId="0" applyFont="1" applyFill="1" applyBorder="1" applyAlignment="1">
      <alignment horizontal="center" vertical="center" wrapText="1"/>
    </xf>
    <xf numFmtId="3" fontId="14" fillId="7" borderId="13" xfId="0" applyNumberFormat="1" applyFont="1" applyFill="1" applyBorder="1" applyAlignment="1">
      <alignment vertical="center" wrapText="1"/>
    </xf>
    <xf numFmtId="3" fontId="14" fillId="7" borderId="59" xfId="0" applyNumberFormat="1" applyFont="1" applyFill="1" applyBorder="1" applyAlignment="1">
      <alignment vertical="center" wrapText="1"/>
    </xf>
    <xf numFmtId="3" fontId="13" fillId="7" borderId="59" xfId="0" applyNumberFormat="1" applyFont="1" applyFill="1" applyBorder="1" applyAlignment="1">
      <alignment vertical="center" wrapText="1"/>
    </xf>
    <xf numFmtId="3" fontId="13" fillId="7" borderId="48" xfId="0" applyNumberFormat="1" applyFont="1" applyFill="1" applyBorder="1" applyAlignment="1">
      <alignment vertical="center" wrapText="1"/>
    </xf>
    <xf numFmtId="3" fontId="13" fillId="7" borderId="45" xfId="0" applyNumberFormat="1" applyFont="1" applyFill="1" applyBorder="1" applyAlignment="1">
      <alignment vertical="center" wrapText="1"/>
    </xf>
    <xf numFmtId="3" fontId="13" fillId="7" borderId="19" xfId="0" applyNumberFormat="1" applyFont="1" applyFill="1" applyBorder="1" applyAlignment="1">
      <alignment vertical="center"/>
    </xf>
    <xf numFmtId="49" fontId="46" fillId="0" borderId="18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3" fontId="46" fillId="0" borderId="18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vertical="center" wrapText="1"/>
    </xf>
    <xf numFmtId="3" fontId="15" fillId="0" borderId="55" xfId="0" applyNumberFormat="1" applyFont="1" applyBorder="1" applyAlignment="1">
      <alignment vertical="center" wrapText="1"/>
    </xf>
    <xf numFmtId="3" fontId="15" fillId="0" borderId="56" xfId="0" applyNumberFormat="1" applyFont="1" applyBorder="1" applyAlignment="1">
      <alignment vertical="center" wrapText="1"/>
    </xf>
    <xf numFmtId="3" fontId="15" fillId="0" borderId="6" xfId="0" applyNumberFormat="1" applyFont="1" applyBorder="1" applyAlignment="1">
      <alignment vertical="center" wrapText="1"/>
    </xf>
    <xf numFmtId="3" fontId="46" fillId="11" borderId="18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vertical="center"/>
    </xf>
    <xf numFmtId="3" fontId="15" fillId="0" borderId="55" xfId="0" applyNumberFormat="1" applyFont="1" applyBorder="1" applyAlignment="1">
      <alignment horizontal="right" vertical="center"/>
    </xf>
    <xf numFmtId="3" fontId="15" fillId="0" borderId="38" xfId="0" applyNumberFormat="1" applyFont="1" applyBorder="1" applyAlignment="1">
      <alignment horizontal="right" vertical="center"/>
    </xf>
    <xf numFmtId="49" fontId="9" fillId="7" borderId="14" xfId="0" applyNumberFormat="1" applyFont="1" applyFill="1" applyBorder="1" applyAlignment="1">
      <alignment horizontal="center" vertical="center" wrapText="1"/>
    </xf>
    <xf numFmtId="49" fontId="9" fillId="7" borderId="16" xfId="0" applyNumberFormat="1" applyFont="1" applyFill="1" applyBorder="1" applyAlignment="1">
      <alignment horizontal="center" vertical="center" wrapText="1" shrinkToFit="1"/>
    </xf>
    <xf numFmtId="0" fontId="29" fillId="7" borderId="14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4" xfId="1" applyFill="1" applyBorder="1" applyAlignment="1">
      <alignment horizontal="center" vertical="center" wrapText="1"/>
    </xf>
    <xf numFmtId="2" fontId="8" fillId="7" borderId="14" xfId="0" applyNumberFormat="1" applyFont="1" applyFill="1" applyBorder="1" applyAlignment="1">
      <alignment horizontal="center" vertical="center" wrapText="1"/>
    </xf>
    <xf numFmtId="3" fontId="9" fillId="7" borderId="14" xfId="1" applyNumberFormat="1" applyFont="1" applyFill="1" applyBorder="1" applyAlignment="1">
      <alignment vertical="center" wrapText="1"/>
    </xf>
    <xf numFmtId="3" fontId="9" fillId="7" borderId="14" xfId="1" applyNumberFormat="1" applyFont="1" applyFill="1" applyBorder="1" applyAlignment="1">
      <alignment horizontal="right" vertical="center" wrapText="1"/>
    </xf>
    <xf numFmtId="3" fontId="9" fillId="7" borderId="67" xfId="1" applyNumberFormat="1" applyFont="1" applyFill="1" applyBorder="1" applyAlignment="1">
      <alignment horizontal="right" vertical="center" wrapText="1"/>
    </xf>
    <xf numFmtId="3" fontId="7" fillId="7" borderId="68" xfId="0" applyNumberFormat="1" applyFont="1" applyFill="1" applyBorder="1" applyAlignment="1">
      <alignment horizontal="right" vertical="center" wrapText="1"/>
    </xf>
    <xf numFmtId="3" fontId="7" fillId="7" borderId="52" xfId="0" applyNumberFormat="1" applyFont="1" applyFill="1" applyBorder="1" applyAlignment="1">
      <alignment horizontal="right" vertical="center" wrapText="1"/>
    </xf>
    <xf numFmtId="1" fontId="7" fillId="7" borderId="14" xfId="0" applyNumberFormat="1" applyFont="1" applyFill="1" applyBorder="1" applyAlignment="1">
      <alignment horizontal="right" vertical="center" wrapText="1"/>
    </xf>
    <xf numFmtId="3" fontId="9" fillId="7" borderId="67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3" fontId="7" fillId="0" borderId="23" xfId="1" applyNumberFormat="1" applyBorder="1" applyAlignment="1">
      <alignment horizontal="right" vertical="center" wrapText="1"/>
    </xf>
    <xf numFmtId="3" fontId="14" fillId="0" borderId="14" xfId="1" applyNumberFormat="1" applyFont="1" applyBorder="1" applyAlignment="1">
      <alignment horizontal="right" vertical="center" wrapText="1"/>
    </xf>
    <xf numFmtId="3" fontId="13" fillId="0" borderId="67" xfId="0" applyNumberFormat="1" applyFont="1" applyBorder="1" applyAlignment="1">
      <alignment horizontal="right" vertical="center" wrapText="1"/>
    </xf>
    <xf numFmtId="3" fontId="13" fillId="0" borderId="68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3" fontId="14" fillId="0" borderId="14" xfId="1" applyNumberFormat="1" applyFont="1" applyBorder="1" applyAlignment="1">
      <alignment vertical="center" wrapText="1"/>
    </xf>
    <xf numFmtId="3" fontId="13" fillId="0" borderId="30" xfId="1" applyNumberFormat="1" applyFont="1" applyBorder="1" applyAlignment="1">
      <alignment horizontal="right" vertical="center" wrapText="1"/>
    </xf>
    <xf numFmtId="3" fontId="13" fillId="0" borderId="14" xfId="1" applyNumberFormat="1" applyFont="1" applyBorder="1" applyAlignment="1">
      <alignment horizontal="right" vertical="center" wrapText="1"/>
    </xf>
    <xf numFmtId="3" fontId="13" fillId="0" borderId="16" xfId="0" applyNumberFormat="1" applyFont="1" applyBorder="1" applyAlignment="1">
      <alignment horizontal="right" vertical="center" wrapText="1"/>
    </xf>
    <xf numFmtId="3" fontId="14" fillId="0" borderId="67" xfId="0" applyNumberFormat="1" applyFont="1" applyBorder="1" applyAlignment="1">
      <alignment horizontal="right" vertical="center" wrapText="1"/>
    </xf>
    <xf numFmtId="3" fontId="13" fillId="0" borderId="71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168" fontId="8" fillId="0" borderId="0" xfId="0" applyNumberFormat="1" applyFont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0" fontId="32" fillId="2" borderId="1" xfId="0" applyFont="1" applyFill="1" applyBorder="1"/>
    <xf numFmtId="0" fontId="35" fillId="14" borderId="59" xfId="0" applyFont="1" applyFill="1" applyBorder="1" applyAlignment="1">
      <alignment horizontal="left" vertical="center"/>
    </xf>
    <xf numFmtId="0" fontId="35" fillId="14" borderId="48" xfId="0" applyFont="1" applyFill="1" applyBorder="1" applyAlignment="1">
      <alignment horizontal="left" vertical="center"/>
    </xf>
    <xf numFmtId="49" fontId="9" fillId="4" borderId="31" xfId="0" applyNumberFormat="1" applyFont="1" applyFill="1" applyBorder="1" applyAlignment="1">
      <alignment horizontal="center" vertical="center"/>
    </xf>
    <xf numFmtId="49" fontId="9" fillId="4" borderId="32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49" fontId="9" fillId="7" borderId="15" xfId="0" applyNumberFormat="1" applyFont="1" applyFill="1" applyBorder="1" applyAlignment="1">
      <alignment horizontal="center" vertical="center" wrapText="1"/>
    </xf>
    <xf numFmtId="49" fontId="9" fillId="7" borderId="45" xfId="0" applyNumberFormat="1" applyFont="1" applyFill="1" applyBorder="1" applyAlignment="1">
      <alignment horizontal="center" vertical="center" wrapText="1"/>
    </xf>
    <xf numFmtId="0" fontId="35" fillId="14" borderId="55" xfId="0" applyFont="1" applyFill="1" applyBorder="1" applyAlignment="1">
      <alignment horizontal="left" vertical="center"/>
    </xf>
    <xf numFmtId="0" fontId="35" fillId="14" borderId="56" xfId="0" applyFont="1" applyFill="1" applyBorder="1" applyAlignment="1">
      <alignment horizontal="left" vertical="center"/>
    </xf>
    <xf numFmtId="0" fontId="17" fillId="14" borderId="58" xfId="0" applyFont="1" applyFill="1" applyBorder="1" applyAlignment="1">
      <alignment horizontal="left" vertical="center"/>
    </xf>
    <xf numFmtId="0" fontId="17" fillId="14" borderId="21" xfId="0" applyFont="1" applyFill="1" applyBorder="1" applyAlignment="1">
      <alignment horizontal="left" vertical="center"/>
    </xf>
    <xf numFmtId="0" fontId="17" fillId="14" borderId="49" xfId="0" applyFont="1" applyFill="1" applyBorder="1" applyAlignment="1">
      <alignment horizontal="left" vertical="center" wrapText="1"/>
    </xf>
    <xf numFmtId="0" fontId="17" fillId="14" borderId="43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4" borderId="31" xfId="0" applyNumberFormat="1" applyFont="1" applyFill="1" applyBorder="1" applyAlignment="1">
      <alignment horizontal="center" vertical="center" wrapText="1"/>
    </xf>
    <xf numFmtId="49" fontId="9" fillId="4" borderId="32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0" fontId="35" fillId="14" borderId="1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8" xfId="0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" fontId="9" fillId="10" borderId="10" xfId="0" applyNumberFormat="1" applyFont="1" applyFill="1" applyBorder="1" applyAlignment="1">
      <alignment horizontal="center" vertical="center" wrapText="1"/>
    </xf>
    <xf numFmtId="4" fontId="9" fillId="10" borderId="30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4" fontId="9" fillId="12" borderId="12" xfId="0" applyNumberFormat="1" applyFont="1" applyFill="1" applyBorder="1" applyAlignment="1">
      <alignment horizontal="center" vertical="center" wrapText="1"/>
    </xf>
    <xf numFmtId="4" fontId="9" fillId="12" borderId="5" xfId="0" applyNumberFormat="1" applyFont="1" applyFill="1" applyBorder="1" applyAlignment="1">
      <alignment horizontal="center" vertical="center" wrapText="1"/>
    </xf>
    <xf numFmtId="4" fontId="9" fillId="12" borderId="6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168" fontId="28" fillId="0" borderId="4" xfId="0" applyNumberFormat="1" applyFont="1" applyBorder="1" applyAlignment="1">
      <alignment horizontal="center" vertical="center"/>
    </xf>
    <xf numFmtId="168" fontId="28" fillId="0" borderId="9" xfId="0" applyNumberFormat="1" applyFont="1" applyBorder="1" applyAlignment="1">
      <alignment horizontal="center" vertical="center"/>
    </xf>
    <xf numFmtId="0" fontId="9" fillId="13" borderId="3" xfId="1" applyFont="1" applyFill="1" applyBorder="1" applyAlignment="1">
      <alignment horizontal="center" vertical="center" wrapText="1"/>
    </xf>
    <xf numFmtId="0" fontId="9" fillId="13" borderId="14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 vertical="center" wrapText="1"/>
    </xf>
    <xf numFmtId="168" fontId="9" fillId="5" borderId="22" xfId="0" applyNumberFormat="1" applyFont="1" applyFill="1" applyBorder="1" applyAlignment="1">
      <alignment horizontal="center" vertical="center" wrapText="1"/>
    </xf>
    <xf numFmtId="168" fontId="9" fillId="5" borderId="14" xfId="0" applyNumberFormat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14" xfId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4" fontId="9" fillId="15" borderId="10" xfId="0" applyNumberFormat="1" applyFont="1" applyFill="1" applyBorder="1" applyAlignment="1">
      <alignment horizontal="center" vertical="center" wrapText="1"/>
    </xf>
    <xf numFmtId="4" fontId="9" fillId="15" borderId="7" xfId="0" applyNumberFormat="1" applyFont="1" applyFill="1" applyBorder="1" applyAlignment="1">
      <alignment horizontal="center" vertical="center" wrapText="1"/>
    </xf>
    <xf numFmtId="4" fontId="9" fillId="15" borderId="11" xfId="0" applyNumberFormat="1" applyFont="1" applyFill="1" applyBorder="1" applyAlignment="1">
      <alignment horizontal="center" vertical="center" wrapText="1"/>
    </xf>
    <xf numFmtId="4" fontId="9" fillId="10" borderId="2" xfId="0" applyNumberFormat="1" applyFont="1" applyFill="1" applyBorder="1" applyAlignment="1">
      <alignment horizontal="center" vertical="center" wrapText="1"/>
    </xf>
    <xf numFmtId="4" fontId="9" fillId="10" borderId="13" xfId="0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/>
    </xf>
    <xf numFmtId="3" fontId="10" fillId="5" borderId="6" xfId="1" applyNumberFormat="1" applyFont="1" applyFill="1" applyBorder="1" applyAlignment="1">
      <alignment horizontal="center" vertical="center"/>
    </xf>
    <xf numFmtId="168" fontId="9" fillId="5" borderId="2" xfId="0" applyNumberFormat="1" applyFont="1" applyFill="1" applyBorder="1" applyAlignment="1">
      <alignment horizontal="center" vertical="center" wrapText="1"/>
    </xf>
    <xf numFmtId="168" fontId="9" fillId="5" borderId="13" xfId="0" applyNumberFormat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13" xfId="1" applyFont="1" applyFill="1" applyBorder="1" applyAlignment="1">
      <alignment horizontal="center" vertical="center" wrapText="1"/>
    </xf>
    <xf numFmtId="0" fontId="9" fillId="15" borderId="2" xfId="1" applyFont="1" applyFill="1" applyBorder="1" applyAlignment="1">
      <alignment horizontal="center" vertical="center" wrapText="1"/>
    </xf>
    <xf numFmtId="0" fontId="9" fillId="15" borderId="13" xfId="1" applyFont="1" applyFill="1" applyBorder="1" applyAlignment="1">
      <alignment horizontal="center" vertical="center" wrapText="1"/>
    </xf>
    <xf numFmtId="167" fontId="8" fillId="0" borderId="0" xfId="0" applyNumberFormat="1" applyFont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center" vertical="center" wrapText="1"/>
    </xf>
  </cellXfs>
  <cellStyles count="43">
    <cellStyle name="Čárka 2" xfId="9" xr:uid="{00000000-0005-0000-0000-000000000000}"/>
    <cellStyle name="Čárka 2 2" xfId="14" xr:uid="{00000000-0005-0000-0000-000001000000}"/>
    <cellStyle name="Čárka 2 2 2" xfId="23" xr:uid="{00000000-0005-0000-0000-000002000000}"/>
    <cellStyle name="Čárka 2 2 2 2" xfId="41" xr:uid="{00000000-0005-0000-0000-000003000000}"/>
    <cellStyle name="Čárka 2 2 3" xfId="32" xr:uid="{00000000-0005-0000-0000-000004000000}"/>
    <cellStyle name="Čárka 2 3" xfId="8" xr:uid="{00000000-0005-0000-0000-000005000000}"/>
    <cellStyle name="Čárka 2 3 2" xfId="18" xr:uid="{00000000-0005-0000-0000-000006000000}"/>
    <cellStyle name="Čárka 2 3 2 2" xfId="36" xr:uid="{00000000-0005-0000-0000-000007000000}"/>
    <cellStyle name="Čárka 2 3 3" xfId="27" xr:uid="{00000000-0005-0000-0000-000008000000}"/>
    <cellStyle name="Čárka 2 4" xfId="19" xr:uid="{00000000-0005-0000-0000-000009000000}"/>
    <cellStyle name="Čárka 2 4 2" xfId="37" xr:uid="{00000000-0005-0000-0000-00000A000000}"/>
    <cellStyle name="Čárka 2 5" xfId="28" xr:uid="{00000000-0005-0000-0000-00000B000000}"/>
    <cellStyle name="Header" xfId="11" xr:uid="{00000000-0005-0000-0000-00000C000000}"/>
    <cellStyle name="Normální" xfId="0" builtinId="0"/>
    <cellStyle name="Normální 10" xfId="3" xr:uid="{00000000-0005-0000-0000-00000E000000}"/>
    <cellStyle name="Normální 10 2" xfId="12" xr:uid="{00000000-0005-0000-0000-00000F000000}"/>
    <cellStyle name="Normální 10 2 2" xfId="21" xr:uid="{00000000-0005-0000-0000-000010000000}"/>
    <cellStyle name="Normální 10 2 2 2" xfId="39" xr:uid="{00000000-0005-0000-0000-000011000000}"/>
    <cellStyle name="Normální 10 2 3" xfId="30" xr:uid="{00000000-0005-0000-0000-000012000000}"/>
    <cellStyle name="Normální 10 3" xfId="16" xr:uid="{00000000-0005-0000-0000-000013000000}"/>
    <cellStyle name="Normální 10 3 2" xfId="34" xr:uid="{00000000-0005-0000-0000-000014000000}"/>
    <cellStyle name="Normální 10 4" xfId="25" xr:uid="{00000000-0005-0000-0000-000015000000}"/>
    <cellStyle name="Normální 2" xfId="2" xr:uid="{00000000-0005-0000-0000-000016000000}"/>
    <cellStyle name="Normální 2 123 2" xfId="6" xr:uid="{00000000-0005-0000-0000-000017000000}"/>
    <cellStyle name="Normální 2 123 2 2" xfId="13" xr:uid="{00000000-0005-0000-0000-000018000000}"/>
    <cellStyle name="Normální 2 123 2 2 2" xfId="22" xr:uid="{00000000-0005-0000-0000-000019000000}"/>
    <cellStyle name="Normální 2 123 2 2 2 2" xfId="40" xr:uid="{00000000-0005-0000-0000-00001A000000}"/>
    <cellStyle name="Normální 2 123 2 2 3" xfId="31" xr:uid="{00000000-0005-0000-0000-00001B000000}"/>
    <cellStyle name="Normální 2 123 2 3" xfId="17" xr:uid="{00000000-0005-0000-0000-00001C000000}"/>
    <cellStyle name="Normální 2 123 2 3 2" xfId="35" xr:uid="{00000000-0005-0000-0000-00001D000000}"/>
    <cellStyle name="Normální 2 123 2 4" xfId="26" xr:uid="{00000000-0005-0000-0000-00001E000000}"/>
    <cellStyle name="Normální 2 2" xfId="7" xr:uid="{00000000-0005-0000-0000-00001F000000}"/>
    <cellStyle name="Normální 3" xfId="10" xr:uid="{00000000-0005-0000-0000-000020000000}"/>
    <cellStyle name="Normální 3 2" xfId="15" xr:uid="{00000000-0005-0000-0000-000021000000}"/>
    <cellStyle name="Normální 3 2 2" xfId="24" xr:uid="{00000000-0005-0000-0000-000022000000}"/>
    <cellStyle name="Normální 3 2 2 2" xfId="42" xr:uid="{00000000-0005-0000-0000-000023000000}"/>
    <cellStyle name="Normální 3 2 3" xfId="33" xr:uid="{00000000-0005-0000-0000-000024000000}"/>
    <cellStyle name="Normální 3 3" xfId="20" xr:uid="{00000000-0005-0000-0000-000025000000}"/>
    <cellStyle name="Normální 3 3 2" xfId="38" xr:uid="{00000000-0005-0000-0000-000026000000}"/>
    <cellStyle name="Normální 3 4" xfId="29" xr:uid="{00000000-0005-0000-0000-000027000000}"/>
    <cellStyle name="Normální 31" xfId="5" xr:uid="{00000000-0005-0000-0000-000028000000}"/>
    <cellStyle name="Normální 5" xfId="4" xr:uid="{00000000-0005-0000-0000-000029000000}"/>
    <cellStyle name="normální_List1" xfId="1" xr:uid="{00000000-0005-0000-0000-00002B000000}"/>
  </cellStyles>
  <dxfs count="0"/>
  <tableStyles count="0" defaultTableStyle="TableStyleMedium2" defaultPivotStyle="PivotStyleLight16"/>
  <colors>
    <mruColors>
      <color rgb="FF0000FB"/>
      <color rgb="FFF385C6"/>
      <color rgb="FFFFFFCC"/>
      <color rgb="FFFFFF66"/>
      <color rgb="FFFFFF99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2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.140625" defaultRowHeight="15" outlineLevelRow="1" x14ac:dyDescent="0.25"/>
  <cols>
    <col min="1" max="1" width="15" style="55" customWidth="1"/>
    <col min="2" max="2" width="8.85546875" style="55" customWidth="1"/>
    <col min="3" max="3" width="32.42578125" style="276" customWidth="1"/>
    <col min="4" max="5" width="44.7109375" style="55" customWidth="1"/>
    <col min="6" max="6" width="56.5703125" style="230" customWidth="1"/>
    <col min="7" max="7" width="14.85546875" style="55" customWidth="1"/>
    <col min="8" max="8" width="10.28515625" style="55" customWidth="1"/>
    <col min="9" max="9" width="12.28515625" style="257" customWidth="1"/>
    <col min="10" max="10" width="8.5703125" style="55" customWidth="1"/>
    <col min="11" max="11" width="8.28515625" style="55" customWidth="1"/>
    <col min="12" max="12" width="8.140625" style="55" customWidth="1"/>
    <col min="13" max="13" width="9.42578125" style="55" customWidth="1"/>
    <col min="14" max="14" width="12" style="103" customWidth="1"/>
    <col min="15" max="15" width="9.85546875" style="277" customWidth="1"/>
    <col min="16" max="16" width="12.7109375" style="277" customWidth="1"/>
    <col min="17" max="17" width="10.85546875" style="55" customWidth="1"/>
    <col min="18" max="18" width="11" style="55" customWidth="1"/>
    <col min="19" max="19" width="10.5703125" style="55" customWidth="1"/>
    <col min="20" max="20" width="8.42578125" style="55" customWidth="1"/>
    <col min="21" max="21" width="8.28515625" style="55" customWidth="1"/>
    <col min="22" max="22" width="9.7109375" style="273" customWidth="1"/>
    <col min="23" max="24" width="9.5703125" style="275" customWidth="1"/>
    <col min="25" max="25" width="12.140625" style="275" customWidth="1"/>
    <col min="26" max="26" width="11.5703125" style="275" customWidth="1"/>
    <col min="27" max="27" width="12" style="275" customWidth="1"/>
    <col min="28" max="28" width="78.28515625" style="259" customWidth="1"/>
    <col min="29" max="29" width="14" style="55" customWidth="1"/>
    <col min="30" max="16384" width="9.140625" style="140"/>
  </cols>
  <sheetData>
    <row r="1" spans="1:29" s="258" customFormat="1" ht="29.25" thickBot="1" x14ac:dyDescent="0.3">
      <c r="A1" s="1478"/>
      <c r="B1" s="156"/>
      <c r="C1" s="250" t="s">
        <v>768</v>
      </c>
      <c r="D1" s="156"/>
      <c r="E1" s="156"/>
      <c r="F1" s="229"/>
      <c r="G1" s="156"/>
      <c r="H1" s="156"/>
      <c r="I1" s="251"/>
      <c r="J1" s="156"/>
      <c r="K1" s="156"/>
      <c r="L1" s="156"/>
      <c r="M1" s="156"/>
      <c r="N1" s="252"/>
      <c r="O1" s="253"/>
      <c r="P1" s="253"/>
      <c r="Q1" s="156"/>
      <c r="R1" s="156"/>
      <c r="S1" s="156"/>
      <c r="T1" s="156"/>
      <c r="U1" s="156"/>
      <c r="V1" s="254"/>
      <c r="W1" s="255"/>
      <c r="X1" s="255"/>
      <c r="Y1" s="255"/>
      <c r="Z1" s="255"/>
      <c r="AA1" s="255"/>
      <c r="AB1" s="256"/>
      <c r="AC1" s="156"/>
    </row>
    <row r="2" spans="1:29" s="258" customFormat="1" ht="36.75" customHeight="1" thickBot="1" x14ac:dyDescent="0.3">
      <c r="A2" s="1528" t="s">
        <v>682</v>
      </c>
      <c r="B2" s="1540" t="s">
        <v>0</v>
      </c>
      <c r="C2" s="1512" t="s">
        <v>323</v>
      </c>
      <c r="D2" s="1526" t="s">
        <v>1</v>
      </c>
      <c r="E2" s="1526" t="s">
        <v>2</v>
      </c>
      <c r="F2" s="1542" t="s">
        <v>3</v>
      </c>
      <c r="G2" s="1544" t="s">
        <v>4</v>
      </c>
      <c r="H2" s="1524" t="s">
        <v>693</v>
      </c>
      <c r="I2" s="1530" t="s">
        <v>882</v>
      </c>
      <c r="J2" s="1514" t="s">
        <v>694</v>
      </c>
      <c r="K2" s="1515"/>
      <c r="L2" s="1515"/>
      <c r="M2" s="1516"/>
      <c r="N2" s="1547" t="s">
        <v>712</v>
      </c>
      <c r="O2" s="1548"/>
      <c r="P2" s="1549"/>
      <c r="Q2" s="1510" t="s">
        <v>695</v>
      </c>
      <c r="R2" s="1536" t="s">
        <v>696</v>
      </c>
      <c r="S2" s="1533" t="s">
        <v>5</v>
      </c>
      <c r="T2" s="1534"/>
      <c r="U2" s="1535"/>
      <c r="V2" s="1514" t="s">
        <v>453</v>
      </c>
      <c r="W2" s="1515"/>
      <c r="X2" s="1515"/>
      <c r="Y2" s="1515"/>
      <c r="Z2" s="1515"/>
      <c r="AA2" s="1516"/>
      <c r="AB2" s="1517" t="s">
        <v>883</v>
      </c>
      <c r="AC2" s="1512" t="s">
        <v>386</v>
      </c>
    </row>
    <row r="3" spans="1:29" s="258" customFormat="1" ht="51.75" thickBot="1" x14ac:dyDescent="0.3">
      <c r="A3" s="1529"/>
      <c r="B3" s="1541"/>
      <c r="C3" s="1513"/>
      <c r="D3" s="1527"/>
      <c r="E3" s="1527"/>
      <c r="F3" s="1543"/>
      <c r="G3" s="1545"/>
      <c r="H3" s="1525"/>
      <c r="I3" s="1531"/>
      <c r="J3" s="247" t="s">
        <v>304</v>
      </c>
      <c r="K3" s="248" t="s">
        <v>305</v>
      </c>
      <c r="L3" s="248" t="s">
        <v>321</v>
      </c>
      <c r="M3" s="249" t="s">
        <v>322</v>
      </c>
      <c r="N3" s="192" t="s">
        <v>770</v>
      </c>
      <c r="O3" s="193" t="s">
        <v>769</v>
      </c>
      <c r="P3" s="194" t="s">
        <v>771</v>
      </c>
      <c r="Q3" s="1511"/>
      <c r="R3" s="1537"/>
      <c r="S3" s="283" t="s">
        <v>260</v>
      </c>
      <c r="T3" s="283" t="s">
        <v>422</v>
      </c>
      <c r="U3" s="284" t="s">
        <v>259</v>
      </c>
      <c r="V3" s="285" t="s">
        <v>214</v>
      </c>
      <c r="W3" s="349" t="s">
        <v>454</v>
      </c>
      <c r="X3" s="281" t="s">
        <v>711</v>
      </c>
      <c r="Y3" s="249" t="s">
        <v>546</v>
      </c>
      <c r="Z3" s="249" t="s">
        <v>697</v>
      </c>
      <c r="AA3" s="249" t="s">
        <v>698</v>
      </c>
      <c r="AB3" s="1518"/>
      <c r="AC3" s="1513"/>
    </row>
    <row r="4" spans="1:29" s="138" customFormat="1" ht="16.5" thickBot="1" x14ac:dyDescent="0.3">
      <c r="A4" s="75"/>
      <c r="B4" s="75"/>
      <c r="C4" s="174"/>
      <c r="D4" s="130"/>
      <c r="E4" s="245" t="s">
        <v>148</v>
      </c>
      <c r="F4" s="131" t="s">
        <v>148</v>
      </c>
      <c r="G4" s="130"/>
      <c r="H4" s="70"/>
      <c r="I4" s="70"/>
      <c r="J4" s="71"/>
      <c r="K4" s="72"/>
      <c r="L4" s="72"/>
      <c r="M4" s="73"/>
      <c r="N4" s="94"/>
      <c r="O4" s="205"/>
      <c r="P4" s="101"/>
      <c r="Q4" s="133"/>
      <c r="R4" s="74"/>
      <c r="S4" s="133"/>
      <c r="T4" s="132"/>
      <c r="U4" s="133"/>
      <c r="V4" s="134"/>
      <c r="W4" s="231"/>
      <c r="X4" s="231"/>
      <c r="Y4" s="231"/>
      <c r="Z4" s="231"/>
      <c r="AA4" s="231"/>
      <c r="AB4" s="123"/>
      <c r="AC4" s="77"/>
    </row>
    <row r="5" spans="1:29" ht="25.5" outlineLevel="1" x14ac:dyDescent="0.25">
      <c r="A5" s="384" t="s">
        <v>627</v>
      </c>
      <c r="B5" s="385" t="s">
        <v>12</v>
      </c>
      <c r="C5" s="41" t="s">
        <v>256</v>
      </c>
      <c r="D5" s="425" t="s">
        <v>8</v>
      </c>
      <c r="E5" s="1172" t="s">
        <v>8</v>
      </c>
      <c r="F5" s="386" t="s">
        <v>13</v>
      </c>
      <c r="G5" s="387">
        <v>64001.103999999999</v>
      </c>
      <c r="H5" s="52">
        <v>42401.103999999999</v>
      </c>
      <c r="I5" s="388">
        <v>0</v>
      </c>
      <c r="J5" s="389">
        <v>0</v>
      </c>
      <c r="K5" s="390">
        <v>5200</v>
      </c>
      <c r="L5" s="390">
        <v>0</v>
      </c>
      <c r="M5" s="391">
        <f>7200-2200</f>
        <v>5000</v>
      </c>
      <c r="N5" s="344">
        <v>12400</v>
      </c>
      <c r="O5" s="345">
        <v>-2200</v>
      </c>
      <c r="P5" s="392">
        <f t="shared" ref="P5:P17" si="0">N5+O5</f>
        <v>10200</v>
      </c>
      <c r="Q5" s="393">
        <v>11400</v>
      </c>
      <c r="R5" s="394">
        <v>0</v>
      </c>
      <c r="S5" s="389">
        <v>0</v>
      </c>
      <c r="T5" s="390">
        <v>0</v>
      </c>
      <c r="U5" s="395">
        <v>0</v>
      </c>
      <c r="V5" s="396">
        <v>0</v>
      </c>
      <c r="W5" s="397">
        <v>0</v>
      </c>
      <c r="X5" s="397">
        <v>0</v>
      </c>
      <c r="Y5" s="397">
        <v>0</v>
      </c>
      <c r="Z5" s="398">
        <v>0</v>
      </c>
      <c r="AA5" s="344">
        <v>0</v>
      </c>
      <c r="AB5" s="399" t="s">
        <v>785</v>
      </c>
      <c r="AC5" s="400" t="s">
        <v>20</v>
      </c>
    </row>
    <row r="6" spans="1:29" ht="25.5" outlineLevel="1" x14ac:dyDescent="0.25">
      <c r="A6" s="549" t="s">
        <v>628</v>
      </c>
      <c r="B6" s="454" t="s">
        <v>15</v>
      </c>
      <c r="C6" s="26" t="s">
        <v>256</v>
      </c>
      <c r="D6" s="455" t="s">
        <v>8</v>
      </c>
      <c r="E6" s="1173" t="s">
        <v>8</v>
      </c>
      <c r="F6" s="456" t="s">
        <v>552</v>
      </c>
      <c r="G6" s="1151">
        <f>5620.748799+400+1000</f>
        <v>7020.748799</v>
      </c>
      <c r="H6" s="113">
        <v>5959.7597999999998</v>
      </c>
      <c r="I6" s="457">
        <v>0</v>
      </c>
      <c r="J6" s="446">
        <v>0</v>
      </c>
      <c r="K6" s="447">
        <v>60.988999999999997</v>
      </c>
      <c r="L6" s="447">
        <v>1000</v>
      </c>
      <c r="M6" s="445">
        <v>0</v>
      </c>
      <c r="N6" s="175">
        <v>1060.989</v>
      </c>
      <c r="O6" s="316">
        <v>0</v>
      </c>
      <c r="P6" s="338">
        <f t="shared" si="0"/>
        <v>1060.989</v>
      </c>
      <c r="Q6" s="28">
        <v>0</v>
      </c>
      <c r="R6" s="445">
        <v>0</v>
      </c>
      <c r="S6" s="1174">
        <v>0</v>
      </c>
      <c r="T6" s="813">
        <v>0</v>
      </c>
      <c r="U6" s="64">
        <v>0</v>
      </c>
      <c r="V6" s="737">
        <v>0</v>
      </c>
      <c r="W6" s="1175">
        <v>0</v>
      </c>
      <c r="X6" s="762">
        <v>0</v>
      </c>
      <c r="Y6" s="450">
        <v>0</v>
      </c>
      <c r="Z6" s="1175">
        <v>0</v>
      </c>
      <c r="AA6" s="738">
        <v>0</v>
      </c>
      <c r="AB6" s="650" t="s">
        <v>193</v>
      </c>
      <c r="AC6" s="26" t="s">
        <v>14</v>
      </c>
    </row>
    <row r="7" spans="1:29" ht="30.75" outlineLevel="1" thickBot="1" x14ac:dyDescent="0.3">
      <c r="A7" s="461" t="s">
        <v>629</v>
      </c>
      <c r="B7" s="462" t="s">
        <v>16</v>
      </c>
      <c r="C7" s="30" t="s">
        <v>17</v>
      </c>
      <c r="D7" s="463" t="s">
        <v>8</v>
      </c>
      <c r="E7" s="1176" t="s">
        <v>8</v>
      </c>
      <c r="F7" s="479" t="s">
        <v>553</v>
      </c>
      <c r="G7" s="1165">
        <f>2276.279+1250-700+430</f>
        <v>3256.279</v>
      </c>
      <c r="H7" s="465">
        <v>2834.3588999999997</v>
      </c>
      <c r="I7" s="466">
        <v>0</v>
      </c>
      <c r="J7" s="467">
        <v>0</v>
      </c>
      <c r="K7" s="468">
        <v>421.92009999999999</v>
      </c>
      <c r="L7" s="468">
        <v>0</v>
      </c>
      <c r="M7" s="469">
        <v>0</v>
      </c>
      <c r="N7" s="144">
        <v>421.92009999999999</v>
      </c>
      <c r="O7" s="206">
        <v>0</v>
      </c>
      <c r="P7" s="335">
        <f t="shared" si="0"/>
        <v>421.92009999999999</v>
      </c>
      <c r="Q7" s="470">
        <v>0</v>
      </c>
      <c r="R7" s="469">
        <v>0</v>
      </c>
      <c r="S7" s="1177">
        <v>0</v>
      </c>
      <c r="T7" s="1178">
        <v>0</v>
      </c>
      <c r="U7" s="471">
        <v>0</v>
      </c>
      <c r="V7" s="487">
        <v>0</v>
      </c>
      <c r="W7" s="488">
        <v>0</v>
      </c>
      <c r="X7" s="474">
        <v>0</v>
      </c>
      <c r="Y7" s="473">
        <v>0</v>
      </c>
      <c r="Z7" s="488">
        <v>0</v>
      </c>
      <c r="AA7" s="489">
        <v>0</v>
      </c>
      <c r="AB7" s="1050" t="s">
        <v>193</v>
      </c>
      <c r="AC7" s="30" t="s">
        <v>14</v>
      </c>
    </row>
    <row r="8" spans="1:29" ht="26.25" outlineLevel="1" thickBot="1" x14ac:dyDescent="0.3">
      <c r="A8" s="1163" t="s">
        <v>499</v>
      </c>
      <c r="B8" s="462" t="s">
        <v>197</v>
      </c>
      <c r="C8" s="30" t="s">
        <v>199</v>
      </c>
      <c r="D8" s="30" t="s">
        <v>8</v>
      </c>
      <c r="E8" s="1176" t="s">
        <v>8</v>
      </c>
      <c r="F8" s="464" t="s">
        <v>554</v>
      </c>
      <c r="G8" s="1179">
        <v>250</v>
      </c>
      <c r="H8" s="480">
        <v>0</v>
      </c>
      <c r="I8" s="466">
        <v>0</v>
      </c>
      <c r="J8" s="467">
        <v>0</v>
      </c>
      <c r="K8" s="468">
        <v>250</v>
      </c>
      <c r="L8" s="468">
        <v>0</v>
      </c>
      <c r="M8" s="469">
        <v>0</v>
      </c>
      <c r="N8" s="144">
        <v>250</v>
      </c>
      <c r="O8" s="206">
        <v>0</v>
      </c>
      <c r="P8" s="335">
        <f t="shared" si="0"/>
        <v>250</v>
      </c>
      <c r="Q8" s="470">
        <v>0</v>
      </c>
      <c r="R8" s="469">
        <v>0</v>
      </c>
      <c r="S8" s="467">
        <v>0</v>
      </c>
      <c r="T8" s="468">
        <v>0</v>
      </c>
      <c r="U8" s="471">
        <v>0</v>
      </c>
      <c r="V8" s="750">
        <v>0</v>
      </c>
      <c r="W8" s="1180">
        <v>0</v>
      </c>
      <c r="X8" s="1181">
        <v>0</v>
      </c>
      <c r="Y8" s="474">
        <v>0</v>
      </c>
      <c r="Z8" s="1180">
        <v>0</v>
      </c>
      <c r="AA8" s="752">
        <v>0</v>
      </c>
      <c r="AB8" s="1050" t="s">
        <v>193</v>
      </c>
      <c r="AC8" s="30" t="s">
        <v>14</v>
      </c>
    </row>
    <row r="9" spans="1:29" ht="26.25" outlineLevel="1" thickBot="1" x14ac:dyDescent="0.3">
      <c r="A9" s="1163" t="s">
        <v>498</v>
      </c>
      <c r="B9" s="1182" t="s">
        <v>383</v>
      </c>
      <c r="C9" s="490" t="s">
        <v>349</v>
      </c>
      <c r="D9" s="490" t="s">
        <v>8</v>
      </c>
      <c r="E9" s="1183" t="s">
        <v>8</v>
      </c>
      <c r="F9" s="1184" t="s">
        <v>320</v>
      </c>
      <c r="G9" s="480">
        <v>15000</v>
      </c>
      <c r="H9" s="480">
        <v>3294.5619999999999</v>
      </c>
      <c r="I9" s="466">
        <v>3707.2134500000002</v>
      </c>
      <c r="J9" s="485">
        <v>3707.2134500000002</v>
      </c>
      <c r="K9" s="486">
        <v>0</v>
      </c>
      <c r="L9" s="486">
        <v>0</v>
      </c>
      <c r="M9" s="484">
        <v>7998.2245499999999</v>
      </c>
      <c r="N9" s="144">
        <v>11705.438</v>
      </c>
      <c r="O9" s="206">
        <v>0</v>
      </c>
      <c r="P9" s="336">
        <f t="shared" si="0"/>
        <v>11705.438</v>
      </c>
      <c r="Q9" s="233">
        <v>0</v>
      </c>
      <c r="R9" s="484">
        <v>0</v>
      </c>
      <c r="S9" s="485">
        <v>0</v>
      </c>
      <c r="T9" s="486">
        <v>0</v>
      </c>
      <c r="U9" s="234">
        <v>0</v>
      </c>
      <c r="V9" s="1185">
        <v>0</v>
      </c>
      <c r="W9" s="1186">
        <v>0</v>
      </c>
      <c r="X9" s="1181">
        <v>0</v>
      </c>
      <c r="Y9" s="474">
        <v>0</v>
      </c>
      <c r="Z9" s="1186">
        <v>0</v>
      </c>
      <c r="AA9" s="1187">
        <v>0</v>
      </c>
      <c r="AB9" s="1188" t="s">
        <v>193</v>
      </c>
      <c r="AC9" s="490" t="s">
        <v>20</v>
      </c>
    </row>
    <row r="10" spans="1:29" ht="30.75" outlineLevel="1" thickBot="1" x14ac:dyDescent="0.3">
      <c r="A10" s="518" t="s">
        <v>367</v>
      </c>
      <c r="B10" s="1189" t="s">
        <v>197</v>
      </c>
      <c r="C10" s="1190" t="s">
        <v>415</v>
      </c>
      <c r="D10" s="520" t="s">
        <v>8</v>
      </c>
      <c r="E10" s="1191" t="s">
        <v>8</v>
      </c>
      <c r="F10" s="1192" t="s">
        <v>555</v>
      </c>
      <c r="G10" s="523">
        <v>420</v>
      </c>
      <c r="H10" s="523">
        <v>0</v>
      </c>
      <c r="I10" s="524">
        <v>0</v>
      </c>
      <c r="J10" s="481">
        <v>0</v>
      </c>
      <c r="K10" s="482">
        <v>420</v>
      </c>
      <c r="L10" s="482">
        <v>0</v>
      </c>
      <c r="M10" s="526">
        <v>0</v>
      </c>
      <c r="N10" s="145">
        <v>420</v>
      </c>
      <c r="O10" s="208">
        <v>0</v>
      </c>
      <c r="P10" s="337">
        <f t="shared" si="0"/>
        <v>420</v>
      </c>
      <c r="Q10" s="525">
        <v>0</v>
      </c>
      <c r="R10" s="526">
        <v>0</v>
      </c>
      <c r="S10" s="481">
        <v>0</v>
      </c>
      <c r="T10" s="482">
        <v>0</v>
      </c>
      <c r="U10" s="1193">
        <v>0</v>
      </c>
      <c r="V10" s="1194">
        <v>0</v>
      </c>
      <c r="W10" s="1195">
        <v>0</v>
      </c>
      <c r="X10" s="1196">
        <v>0</v>
      </c>
      <c r="Y10" s="528">
        <v>0</v>
      </c>
      <c r="Z10" s="1195">
        <v>0</v>
      </c>
      <c r="AA10" s="1197">
        <v>0</v>
      </c>
      <c r="AB10" s="1198" t="s">
        <v>193</v>
      </c>
      <c r="AC10" s="520" t="s">
        <v>14</v>
      </c>
    </row>
    <row r="11" spans="1:29" ht="30.75" outlineLevel="1" thickBot="1" x14ac:dyDescent="0.3">
      <c r="A11" s="453" t="s">
        <v>391</v>
      </c>
      <c r="B11" s="1199" t="s">
        <v>197</v>
      </c>
      <c r="C11" s="493" t="s">
        <v>420</v>
      </c>
      <c r="D11" s="814" t="s">
        <v>8</v>
      </c>
      <c r="E11" s="1200" t="s">
        <v>8</v>
      </c>
      <c r="F11" s="291" t="s">
        <v>392</v>
      </c>
      <c r="G11" s="262">
        <v>450</v>
      </c>
      <c r="H11" s="262">
        <v>0</v>
      </c>
      <c r="I11" s="1201">
        <v>0</v>
      </c>
      <c r="J11" s="1202">
        <v>0</v>
      </c>
      <c r="K11" s="1203">
        <v>450</v>
      </c>
      <c r="L11" s="1203">
        <v>0</v>
      </c>
      <c r="M11" s="1204">
        <v>0</v>
      </c>
      <c r="N11" s="175">
        <v>450</v>
      </c>
      <c r="O11" s="316">
        <v>0</v>
      </c>
      <c r="P11" s="334">
        <f t="shared" si="0"/>
        <v>450</v>
      </c>
      <c r="Q11" s="496">
        <v>0</v>
      </c>
      <c r="R11" s="1204">
        <v>0</v>
      </c>
      <c r="S11" s="1202">
        <v>0</v>
      </c>
      <c r="T11" s="1203">
        <v>0</v>
      </c>
      <c r="U11" s="239">
        <v>0</v>
      </c>
      <c r="V11" s="1205">
        <v>0</v>
      </c>
      <c r="W11" s="1206">
        <v>0</v>
      </c>
      <c r="X11" s="762">
        <v>0</v>
      </c>
      <c r="Y11" s="450">
        <v>0</v>
      </c>
      <c r="Z11" s="1206">
        <v>0</v>
      </c>
      <c r="AA11" s="1207">
        <v>0</v>
      </c>
      <c r="AB11" s="1032" t="s">
        <v>193</v>
      </c>
      <c r="AC11" s="24" t="s">
        <v>14</v>
      </c>
    </row>
    <row r="12" spans="1:29" ht="30.75" outlineLevel="1" thickBot="1" x14ac:dyDescent="0.3">
      <c r="A12" s="1208" t="s">
        <v>491</v>
      </c>
      <c r="B12" s="1258" t="s">
        <v>765</v>
      </c>
      <c r="C12" s="1116" t="s">
        <v>518</v>
      </c>
      <c r="D12" s="1116" t="s">
        <v>8</v>
      </c>
      <c r="E12" s="1209" t="s">
        <v>8</v>
      </c>
      <c r="F12" s="1210" t="s">
        <v>556</v>
      </c>
      <c r="G12" s="1211">
        <f>80-0.14</f>
        <v>79.86</v>
      </c>
      <c r="H12" s="1212">
        <v>0</v>
      </c>
      <c r="I12" s="1213">
        <v>79.86</v>
      </c>
      <c r="J12" s="1214">
        <f>80-0.14</f>
        <v>79.86</v>
      </c>
      <c r="K12" s="1215">
        <v>0</v>
      </c>
      <c r="L12" s="1215">
        <v>0</v>
      </c>
      <c r="M12" s="1216">
        <v>0</v>
      </c>
      <c r="N12" s="1217">
        <v>85</v>
      </c>
      <c r="O12" s="1218">
        <v>-5.14</v>
      </c>
      <c r="P12" s="1219">
        <f t="shared" si="0"/>
        <v>79.86</v>
      </c>
      <c r="Q12" s="1220">
        <v>0</v>
      </c>
      <c r="R12" s="1216">
        <v>0</v>
      </c>
      <c r="S12" s="1214">
        <v>0</v>
      </c>
      <c r="T12" s="1215">
        <v>0</v>
      </c>
      <c r="U12" s="1221">
        <v>0</v>
      </c>
      <c r="V12" s="1222">
        <v>0</v>
      </c>
      <c r="W12" s="1223">
        <v>0</v>
      </c>
      <c r="X12" s="1224">
        <v>0</v>
      </c>
      <c r="Y12" s="1215">
        <v>0</v>
      </c>
      <c r="Z12" s="1223">
        <v>0</v>
      </c>
      <c r="AA12" s="1225">
        <v>0</v>
      </c>
      <c r="AB12" s="1226" t="s">
        <v>856</v>
      </c>
      <c r="AC12" s="1116" t="s">
        <v>210</v>
      </c>
    </row>
    <row r="13" spans="1:29" ht="25.5" outlineLevel="1" x14ac:dyDescent="0.25">
      <c r="A13" s="1227" t="s">
        <v>519</v>
      </c>
      <c r="B13" s="532" t="s">
        <v>687</v>
      </c>
      <c r="C13" s="533" t="s">
        <v>549</v>
      </c>
      <c r="D13" s="533" t="s">
        <v>8</v>
      </c>
      <c r="E13" s="534" t="s">
        <v>8</v>
      </c>
      <c r="F13" s="535" t="s">
        <v>557</v>
      </c>
      <c r="G13" s="1228">
        <f>7200+3300+2200</f>
        <v>12700</v>
      </c>
      <c r="H13" s="1228">
        <v>2397.2042000000001</v>
      </c>
      <c r="I13" s="1229">
        <v>0</v>
      </c>
      <c r="J13" s="544">
        <v>0</v>
      </c>
      <c r="K13" s="545">
        <v>0</v>
      </c>
      <c r="L13" s="545">
        <f>3300+2400+2.7958+2200</f>
        <v>7902.7957999999999</v>
      </c>
      <c r="M13" s="1230">
        <v>0</v>
      </c>
      <c r="N13" s="382">
        <v>5702.7957999999999</v>
      </c>
      <c r="O13" s="353">
        <v>2200</v>
      </c>
      <c r="P13" s="383">
        <f t="shared" si="0"/>
        <v>7902.7957999999999</v>
      </c>
      <c r="Q13" s="542">
        <v>2400</v>
      </c>
      <c r="R13" s="547">
        <v>0</v>
      </c>
      <c r="S13" s="544">
        <v>0</v>
      </c>
      <c r="T13" s="545">
        <v>0</v>
      </c>
      <c r="U13" s="547">
        <v>0</v>
      </c>
      <c r="V13" s="1231">
        <v>0</v>
      </c>
      <c r="W13" s="1232">
        <v>0</v>
      </c>
      <c r="X13" s="1233">
        <v>0</v>
      </c>
      <c r="Y13" s="545">
        <v>0</v>
      </c>
      <c r="Z13" s="1232">
        <v>0</v>
      </c>
      <c r="AA13" s="1234">
        <v>0</v>
      </c>
      <c r="AB13" s="1235" t="s">
        <v>786</v>
      </c>
      <c r="AC13" s="1236" t="s">
        <v>14</v>
      </c>
    </row>
    <row r="14" spans="1:29" ht="25.5" outlineLevel="1" x14ac:dyDescent="0.25">
      <c r="A14" s="766" t="s">
        <v>520</v>
      </c>
      <c r="B14" s="590" t="s">
        <v>197</v>
      </c>
      <c r="C14" s="591" t="s">
        <v>548</v>
      </c>
      <c r="D14" s="591" t="s">
        <v>8</v>
      </c>
      <c r="E14" s="592" t="s">
        <v>8</v>
      </c>
      <c r="F14" s="719" t="s">
        <v>521</v>
      </c>
      <c r="G14" s="1237">
        <v>3100</v>
      </c>
      <c r="H14" s="1237">
        <v>0</v>
      </c>
      <c r="I14" s="1238">
        <v>0</v>
      </c>
      <c r="J14" s="605">
        <v>0</v>
      </c>
      <c r="K14" s="1239">
        <v>0</v>
      </c>
      <c r="L14" s="1239">
        <v>3100</v>
      </c>
      <c r="M14" s="1240">
        <v>0</v>
      </c>
      <c r="N14" s="600">
        <v>1400</v>
      </c>
      <c r="O14" s="1241">
        <v>1700</v>
      </c>
      <c r="P14" s="1242">
        <f t="shared" si="0"/>
        <v>3100</v>
      </c>
      <c r="Q14" s="1243">
        <v>0</v>
      </c>
      <c r="R14" s="1244">
        <v>0</v>
      </c>
      <c r="S14" s="605">
        <v>0</v>
      </c>
      <c r="T14" s="1239">
        <v>0</v>
      </c>
      <c r="U14" s="1244">
        <v>0</v>
      </c>
      <c r="V14" s="1245">
        <v>0</v>
      </c>
      <c r="W14" s="1246">
        <v>0</v>
      </c>
      <c r="X14" s="1233">
        <v>0</v>
      </c>
      <c r="Y14" s="545">
        <v>0</v>
      </c>
      <c r="Z14" s="1246">
        <v>0</v>
      </c>
      <c r="AA14" s="1247">
        <v>0</v>
      </c>
      <c r="AB14" s="1248" t="s">
        <v>855</v>
      </c>
      <c r="AC14" s="1249" t="s">
        <v>14</v>
      </c>
    </row>
    <row r="15" spans="1:29" ht="25.5" outlineLevel="1" x14ac:dyDescent="0.25">
      <c r="A15" s="1250" t="s">
        <v>522</v>
      </c>
      <c r="B15" s="454" t="s">
        <v>197</v>
      </c>
      <c r="C15" s="26" t="s">
        <v>548</v>
      </c>
      <c r="D15" s="26" t="s">
        <v>8</v>
      </c>
      <c r="E15" s="455" t="s">
        <v>8</v>
      </c>
      <c r="F15" s="456" t="s">
        <v>523</v>
      </c>
      <c r="G15" s="1251">
        <v>3000</v>
      </c>
      <c r="H15" s="1251">
        <v>0</v>
      </c>
      <c r="I15" s="1252">
        <v>0</v>
      </c>
      <c r="J15" s="448">
        <v>0</v>
      </c>
      <c r="K15" s="460">
        <v>500</v>
      </c>
      <c r="L15" s="460">
        <v>0</v>
      </c>
      <c r="M15" s="1156">
        <v>2500</v>
      </c>
      <c r="N15" s="317">
        <v>3000</v>
      </c>
      <c r="O15" s="209">
        <v>0</v>
      </c>
      <c r="P15" s="338">
        <f t="shared" si="0"/>
        <v>3000</v>
      </c>
      <c r="Q15" s="551">
        <v>0</v>
      </c>
      <c r="R15" s="451">
        <v>0</v>
      </c>
      <c r="S15" s="448">
        <v>0</v>
      </c>
      <c r="T15" s="460">
        <v>0</v>
      </c>
      <c r="U15" s="451">
        <v>0</v>
      </c>
      <c r="V15" s="737">
        <v>0</v>
      </c>
      <c r="W15" s="1175">
        <v>0</v>
      </c>
      <c r="X15" s="762">
        <v>0</v>
      </c>
      <c r="Y15" s="450">
        <v>0</v>
      </c>
      <c r="Z15" s="1175">
        <v>0</v>
      </c>
      <c r="AA15" s="738">
        <v>0</v>
      </c>
      <c r="AB15" s="650" t="s">
        <v>193</v>
      </c>
      <c r="AC15" s="745" t="s">
        <v>14</v>
      </c>
    </row>
    <row r="16" spans="1:29" ht="26.25" outlineLevel="1" thickBot="1" x14ac:dyDescent="0.3">
      <c r="A16" s="765" t="s">
        <v>524</v>
      </c>
      <c r="B16" s="462" t="s">
        <v>197</v>
      </c>
      <c r="C16" s="30" t="s">
        <v>548</v>
      </c>
      <c r="D16" s="30" t="s">
        <v>8</v>
      </c>
      <c r="E16" s="463" t="s">
        <v>8</v>
      </c>
      <c r="F16" s="464" t="s">
        <v>558</v>
      </c>
      <c r="G16" s="1253">
        <v>2000</v>
      </c>
      <c r="H16" s="1253">
        <v>0</v>
      </c>
      <c r="I16" s="1254">
        <v>0</v>
      </c>
      <c r="J16" s="472">
        <v>0</v>
      </c>
      <c r="K16" s="473">
        <v>2000</v>
      </c>
      <c r="L16" s="473">
        <v>0</v>
      </c>
      <c r="M16" s="1255">
        <v>0</v>
      </c>
      <c r="N16" s="265">
        <v>2000</v>
      </c>
      <c r="O16" s="207">
        <v>0</v>
      </c>
      <c r="P16" s="335">
        <f t="shared" si="0"/>
        <v>2000</v>
      </c>
      <c r="Q16" s="749">
        <v>0</v>
      </c>
      <c r="R16" s="476">
        <v>0</v>
      </c>
      <c r="S16" s="472">
        <v>0</v>
      </c>
      <c r="T16" s="473">
        <v>0</v>
      </c>
      <c r="U16" s="476">
        <v>0</v>
      </c>
      <c r="V16" s="750">
        <v>0</v>
      </c>
      <c r="W16" s="1180">
        <v>0</v>
      </c>
      <c r="X16" s="751">
        <v>0</v>
      </c>
      <c r="Y16" s="473">
        <v>0</v>
      </c>
      <c r="Z16" s="1180">
        <v>0</v>
      </c>
      <c r="AA16" s="752">
        <v>0</v>
      </c>
      <c r="AB16" s="1050" t="s">
        <v>193</v>
      </c>
      <c r="AC16" s="1162" t="s">
        <v>14</v>
      </c>
    </row>
    <row r="17" spans="1:29" ht="25.5" outlineLevel="1" x14ac:dyDescent="0.25">
      <c r="A17" s="735" t="s">
        <v>559</v>
      </c>
      <c r="B17" s="793" t="s">
        <v>197</v>
      </c>
      <c r="C17" s="24" t="s">
        <v>684</v>
      </c>
      <c r="D17" s="24" t="s">
        <v>8</v>
      </c>
      <c r="E17" s="494" t="s">
        <v>8</v>
      </c>
      <c r="F17" s="1256" t="s">
        <v>560</v>
      </c>
      <c r="G17" s="1140">
        <v>5000</v>
      </c>
      <c r="H17" s="1140">
        <v>0</v>
      </c>
      <c r="I17" s="1141">
        <v>0</v>
      </c>
      <c r="J17" s="432">
        <v>0</v>
      </c>
      <c r="K17" s="450">
        <v>500</v>
      </c>
      <c r="L17" s="450">
        <v>0</v>
      </c>
      <c r="M17" s="434">
        <v>4500</v>
      </c>
      <c r="N17" s="175">
        <v>5000</v>
      </c>
      <c r="O17" s="316">
        <v>0</v>
      </c>
      <c r="P17" s="334">
        <f t="shared" si="0"/>
        <v>5000</v>
      </c>
      <c r="Q17" s="760">
        <v>0</v>
      </c>
      <c r="R17" s="434">
        <v>0</v>
      </c>
      <c r="S17" s="432">
        <v>0</v>
      </c>
      <c r="T17" s="450">
        <v>0</v>
      </c>
      <c r="U17" s="564">
        <v>0</v>
      </c>
      <c r="V17" s="761">
        <v>0</v>
      </c>
      <c r="W17" s="1257">
        <v>0</v>
      </c>
      <c r="X17" s="762">
        <v>0</v>
      </c>
      <c r="Y17" s="450">
        <v>0</v>
      </c>
      <c r="Z17" s="1257">
        <v>0</v>
      </c>
      <c r="AA17" s="763">
        <v>0</v>
      </c>
      <c r="AB17" s="1013" t="s">
        <v>561</v>
      </c>
      <c r="AC17" s="914" t="s">
        <v>14</v>
      </c>
    </row>
    <row r="18" spans="1:29" s="260" customFormat="1" ht="12.6" customHeight="1" outlineLevel="1" thickBot="1" x14ac:dyDescent="0.3">
      <c r="A18" s="21" t="s">
        <v>211</v>
      </c>
      <c r="B18" s="159" t="s">
        <v>211</v>
      </c>
      <c r="C18" s="157" t="s">
        <v>211</v>
      </c>
      <c r="D18" s="174" t="s">
        <v>211</v>
      </c>
      <c r="E18" s="301" t="s">
        <v>211</v>
      </c>
      <c r="F18" s="125" t="s">
        <v>211</v>
      </c>
      <c r="G18" s="153" t="s">
        <v>211</v>
      </c>
      <c r="H18" s="179" t="s">
        <v>211</v>
      </c>
      <c r="I18" s="288" t="s">
        <v>211</v>
      </c>
      <c r="J18" s="115" t="s">
        <v>211</v>
      </c>
      <c r="K18" s="90" t="s">
        <v>211</v>
      </c>
      <c r="L18" s="90" t="s">
        <v>211</v>
      </c>
      <c r="M18" s="81" t="s">
        <v>211</v>
      </c>
      <c r="N18" s="81" t="s">
        <v>211</v>
      </c>
      <c r="O18" s="81" t="s">
        <v>211</v>
      </c>
      <c r="P18" s="88" t="s">
        <v>211</v>
      </c>
      <c r="Q18" s="50" t="s">
        <v>211</v>
      </c>
      <c r="R18" s="81" t="s">
        <v>211</v>
      </c>
      <c r="S18" s="115" t="s">
        <v>211</v>
      </c>
      <c r="T18" s="90" t="s">
        <v>211</v>
      </c>
      <c r="U18" s="88" t="s">
        <v>211</v>
      </c>
      <c r="V18" s="115" t="s">
        <v>211</v>
      </c>
      <c r="W18" s="93" t="s">
        <v>211</v>
      </c>
      <c r="X18" s="91" t="s">
        <v>211</v>
      </c>
      <c r="Y18" s="91" t="s">
        <v>211</v>
      </c>
      <c r="Z18" s="93" t="s">
        <v>211</v>
      </c>
      <c r="AA18" s="81" t="s">
        <v>211</v>
      </c>
      <c r="AB18" s="81" t="s">
        <v>211</v>
      </c>
      <c r="AC18" s="19" t="s">
        <v>211</v>
      </c>
    </row>
    <row r="19" spans="1:29" ht="32.25" thickBot="1" x14ac:dyDescent="0.3">
      <c r="A19" s="69" t="s">
        <v>193</v>
      </c>
      <c r="B19" s="240" t="s">
        <v>193</v>
      </c>
      <c r="C19" s="10" t="s">
        <v>193</v>
      </c>
      <c r="D19" s="297" t="s">
        <v>193</v>
      </c>
      <c r="E19" s="297" t="s">
        <v>193</v>
      </c>
      <c r="F19" s="118" t="s">
        <v>500</v>
      </c>
      <c r="G19" s="307">
        <f>SUM(G5:G18)</f>
        <v>116277.991799</v>
      </c>
      <c r="H19" s="307">
        <f>SUM(H5:H18)</f>
        <v>56886.988899999997</v>
      </c>
      <c r="I19" s="307">
        <f>SUM(I5:I18)</f>
        <v>3787.0734500000003</v>
      </c>
      <c r="J19" s="307">
        <f t="shared" ref="J19" si="1">SUM(J5:J18)</f>
        <v>3787.0734500000003</v>
      </c>
      <c r="K19" s="87">
        <f t="shared" ref="K19:AA19" si="2">SUM(K5:K18)</f>
        <v>9802.9091000000008</v>
      </c>
      <c r="L19" s="87">
        <f t="shared" si="2"/>
        <v>12002.7958</v>
      </c>
      <c r="M19" s="57">
        <f t="shared" si="2"/>
        <v>19998.224549999999</v>
      </c>
      <c r="N19" s="307">
        <f t="shared" si="2"/>
        <v>43896.142899999999</v>
      </c>
      <c r="O19" s="307">
        <f t="shared" si="2"/>
        <v>1694.8600000000001</v>
      </c>
      <c r="P19" s="307">
        <f t="shared" si="2"/>
        <v>45591.002899999999</v>
      </c>
      <c r="Q19" s="128">
        <f t="shared" si="2"/>
        <v>13800</v>
      </c>
      <c r="R19" s="170">
        <f t="shared" si="2"/>
        <v>0</v>
      </c>
      <c r="S19" s="86">
        <f t="shared" si="2"/>
        <v>0</v>
      </c>
      <c r="T19" s="87">
        <f t="shared" si="2"/>
        <v>0</v>
      </c>
      <c r="U19" s="170">
        <f t="shared" si="2"/>
        <v>0</v>
      </c>
      <c r="V19" s="86">
        <f t="shared" si="2"/>
        <v>0</v>
      </c>
      <c r="W19" s="87">
        <f t="shared" si="2"/>
        <v>0</v>
      </c>
      <c r="X19" s="87">
        <f t="shared" si="2"/>
        <v>0</v>
      </c>
      <c r="Y19" s="87">
        <f t="shared" si="2"/>
        <v>0</v>
      </c>
      <c r="Z19" s="87">
        <f t="shared" si="2"/>
        <v>0</v>
      </c>
      <c r="AA19" s="170">
        <f t="shared" si="2"/>
        <v>0</v>
      </c>
      <c r="AB19" s="11" t="s">
        <v>699</v>
      </c>
      <c r="AC19" s="10" t="s">
        <v>193</v>
      </c>
    </row>
    <row r="20" spans="1:29" ht="25.5" outlineLevel="1" x14ac:dyDescent="0.25">
      <c r="A20" s="423" t="s">
        <v>630</v>
      </c>
      <c r="B20" s="424" t="s">
        <v>18</v>
      </c>
      <c r="C20" s="41" t="s">
        <v>255</v>
      </c>
      <c r="D20" s="425" t="s">
        <v>8</v>
      </c>
      <c r="E20" s="425" t="s">
        <v>8</v>
      </c>
      <c r="F20" s="386" t="s">
        <v>19</v>
      </c>
      <c r="G20" s="52">
        <f>16659.59+29+23+1800+400+802+200</f>
        <v>19913.59</v>
      </c>
      <c r="H20" s="52">
        <v>16827.75</v>
      </c>
      <c r="I20" s="426">
        <v>0</v>
      </c>
      <c r="J20" s="389">
        <v>0</v>
      </c>
      <c r="K20" s="390">
        <v>0</v>
      </c>
      <c r="L20" s="390">
        <v>0</v>
      </c>
      <c r="M20" s="427">
        <v>1500</v>
      </c>
      <c r="N20" s="497">
        <v>2000</v>
      </c>
      <c r="O20" s="345">
        <v>-500</v>
      </c>
      <c r="P20" s="498">
        <f t="shared" ref="P20:P27" si="3">N20+O20</f>
        <v>1500</v>
      </c>
      <c r="Q20" s="428">
        <f>1085.84+500</f>
        <v>1585.84</v>
      </c>
      <c r="R20" s="394">
        <v>0</v>
      </c>
      <c r="S20" s="499">
        <v>0</v>
      </c>
      <c r="T20" s="500">
        <v>0</v>
      </c>
      <c r="U20" s="501">
        <v>0</v>
      </c>
      <c r="V20" s="396">
        <v>0</v>
      </c>
      <c r="W20" s="398">
        <v>0</v>
      </c>
      <c r="X20" s="397">
        <v>0</v>
      </c>
      <c r="Y20" s="397">
        <v>0</v>
      </c>
      <c r="Z20" s="502">
        <v>0</v>
      </c>
      <c r="AA20" s="344">
        <v>0</v>
      </c>
      <c r="AB20" s="503" t="s">
        <v>791</v>
      </c>
      <c r="AC20" s="504" t="s">
        <v>14</v>
      </c>
    </row>
    <row r="21" spans="1:29" ht="25.5" outlineLevel="1" x14ac:dyDescent="0.25">
      <c r="A21" s="436" t="s">
        <v>631</v>
      </c>
      <c r="B21" s="437" t="s">
        <v>21</v>
      </c>
      <c r="C21" s="41" t="s">
        <v>254</v>
      </c>
      <c r="D21" s="438" t="s">
        <v>8</v>
      </c>
      <c r="E21" s="438" t="s">
        <v>8</v>
      </c>
      <c r="F21" s="439" t="s">
        <v>22</v>
      </c>
      <c r="G21" s="440">
        <f>1182.025+540.2+700+2000+6000+17.92195+48.94916</f>
        <v>10489.09611</v>
      </c>
      <c r="H21" s="52">
        <v>2363.8729999999996</v>
      </c>
      <c r="I21" s="426">
        <v>85.91</v>
      </c>
      <c r="J21" s="441">
        <v>89.91</v>
      </c>
      <c r="K21" s="442">
        <f>3900.11311+110.2</f>
        <v>4010.3131099999996</v>
      </c>
      <c r="L21" s="442">
        <v>0</v>
      </c>
      <c r="M21" s="443">
        <v>2500</v>
      </c>
      <c r="N21" s="505">
        <v>7100.2231099999999</v>
      </c>
      <c r="O21" s="345">
        <v>-500</v>
      </c>
      <c r="P21" s="392">
        <f t="shared" si="3"/>
        <v>6600.2231099999999</v>
      </c>
      <c r="Q21" s="444">
        <f>1025+500</f>
        <v>1525</v>
      </c>
      <c r="R21" s="443">
        <v>0</v>
      </c>
      <c r="S21" s="441">
        <v>0</v>
      </c>
      <c r="T21" s="442">
        <v>0</v>
      </c>
      <c r="U21" s="60">
        <v>0</v>
      </c>
      <c r="V21" s="506">
        <v>0</v>
      </c>
      <c r="W21" s="507">
        <v>0</v>
      </c>
      <c r="X21" s="508">
        <v>0</v>
      </c>
      <c r="Y21" s="508">
        <v>0</v>
      </c>
      <c r="Z21" s="507">
        <v>0</v>
      </c>
      <c r="AA21" s="509">
        <v>0</v>
      </c>
      <c r="AB21" s="43" t="s">
        <v>790</v>
      </c>
      <c r="AC21" s="510" t="s">
        <v>20</v>
      </c>
    </row>
    <row r="22" spans="1:29" ht="30" outlineLevel="1" x14ac:dyDescent="0.25">
      <c r="A22" s="453" t="s">
        <v>632</v>
      </c>
      <c r="B22" s="454" t="s">
        <v>23</v>
      </c>
      <c r="C22" s="26" t="s">
        <v>200</v>
      </c>
      <c r="D22" s="455" t="s">
        <v>8</v>
      </c>
      <c r="E22" s="455" t="s">
        <v>8</v>
      </c>
      <c r="F22" s="456" t="s">
        <v>24</v>
      </c>
      <c r="G22" s="27">
        <v>23232</v>
      </c>
      <c r="H22" s="113">
        <v>19692.356750000003</v>
      </c>
      <c r="I22" s="457">
        <v>0</v>
      </c>
      <c r="J22" s="446">
        <v>0</v>
      </c>
      <c r="K22" s="447">
        <v>3171.1680000000001</v>
      </c>
      <c r="L22" s="447">
        <v>0</v>
      </c>
      <c r="M22" s="445">
        <f>3539.64325-3171.168</f>
        <v>368.47524999999996</v>
      </c>
      <c r="N22" s="299">
        <v>3539.6432500000001</v>
      </c>
      <c r="O22" s="316">
        <v>0</v>
      </c>
      <c r="P22" s="338">
        <f t="shared" si="3"/>
        <v>3539.6432500000001</v>
      </c>
      <c r="Q22" s="28">
        <v>0</v>
      </c>
      <c r="R22" s="445">
        <v>0</v>
      </c>
      <c r="S22" s="446">
        <v>0</v>
      </c>
      <c r="T22" s="447">
        <v>0</v>
      </c>
      <c r="U22" s="64">
        <v>0</v>
      </c>
      <c r="V22" s="448">
        <v>0</v>
      </c>
      <c r="W22" s="449">
        <v>0</v>
      </c>
      <c r="X22" s="450">
        <v>0</v>
      </c>
      <c r="Y22" s="450">
        <v>0</v>
      </c>
      <c r="Z22" s="449">
        <v>0</v>
      </c>
      <c r="AA22" s="451">
        <v>0</v>
      </c>
      <c r="AB22" s="29" t="s">
        <v>777</v>
      </c>
      <c r="AC22" s="452" t="s">
        <v>20</v>
      </c>
    </row>
    <row r="23" spans="1:29" ht="30" outlineLevel="1" x14ac:dyDescent="0.25">
      <c r="A23" s="458" t="s">
        <v>633</v>
      </c>
      <c r="B23" s="454" t="s">
        <v>25</v>
      </c>
      <c r="C23" s="26" t="s">
        <v>200</v>
      </c>
      <c r="D23" s="455" t="s">
        <v>8</v>
      </c>
      <c r="E23" s="455" t="s">
        <v>8</v>
      </c>
      <c r="F23" s="456" t="s">
        <v>26</v>
      </c>
      <c r="G23" s="27">
        <f>25400-500-4300-700</f>
        <v>19900</v>
      </c>
      <c r="H23" s="113">
        <v>15435.52873</v>
      </c>
      <c r="I23" s="457">
        <v>0</v>
      </c>
      <c r="J23" s="446">
        <v>0</v>
      </c>
      <c r="K23" s="447">
        <v>0</v>
      </c>
      <c r="L23" s="447">
        <v>0</v>
      </c>
      <c r="M23" s="445">
        <v>2464.47127</v>
      </c>
      <c r="N23" s="299">
        <v>2464.47127</v>
      </c>
      <c r="O23" s="316">
        <v>0</v>
      </c>
      <c r="P23" s="338">
        <f t="shared" si="3"/>
        <v>2464.47127</v>
      </c>
      <c r="Q23" s="28">
        <v>2000</v>
      </c>
      <c r="R23" s="445">
        <v>0</v>
      </c>
      <c r="S23" s="446">
        <v>0</v>
      </c>
      <c r="T23" s="447">
        <v>0</v>
      </c>
      <c r="U23" s="64">
        <v>0</v>
      </c>
      <c r="V23" s="448">
        <v>0</v>
      </c>
      <c r="W23" s="449">
        <v>0</v>
      </c>
      <c r="X23" s="450">
        <v>0</v>
      </c>
      <c r="Y23" s="450">
        <v>0</v>
      </c>
      <c r="Z23" s="449">
        <v>0</v>
      </c>
      <c r="AA23" s="451">
        <v>0</v>
      </c>
      <c r="AB23" s="29" t="s">
        <v>460</v>
      </c>
      <c r="AC23" s="452" t="s">
        <v>20</v>
      </c>
    </row>
    <row r="24" spans="1:29" ht="25.5" outlineLevel="1" x14ac:dyDescent="0.25">
      <c r="A24" s="436" t="s">
        <v>634</v>
      </c>
      <c r="B24" s="437" t="s">
        <v>195</v>
      </c>
      <c r="C24" s="41" t="s">
        <v>200</v>
      </c>
      <c r="D24" s="438" t="s">
        <v>8</v>
      </c>
      <c r="E24" s="438" t="s">
        <v>8</v>
      </c>
      <c r="F24" s="439" t="s">
        <v>550</v>
      </c>
      <c r="G24" s="48">
        <f>2000+406+2500+3200</f>
        <v>8106</v>
      </c>
      <c r="H24" s="48">
        <v>1990.2360000000001</v>
      </c>
      <c r="I24" s="459">
        <v>140.26400000000001</v>
      </c>
      <c r="J24" s="441">
        <v>140.26400000000001</v>
      </c>
      <c r="K24" s="60">
        <v>968</v>
      </c>
      <c r="L24" s="442">
        <f>1351.99084+291.736+1143</f>
        <v>2786.7268399999998</v>
      </c>
      <c r="M24" s="443">
        <v>0</v>
      </c>
      <c r="N24" s="511">
        <v>2751.9908399999999</v>
      </c>
      <c r="O24" s="345">
        <v>1143</v>
      </c>
      <c r="P24" s="392">
        <f t="shared" si="3"/>
        <v>3894.9908399999999</v>
      </c>
      <c r="Q24" s="444">
        <f>3363.77316-1143</f>
        <v>2220.7731600000002</v>
      </c>
      <c r="R24" s="443">
        <v>0</v>
      </c>
      <c r="S24" s="441">
        <v>0</v>
      </c>
      <c r="T24" s="512">
        <v>0</v>
      </c>
      <c r="U24" s="513">
        <v>0</v>
      </c>
      <c r="V24" s="514">
        <v>0</v>
      </c>
      <c r="W24" s="515">
        <v>0</v>
      </c>
      <c r="X24" s="516">
        <v>0</v>
      </c>
      <c r="Y24" s="516">
        <v>0</v>
      </c>
      <c r="Z24" s="515">
        <v>0</v>
      </c>
      <c r="AA24" s="517">
        <v>0</v>
      </c>
      <c r="AB24" s="43" t="s">
        <v>789</v>
      </c>
      <c r="AC24" s="510" t="s">
        <v>20</v>
      </c>
    </row>
    <row r="25" spans="1:29" ht="26.25" outlineLevel="1" thickBot="1" x14ac:dyDescent="0.3">
      <c r="A25" s="461" t="s">
        <v>635</v>
      </c>
      <c r="B25" s="462" t="s">
        <v>201</v>
      </c>
      <c r="C25" s="30" t="s">
        <v>200</v>
      </c>
      <c r="D25" s="463" t="s">
        <v>8</v>
      </c>
      <c r="E25" s="463" t="s">
        <v>8</v>
      </c>
      <c r="F25" s="464" t="s">
        <v>717</v>
      </c>
      <c r="G25" s="465">
        <f>3000-406</f>
        <v>2594</v>
      </c>
      <c r="H25" s="465">
        <v>593.38</v>
      </c>
      <c r="I25" s="466">
        <v>0</v>
      </c>
      <c r="J25" s="467">
        <v>0</v>
      </c>
      <c r="K25" s="468">
        <v>0</v>
      </c>
      <c r="L25" s="468">
        <v>0</v>
      </c>
      <c r="M25" s="469">
        <v>2000.62</v>
      </c>
      <c r="N25" s="346">
        <v>2000.62</v>
      </c>
      <c r="O25" s="207">
        <v>0</v>
      </c>
      <c r="P25" s="335">
        <f t="shared" si="3"/>
        <v>2000.62</v>
      </c>
      <c r="Q25" s="470">
        <v>0</v>
      </c>
      <c r="R25" s="469">
        <v>0</v>
      </c>
      <c r="S25" s="467">
        <v>0</v>
      </c>
      <c r="T25" s="468">
        <v>0</v>
      </c>
      <c r="U25" s="471">
        <v>0</v>
      </c>
      <c r="V25" s="472">
        <v>0</v>
      </c>
      <c r="W25" s="473">
        <v>0</v>
      </c>
      <c r="X25" s="474">
        <v>0</v>
      </c>
      <c r="Y25" s="474">
        <v>0</v>
      </c>
      <c r="Z25" s="475">
        <v>0</v>
      </c>
      <c r="AA25" s="476">
        <v>0</v>
      </c>
      <c r="AB25" s="30" t="s">
        <v>551</v>
      </c>
      <c r="AC25" s="477" t="s">
        <v>14</v>
      </c>
    </row>
    <row r="26" spans="1:29" ht="30.75" outlineLevel="1" thickBot="1" x14ac:dyDescent="0.3">
      <c r="A26" s="461" t="s">
        <v>325</v>
      </c>
      <c r="B26" s="462" t="s">
        <v>394</v>
      </c>
      <c r="C26" s="30" t="s">
        <v>353</v>
      </c>
      <c r="D26" s="478" t="s">
        <v>8</v>
      </c>
      <c r="E26" s="478" t="s">
        <v>8</v>
      </c>
      <c r="F26" s="479" t="s">
        <v>326</v>
      </c>
      <c r="G26" s="480">
        <f>8000+4300</f>
        <v>12300</v>
      </c>
      <c r="H26" s="465">
        <v>9137.6392799999994</v>
      </c>
      <c r="I26" s="466">
        <v>0</v>
      </c>
      <c r="J26" s="481">
        <v>0</v>
      </c>
      <c r="K26" s="482">
        <v>0</v>
      </c>
      <c r="L26" s="482">
        <v>0</v>
      </c>
      <c r="M26" s="483">
        <v>0</v>
      </c>
      <c r="N26" s="143">
        <v>0</v>
      </c>
      <c r="O26" s="207">
        <v>0</v>
      </c>
      <c r="P26" s="335">
        <f t="shared" si="3"/>
        <v>0</v>
      </c>
      <c r="Q26" s="470">
        <v>3162.3607200000001</v>
      </c>
      <c r="R26" s="484">
        <v>0</v>
      </c>
      <c r="S26" s="485">
        <v>0</v>
      </c>
      <c r="T26" s="486">
        <v>0</v>
      </c>
      <c r="U26" s="234">
        <v>0</v>
      </c>
      <c r="V26" s="487">
        <v>0</v>
      </c>
      <c r="W26" s="474">
        <v>0</v>
      </c>
      <c r="X26" s="474">
        <v>0</v>
      </c>
      <c r="Y26" s="474">
        <v>0</v>
      </c>
      <c r="Z26" s="488">
        <v>0</v>
      </c>
      <c r="AA26" s="489">
        <v>0</v>
      </c>
      <c r="AB26" s="490" t="s">
        <v>485</v>
      </c>
      <c r="AC26" s="491" t="s">
        <v>20</v>
      </c>
    </row>
    <row r="27" spans="1:29" ht="30" outlineLevel="1" x14ac:dyDescent="0.25">
      <c r="A27" s="792" t="s">
        <v>461</v>
      </c>
      <c r="B27" s="1473" t="s">
        <v>788</v>
      </c>
      <c r="C27" s="900" t="s">
        <v>469</v>
      </c>
      <c r="D27" s="804" t="s">
        <v>8</v>
      </c>
      <c r="E27" s="804" t="s">
        <v>8</v>
      </c>
      <c r="F27" s="1305" t="s">
        <v>462</v>
      </c>
      <c r="G27" s="806">
        <v>5000</v>
      </c>
      <c r="H27" s="806">
        <v>0</v>
      </c>
      <c r="I27" s="557">
        <v>0</v>
      </c>
      <c r="J27" s="558">
        <v>0</v>
      </c>
      <c r="K27" s="561">
        <v>0</v>
      </c>
      <c r="L27" s="559">
        <v>0</v>
      </c>
      <c r="M27" s="560">
        <v>5000</v>
      </c>
      <c r="N27" s="146">
        <v>5000</v>
      </c>
      <c r="O27" s="348">
        <v>0</v>
      </c>
      <c r="P27" s="352">
        <f t="shared" si="3"/>
        <v>5000</v>
      </c>
      <c r="Q27" s="65">
        <v>0</v>
      </c>
      <c r="R27" s="560">
        <v>0</v>
      </c>
      <c r="S27" s="558">
        <v>0</v>
      </c>
      <c r="T27" s="559">
        <v>0</v>
      </c>
      <c r="U27" s="561">
        <v>0</v>
      </c>
      <c r="V27" s="562">
        <v>0</v>
      </c>
      <c r="W27" s="563">
        <v>0</v>
      </c>
      <c r="X27" s="1145">
        <v>0</v>
      </c>
      <c r="Y27" s="1145">
        <v>0</v>
      </c>
      <c r="Z27" s="563">
        <v>0</v>
      </c>
      <c r="AA27" s="823">
        <v>0</v>
      </c>
      <c r="AB27" s="31" t="s">
        <v>486</v>
      </c>
      <c r="AC27" s="824" t="s">
        <v>20</v>
      </c>
    </row>
    <row r="28" spans="1:29" s="260" customFormat="1" ht="12.6" customHeight="1" outlineLevel="1" thickBot="1" x14ac:dyDescent="0.3">
      <c r="A28" s="21" t="s">
        <v>211</v>
      </c>
      <c r="B28" s="22" t="s">
        <v>211</v>
      </c>
      <c r="C28" s="174" t="s">
        <v>211</v>
      </c>
      <c r="D28" s="301" t="s">
        <v>211</v>
      </c>
      <c r="E28" s="301" t="s">
        <v>211</v>
      </c>
      <c r="F28" s="119" t="s">
        <v>211</v>
      </c>
      <c r="G28" s="153" t="s">
        <v>211</v>
      </c>
      <c r="H28" s="153" t="s">
        <v>211</v>
      </c>
      <c r="I28" s="379" t="s">
        <v>211</v>
      </c>
      <c r="J28" s="115" t="s">
        <v>211</v>
      </c>
      <c r="K28" s="90" t="s">
        <v>211</v>
      </c>
      <c r="L28" s="90" t="s">
        <v>211</v>
      </c>
      <c r="M28" s="81" t="s">
        <v>211</v>
      </c>
      <c r="N28" s="81" t="s">
        <v>211</v>
      </c>
      <c r="O28" s="81" t="s">
        <v>211</v>
      </c>
      <c r="P28" s="88" t="s">
        <v>211</v>
      </c>
      <c r="Q28" s="50" t="s">
        <v>211</v>
      </c>
      <c r="R28" s="81" t="s">
        <v>211</v>
      </c>
      <c r="S28" s="115" t="s">
        <v>211</v>
      </c>
      <c r="T28" s="90" t="s">
        <v>211</v>
      </c>
      <c r="U28" s="88" t="s">
        <v>211</v>
      </c>
      <c r="V28" s="115" t="s">
        <v>211</v>
      </c>
      <c r="W28" s="93" t="s">
        <v>211</v>
      </c>
      <c r="X28" s="90" t="s">
        <v>211</v>
      </c>
      <c r="Y28" s="90" t="s">
        <v>211</v>
      </c>
      <c r="Z28" s="93" t="s">
        <v>211</v>
      </c>
      <c r="AA28" s="81" t="s">
        <v>211</v>
      </c>
      <c r="AB28" s="81" t="s">
        <v>211</v>
      </c>
      <c r="AC28" s="19" t="s">
        <v>211</v>
      </c>
    </row>
    <row r="29" spans="1:29" ht="16.5" thickBot="1" x14ac:dyDescent="0.3">
      <c r="A29" s="69" t="s">
        <v>193</v>
      </c>
      <c r="B29" s="240" t="s">
        <v>193</v>
      </c>
      <c r="C29" s="10" t="s">
        <v>193</v>
      </c>
      <c r="D29" s="10" t="s">
        <v>193</v>
      </c>
      <c r="E29" s="10" t="s">
        <v>193</v>
      </c>
      <c r="F29" s="118" t="s">
        <v>222</v>
      </c>
      <c r="G29" s="307">
        <f>SUM(G20:G28)</f>
        <v>101534.68611000001</v>
      </c>
      <c r="H29" s="307">
        <f>SUM(H20:H28)</f>
        <v>66040.763759999987</v>
      </c>
      <c r="I29" s="307">
        <f>SUM(I20:I28)</f>
        <v>226.17400000000001</v>
      </c>
      <c r="J29" s="307">
        <f t="shared" ref="J29:K29" si="4">SUM(J20:J28)</f>
        <v>230.17400000000001</v>
      </c>
      <c r="K29" s="307">
        <f t="shared" si="4"/>
        <v>8149.4811099999997</v>
      </c>
      <c r="L29" s="87">
        <f t="shared" ref="L29:AA29" si="5">SUM(L20:L28)</f>
        <v>2786.7268399999998</v>
      </c>
      <c r="M29" s="57">
        <f t="shared" si="5"/>
        <v>13833.56652</v>
      </c>
      <c r="N29" s="307">
        <f t="shared" si="5"/>
        <v>24856.948469999999</v>
      </c>
      <c r="O29" s="307">
        <f t="shared" si="5"/>
        <v>143</v>
      </c>
      <c r="P29" s="307">
        <f t="shared" si="5"/>
        <v>24999.948469999999</v>
      </c>
      <c r="Q29" s="128">
        <f t="shared" si="5"/>
        <v>10493.973880000001</v>
      </c>
      <c r="R29" s="170">
        <f t="shared" si="5"/>
        <v>0</v>
      </c>
      <c r="S29" s="86">
        <f t="shared" si="5"/>
        <v>0</v>
      </c>
      <c r="T29" s="87">
        <f t="shared" si="5"/>
        <v>0</v>
      </c>
      <c r="U29" s="170">
        <f t="shared" si="5"/>
        <v>0</v>
      </c>
      <c r="V29" s="86">
        <f t="shared" si="5"/>
        <v>0</v>
      </c>
      <c r="W29" s="87">
        <f t="shared" si="5"/>
        <v>0</v>
      </c>
      <c r="X29" s="87">
        <f t="shared" si="5"/>
        <v>0</v>
      </c>
      <c r="Y29" s="87">
        <f t="shared" si="5"/>
        <v>0</v>
      </c>
      <c r="Z29" s="87">
        <f t="shared" si="5"/>
        <v>0</v>
      </c>
      <c r="AA29" s="170">
        <f t="shared" si="5"/>
        <v>0</v>
      </c>
      <c r="AB29" s="11" t="s">
        <v>700</v>
      </c>
      <c r="AC29" s="10" t="s">
        <v>193</v>
      </c>
    </row>
    <row r="30" spans="1:29" ht="25.5" outlineLevel="1" x14ac:dyDescent="0.25">
      <c r="A30" s="1314" t="s">
        <v>636</v>
      </c>
      <c r="B30" s="1315" t="s">
        <v>27</v>
      </c>
      <c r="C30" s="24" t="s">
        <v>254</v>
      </c>
      <c r="D30" s="24" t="s">
        <v>8</v>
      </c>
      <c r="E30" s="1200" t="s">
        <v>8</v>
      </c>
      <c r="F30" s="495" t="s">
        <v>457</v>
      </c>
      <c r="G30" s="114">
        <f>219905+250000</f>
        <v>469905</v>
      </c>
      <c r="H30" s="1140">
        <v>164689.81994000007</v>
      </c>
      <c r="I30" s="1141">
        <v>3086.9769999999999</v>
      </c>
      <c r="J30" s="562">
        <v>25000</v>
      </c>
      <c r="K30" s="1266">
        <v>5000</v>
      </c>
      <c r="L30" s="1266">
        <v>5000</v>
      </c>
      <c r="M30" s="1316">
        <v>10215.180060000001</v>
      </c>
      <c r="N30" s="299">
        <v>45215.180060000013</v>
      </c>
      <c r="O30" s="316">
        <v>0</v>
      </c>
      <c r="P30" s="312">
        <f t="shared" ref="P30:P81" si="6">N30+O30</f>
        <v>45215.180060000013</v>
      </c>
      <c r="Q30" s="807">
        <v>40000</v>
      </c>
      <c r="R30" s="1025">
        <v>220000</v>
      </c>
      <c r="S30" s="1023">
        <v>0</v>
      </c>
      <c r="T30" s="1024">
        <v>0</v>
      </c>
      <c r="U30" s="1025">
        <v>0</v>
      </c>
      <c r="V30" s="1310">
        <v>0</v>
      </c>
      <c r="W30" s="1145">
        <v>0</v>
      </c>
      <c r="X30" s="1145">
        <v>0</v>
      </c>
      <c r="Y30" s="1145">
        <v>0</v>
      </c>
      <c r="Z30" s="433">
        <v>0</v>
      </c>
      <c r="AA30" s="434">
        <v>0</v>
      </c>
      <c r="AB30" s="29" t="s">
        <v>193</v>
      </c>
      <c r="AC30" s="811" t="s">
        <v>20</v>
      </c>
    </row>
    <row r="31" spans="1:29" ht="30" outlineLevel="1" x14ac:dyDescent="0.25">
      <c r="A31" s="1317" t="s">
        <v>637</v>
      </c>
      <c r="B31" s="1318" t="s">
        <v>28</v>
      </c>
      <c r="C31" s="26" t="s">
        <v>253</v>
      </c>
      <c r="D31" s="26" t="s">
        <v>8</v>
      </c>
      <c r="E31" s="455" t="s">
        <v>8</v>
      </c>
      <c r="F31" s="456" t="s">
        <v>29</v>
      </c>
      <c r="G31" s="39">
        <f>393116.17+102000+10000+18000+140000</f>
        <v>663116.16999999993</v>
      </c>
      <c r="H31" s="1251">
        <v>450329.51653999992</v>
      </c>
      <c r="I31" s="1252">
        <v>6043.8264200000003</v>
      </c>
      <c r="J31" s="448">
        <v>13072.46332000001</v>
      </c>
      <c r="K31" s="460">
        <v>5000</v>
      </c>
      <c r="L31" s="460">
        <v>15000</v>
      </c>
      <c r="M31" s="451">
        <v>39714.190139999999</v>
      </c>
      <c r="N31" s="317">
        <v>72786.653460000001</v>
      </c>
      <c r="O31" s="209">
        <v>0</v>
      </c>
      <c r="P31" s="313">
        <f t="shared" si="6"/>
        <v>72786.653460000001</v>
      </c>
      <c r="Q31" s="551">
        <v>70000</v>
      </c>
      <c r="R31" s="451">
        <v>70000</v>
      </c>
      <c r="S31" s="448">
        <v>0</v>
      </c>
      <c r="T31" s="460">
        <v>0</v>
      </c>
      <c r="U31" s="451">
        <v>0</v>
      </c>
      <c r="V31" s="737">
        <v>0</v>
      </c>
      <c r="W31" s="460">
        <v>0</v>
      </c>
      <c r="X31" s="450">
        <v>0</v>
      </c>
      <c r="Y31" s="450">
        <v>0</v>
      </c>
      <c r="Z31" s="449">
        <v>0</v>
      </c>
      <c r="AA31" s="451">
        <v>0</v>
      </c>
      <c r="AB31" s="29" t="s">
        <v>193</v>
      </c>
      <c r="AC31" s="26" t="s">
        <v>20</v>
      </c>
    </row>
    <row r="32" spans="1:29" ht="30" outlineLevel="1" x14ac:dyDescent="0.25">
      <c r="A32" s="458" t="s">
        <v>638</v>
      </c>
      <c r="B32" s="565" t="s">
        <v>197</v>
      </c>
      <c r="C32" s="566" t="s">
        <v>34</v>
      </c>
      <c r="D32" s="567" t="s">
        <v>30</v>
      </c>
      <c r="E32" s="567" t="s">
        <v>30</v>
      </c>
      <c r="F32" s="456" t="s">
        <v>35</v>
      </c>
      <c r="G32" s="261">
        <v>13323</v>
      </c>
      <c r="H32" s="1251">
        <v>0</v>
      </c>
      <c r="I32" s="1252">
        <v>0</v>
      </c>
      <c r="J32" s="577">
        <v>0</v>
      </c>
      <c r="K32" s="1037">
        <v>0</v>
      </c>
      <c r="L32" s="1037">
        <v>0</v>
      </c>
      <c r="M32" s="1038">
        <v>13323</v>
      </c>
      <c r="N32" s="299">
        <v>13323</v>
      </c>
      <c r="O32" s="316">
        <v>0</v>
      </c>
      <c r="P32" s="312">
        <f t="shared" si="6"/>
        <v>13323</v>
      </c>
      <c r="Q32" s="807">
        <v>0</v>
      </c>
      <c r="R32" s="1038">
        <v>0</v>
      </c>
      <c r="S32" s="577">
        <v>0</v>
      </c>
      <c r="T32" s="1037">
        <v>0</v>
      </c>
      <c r="U32" s="1038">
        <v>0</v>
      </c>
      <c r="V32" s="761">
        <v>0</v>
      </c>
      <c r="W32" s="433">
        <v>0</v>
      </c>
      <c r="X32" s="460">
        <v>0</v>
      </c>
      <c r="Y32" s="460">
        <v>0</v>
      </c>
      <c r="Z32" s="433">
        <v>0</v>
      </c>
      <c r="AA32" s="434">
        <v>0</v>
      </c>
      <c r="AB32" s="29" t="s">
        <v>193</v>
      </c>
      <c r="AC32" s="26" t="s">
        <v>10</v>
      </c>
    </row>
    <row r="33" spans="1:29" ht="25.5" outlineLevel="1" x14ac:dyDescent="0.25">
      <c r="A33" s="549" t="s">
        <v>639</v>
      </c>
      <c r="B33" s="454" t="s">
        <v>197</v>
      </c>
      <c r="C33" s="26" t="s">
        <v>34</v>
      </c>
      <c r="D33" s="455" t="s">
        <v>30</v>
      </c>
      <c r="E33" s="455" t="s">
        <v>30</v>
      </c>
      <c r="F33" s="456" t="s">
        <v>36</v>
      </c>
      <c r="G33" s="39">
        <v>350</v>
      </c>
      <c r="H33" s="1251">
        <v>0</v>
      </c>
      <c r="I33" s="1252">
        <v>0</v>
      </c>
      <c r="J33" s="448">
        <v>0</v>
      </c>
      <c r="K33" s="460">
        <v>0</v>
      </c>
      <c r="L33" s="460">
        <v>0</v>
      </c>
      <c r="M33" s="451">
        <v>0</v>
      </c>
      <c r="N33" s="317">
        <v>0</v>
      </c>
      <c r="O33" s="209">
        <v>0</v>
      </c>
      <c r="P33" s="313">
        <f t="shared" si="6"/>
        <v>0</v>
      </c>
      <c r="Q33" s="551">
        <v>0</v>
      </c>
      <c r="R33" s="701">
        <v>350</v>
      </c>
      <c r="S33" s="448">
        <v>0</v>
      </c>
      <c r="T33" s="460">
        <v>0</v>
      </c>
      <c r="U33" s="451">
        <v>0</v>
      </c>
      <c r="V33" s="737">
        <v>0</v>
      </c>
      <c r="W33" s="449">
        <v>0</v>
      </c>
      <c r="X33" s="450">
        <v>0</v>
      </c>
      <c r="Y33" s="450">
        <v>0</v>
      </c>
      <c r="Z33" s="449">
        <v>0</v>
      </c>
      <c r="AA33" s="451">
        <v>0</v>
      </c>
      <c r="AB33" s="1319" t="s">
        <v>193</v>
      </c>
      <c r="AC33" s="26" t="s">
        <v>14</v>
      </c>
    </row>
    <row r="34" spans="1:29" ht="26.25" outlineLevel="1" thickBot="1" x14ac:dyDescent="0.3">
      <c r="A34" s="1320" t="s">
        <v>640</v>
      </c>
      <c r="B34" s="1321" t="s">
        <v>203</v>
      </c>
      <c r="C34" s="30" t="s">
        <v>200</v>
      </c>
      <c r="D34" s="463" t="s">
        <v>30</v>
      </c>
      <c r="E34" s="463" t="s">
        <v>30</v>
      </c>
      <c r="F34" s="464" t="s">
        <v>37</v>
      </c>
      <c r="G34" s="1322">
        <v>10317.778849999999</v>
      </c>
      <c r="H34" s="1253">
        <v>10039.2469</v>
      </c>
      <c r="I34" s="1323">
        <v>0</v>
      </c>
      <c r="J34" s="472">
        <v>0</v>
      </c>
      <c r="K34" s="473">
        <v>0</v>
      </c>
      <c r="L34" s="473">
        <v>0</v>
      </c>
      <c r="M34" s="476">
        <v>0</v>
      </c>
      <c r="N34" s="346">
        <v>0</v>
      </c>
      <c r="O34" s="206">
        <v>0</v>
      </c>
      <c r="P34" s="181">
        <f t="shared" si="6"/>
        <v>0</v>
      </c>
      <c r="Q34" s="749">
        <v>278.53194999999999</v>
      </c>
      <c r="R34" s="476">
        <v>0</v>
      </c>
      <c r="S34" s="472">
        <v>0</v>
      </c>
      <c r="T34" s="473">
        <v>0</v>
      </c>
      <c r="U34" s="476">
        <v>0</v>
      </c>
      <c r="V34" s="750">
        <v>0</v>
      </c>
      <c r="W34" s="473">
        <v>0</v>
      </c>
      <c r="X34" s="473">
        <v>0</v>
      </c>
      <c r="Y34" s="473">
        <v>0</v>
      </c>
      <c r="Z34" s="475">
        <v>0</v>
      </c>
      <c r="AA34" s="476">
        <v>0</v>
      </c>
      <c r="AB34" s="32" t="s">
        <v>778</v>
      </c>
      <c r="AC34" s="30" t="s">
        <v>458</v>
      </c>
    </row>
    <row r="35" spans="1:29" ht="30" outlineLevel="1" x14ac:dyDescent="0.25">
      <c r="A35" s="1324" t="s">
        <v>187</v>
      </c>
      <c r="B35" s="1325" t="s">
        <v>350</v>
      </c>
      <c r="C35" s="24" t="s">
        <v>718</v>
      </c>
      <c r="D35" s="494" t="s">
        <v>30</v>
      </c>
      <c r="E35" s="494" t="s">
        <v>30</v>
      </c>
      <c r="F35" s="495" t="s">
        <v>213</v>
      </c>
      <c r="G35" s="113">
        <v>71855</v>
      </c>
      <c r="H35" s="1140">
        <v>32599.591049999999</v>
      </c>
      <c r="I35" s="1141">
        <v>0</v>
      </c>
      <c r="J35" s="432">
        <v>1211.489959999999</v>
      </c>
      <c r="K35" s="450">
        <v>0</v>
      </c>
      <c r="L35" s="450">
        <f>3000-3000</f>
        <v>0</v>
      </c>
      <c r="M35" s="434">
        <v>10000</v>
      </c>
      <c r="N35" s="299">
        <v>11211.489959999999</v>
      </c>
      <c r="O35" s="316">
        <v>0</v>
      </c>
      <c r="P35" s="312">
        <f t="shared" si="6"/>
        <v>11211.489959999999</v>
      </c>
      <c r="Q35" s="760">
        <v>28043.918989999998</v>
      </c>
      <c r="R35" s="434">
        <v>0</v>
      </c>
      <c r="S35" s="432">
        <v>0</v>
      </c>
      <c r="T35" s="450">
        <v>0</v>
      </c>
      <c r="U35" s="434">
        <v>0</v>
      </c>
      <c r="V35" s="761">
        <v>0</v>
      </c>
      <c r="W35" s="433">
        <v>0</v>
      </c>
      <c r="X35" s="450">
        <v>0</v>
      </c>
      <c r="Y35" s="450">
        <v>0</v>
      </c>
      <c r="Z35" s="433">
        <v>0</v>
      </c>
      <c r="AA35" s="434">
        <v>0</v>
      </c>
      <c r="AB35" s="25" t="s">
        <v>547</v>
      </c>
      <c r="AC35" s="24" t="s">
        <v>20</v>
      </c>
    </row>
    <row r="36" spans="1:29" ht="25.5" outlineLevel="1" x14ac:dyDescent="0.25">
      <c r="A36" s="1324" t="s">
        <v>188</v>
      </c>
      <c r="B36" s="1325" t="s">
        <v>324</v>
      </c>
      <c r="C36" s="26" t="s">
        <v>718</v>
      </c>
      <c r="D36" s="494" t="s">
        <v>30</v>
      </c>
      <c r="E36" s="494" t="s">
        <v>30</v>
      </c>
      <c r="F36" s="495" t="s">
        <v>180</v>
      </c>
      <c r="G36" s="113">
        <v>7500</v>
      </c>
      <c r="H36" s="1251">
        <v>6982.3255100000006</v>
      </c>
      <c r="I36" s="1252">
        <v>0</v>
      </c>
      <c r="J36" s="432">
        <v>0</v>
      </c>
      <c r="K36" s="450">
        <v>0</v>
      </c>
      <c r="L36" s="450">
        <v>517.67448999999999</v>
      </c>
      <c r="M36" s="434">
        <v>0</v>
      </c>
      <c r="N36" s="299">
        <v>517.67448999999999</v>
      </c>
      <c r="O36" s="316">
        <v>0</v>
      </c>
      <c r="P36" s="313">
        <f t="shared" si="6"/>
        <v>517.67448999999999</v>
      </c>
      <c r="Q36" s="760">
        <v>0</v>
      </c>
      <c r="R36" s="434">
        <v>0</v>
      </c>
      <c r="S36" s="432">
        <v>0</v>
      </c>
      <c r="T36" s="450">
        <v>0</v>
      </c>
      <c r="U36" s="434">
        <v>0</v>
      </c>
      <c r="V36" s="761">
        <v>0</v>
      </c>
      <c r="W36" s="433">
        <v>0</v>
      </c>
      <c r="X36" s="450">
        <v>0</v>
      </c>
      <c r="Y36" s="450">
        <v>0</v>
      </c>
      <c r="Z36" s="433">
        <v>0</v>
      </c>
      <c r="AA36" s="434">
        <v>0</v>
      </c>
      <c r="AB36" s="25" t="s">
        <v>493</v>
      </c>
      <c r="AC36" s="24" t="s">
        <v>458</v>
      </c>
    </row>
    <row r="37" spans="1:29" ht="26.25" outlineLevel="1" thickBot="1" x14ac:dyDescent="0.3">
      <c r="A37" s="461" t="s">
        <v>189</v>
      </c>
      <c r="B37" s="462" t="s">
        <v>197</v>
      </c>
      <c r="C37" s="30" t="s">
        <v>718</v>
      </c>
      <c r="D37" s="463" t="s">
        <v>30</v>
      </c>
      <c r="E37" s="463" t="s">
        <v>30</v>
      </c>
      <c r="F37" s="464" t="s">
        <v>181</v>
      </c>
      <c r="G37" s="465">
        <v>10599.735420000001</v>
      </c>
      <c r="H37" s="1253">
        <v>0</v>
      </c>
      <c r="I37" s="1323">
        <v>0</v>
      </c>
      <c r="J37" s="472">
        <v>0</v>
      </c>
      <c r="K37" s="473">
        <v>0</v>
      </c>
      <c r="L37" s="473">
        <v>0</v>
      </c>
      <c r="M37" s="476">
        <v>0</v>
      </c>
      <c r="N37" s="265">
        <v>0</v>
      </c>
      <c r="O37" s="206">
        <v>0</v>
      </c>
      <c r="P37" s="347">
        <f t="shared" si="6"/>
        <v>0</v>
      </c>
      <c r="Q37" s="749">
        <v>10599.735420000001</v>
      </c>
      <c r="R37" s="817">
        <v>0</v>
      </c>
      <c r="S37" s="487">
        <v>0</v>
      </c>
      <c r="T37" s="474">
        <v>0</v>
      </c>
      <c r="U37" s="476">
        <v>0</v>
      </c>
      <c r="V37" s="1185">
        <v>0</v>
      </c>
      <c r="W37" s="488">
        <v>0</v>
      </c>
      <c r="X37" s="473">
        <v>0</v>
      </c>
      <c r="Y37" s="473">
        <v>0</v>
      </c>
      <c r="Z37" s="488">
        <v>0</v>
      </c>
      <c r="AA37" s="489">
        <v>0</v>
      </c>
      <c r="AB37" s="339" t="s">
        <v>193</v>
      </c>
      <c r="AC37" s="30" t="s">
        <v>14</v>
      </c>
    </row>
    <row r="38" spans="1:29" ht="25.5" outlineLevel="1" x14ac:dyDescent="0.25">
      <c r="A38" s="492" t="s">
        <v>297</v>
      </c>
      <c r="B38" s="793" t="s">
        <v>197</v>
      </c>
      <c r="C38" s="24" t="s">
        <v>719</v>
      </c>
      <c r="D38" s="494" t="s">
        <v>30</v>
      </c>
      <c r="E38" s="455" t="s">
        <v>30</v>
      </c>
      <c r="F38" s="495" t="s">
        <v>291</v>
      </c>
      <c r="G38" s="114">
        <v>16180</v>
      </c>
      <c r="H38" s="1140">
        <v>0</v>
      </c>
      <c r="I38" s="1141">
        <v>0</v>
      </c>
      <c r="J38" s="432">
        <v>0</v>
      </c>
      <c r="K38" s="450">
        <v>0</v>
      </c>
      <c r="L38" s="450">
        <v>0</v>
      </c>
      <c r="M38" s="434">
        <v>0</v>
      </c>
      <c r="N38" s="175">
        <v>0</v>
      </c>
      <c r="O38" s="316">
        <v>0</v>
      </c>
      <c r="P38" s="312">
        <f t="shared" si="6"/>
        <v>0</v>
      </c>
      <c r="Q38" s="822">
        <v>16180</v>
      </c>
      <c r="R38" s="760">
        <v>0</v>
      </c>
      <c r="S38" s="432">
        <v>0</v>
      </c>
      <c r="T38" s="450">
        <v>0</v>
      </c>
      <c r="U38" s="823">
        <v>0</v>
      </c>
      <c r="V38" s="1310">
        <v>0</v>
      </c>
      <c r="W38" s="563">
        <v>0</v>
      </c>
      <c r="X38" s="1145">
        <v>0</v>
      </c>
      <c r="Y38" s="1145">
        <v>0</v>
      </c>
      <c r="Z38" s="433">
        <v>0</v>
      </c>
      <c r="AA38" s="434">
        <v>0</v>
      </c>
      <c r="AB38" s="25" t="s">
        <v>193</v>
      </c>
      <c r="AC38" s="24" t="s">
        <v>10</v>
      </c>
    </row>
    <row r="39" spans="1:29" ht="45" outlineLevel="1" x14ac:dyDescent="0.25">
      <c r="A39" s="549" t="s">
        <v>298</v>
      </c>
      <c r="B39" s="454" t="s">
        <v>452</v>
      </c>
      <c r="C39" s="24" t="s">
        <v>720</v>
      </c>
      <c r="D39" s="455" t="s">
        <v>30</v>
      </c>
      <c r="E39" s="455" t="s">
        <v>30</v>
      </c>
      <c r="F39" s="456" t="s">
        <v>292</v>
      </c>
      <c r="G39" s="39">
        <v>37406</v>
      </c>
      <c r="H39" s="1140">
        <v>35595.609339999995</v>
      </c>
      <c r="I39" s="1141">
        <v>0</v>
      </c>
      <c r="J39" s="448">
        <v>0</v>
      </c>
      <c r="K39" s="449">
        <v>0</v>
      </c>
      <c r="L39" s="460">
        <v>0</v>
      </c>
      <c r="M39" s="1156">
        <f>900+0.39066</f>
        <v>900.39066000000003</v>
      </c>
      <c r="N39" s="175">
        <v>900.39066000000003</v>
      </c>
      <c r="O39" s="316">
        <v>0</v>
      </c>
      <c r="P39" s="313">
        <f t="shared" si="6"/>
        <v>900.39066000000003</v>
      </c>
      <c r="Q39" s="551">
        <v>910</v>
      </c>
      <c r="R39" s="551">
        <v>0</v>
      </c>
      <c r="S39" s="448">
        <v>0</v>
      </c>
      <c r="T39" s="460">
        <v>0</v>
      </c>
      <c r="U39" s="451">
        <v>0</v>
      </c>
      <c r="V39" s="737">
        <v>0</v>
      </c>
      <c r="W39" s="449">
        <v>0</v>
      </c>
      <c r="X39" s="450">
        <v>0</v>
      </c>
      <c r="Y39" s="450">
        <v>0</v>
      </c>
      <c r="Z39" s="449">
        <v>0</v>
      </c>
      <c r="AA39" s="451">
        <v>0</v>
      </c>
      <c r="AB39" s="29" t="s">
        <v>494</v>
      </c>
      <c r="AC39" s="26" t="s">
        <v>20</v>
      </c>
    </row>
    <row r="40" spans="1:29" ht="30" outlineLevel="1" x14ac:dyDescent="0.25">
      <c r="A40" s="549" t="s">
        <v>299</v>
      </c>
      <c r="B40" s="454" t="s">
        <v>451</v>
      </c>
      <c r="C40" s="24" t="s">
        <v>720</v>
      </c>
      <c r="D40" s="455" t="s">
        <v>30</v>
      </c>
      <c r="E40" s="455" t="s">
        <v>30</v>
      </c>
      <c r="F40" s="456" t="s">
        <v>293</v>
      </c>
      <c r="G40" s="39">
        <f>83000+5000+1544</f>
        <v>89544</v>
      </c>
      <c r="H40" s="1140">
        <v>18480.697840000001</v>
      </c>
      <c r="I40" s="1141">
        <v>0</v>
      </c>
      <c r="J40" s="448">
        <v>13.302159999999276</v>
      </c>
      <c r="K40" s="460">
        <v>20000</v>
      </c>
      <c r="L40" s="460">
        <v>20000</v>
      </c>
      <c r="M40" s="451">
        <v>20000</v>
      </c>
      <c r="N40" s="175">
        <v>20013.302159999999</v>
      </c>
      <c r="O40" s="316">
        <v>40000</v>
      </c>
      <c r="P40" s="313">
        <f t="shared" si="6"/>
        <v>60013.302159999999</v>
      </c>
      <c r="Q40" s="551">
        <v>11050</v>
      </c>
      <c r="R40" s="551">
        <v>0</v>
      </c>
      <c r="S40" s="448">
        <v>0</v>
      </c>
      <c r="T40" s="460">
        <v>0</v>
      </c>
      <c r="U40" s="451">
        <v>0</v>
      </c>
      <c r="V40" s="761">
        <v>0</v>
      </c>
      <c r="W40" s="433">
        <v>0</v>
      </c>
      <c r="X40" s="450">
        <v>0</v>
      </c>
      <c r="Y40" s="450">
        <v>0</v>
      </c>
      <c r="Z40" s="433">
        <v>0</v>
      </c>
      <c r="AA40" s="434">
        <v>0</v>
      </c>
      <c r="AB40" s="25" t="s">
        <v>193</v>
      </c>
      <c r="AC40" s="26" t="s">
        <v>20</v>
      </c>
    </row>
    <row r="41" spans="1:29" ht="25.5" outlineLevel="1" x14ac:dyDescent="0.25">
      <c r="A41" s="549" t="s">
        <v>300</v>
      </c>
      <c r="B41" s="454" t="s">
        <v>481</v>
      </c>
      <c r="C41" s="24" t="s">
        <v>720</v>
      </c>
      <c r="D41" s="455" t="s">
        <v>30</v>
      </c>
      <c r="E41" s="455" t="s">
        <v>30</v>
      </c>
      <c r="F41" s="456" t="s">
        <v>327</v>
      </c>
      <c r="G41" s="39">
        <v>21000</v>
      </c>
      <c r="H41" s="1140">
        <v>5072.9997599999997</v>
      </c>
      <c r="I41" s="1141">
        <v>0</v>
      </c>
      <c r="J41" s="448">
        <v>2000</v>
      </c>
      <c r="K41" s="460">
        <f>11927+0.00024</f>
        <v>11927.000239999999</v>
      </c>
      <c r="L41" s="460">
        <v>2000</v>
      </c>
      <c r="M41" s="451">
        <v>0</v>
      </c>
      <c r="N41" s="175">
        <v>15927.000239999999</v>
      </c>
      <c r="O41" s="316">
        <v>0</v>
      </c>
      <c r="P41" s="313">
        <f t="shared" si="6"/>
        <v>15927.000239999999</v>
      </c>
      <c r="Q41" s="551">
        <v>0</v>
      </c>
      <c r="R41" s="551">
        <v>0</v>
      </c>
      <c r="S41" s="448">
        <v>0</v>
      </c>
      <c r="T41" s="460">
        <v>0</v>
      </c>
      <c r="U41" s="451">
        <v>0</v>
      </c>
      <c r="V41" s="737">
        <v>0</v>
      </c>
      <c r="W41" s="449">
        <v>0</v>
      </c>
      <c r="X41" s="450">
        <v>0</v>
      </c>
      <c r="Y41" s="450">
        <v>0</v>
      </c>
      <c r="Z41" s="433">
        <v>0</v>
      </c>
      <c r="AA41" s="434">
        <v>0</v>
      </c>
      <c r="AB41" s="25" t="s">
        <v>193</v>
      </c>
      <c r="AC41" s="26" t="s">
        <v>20</v>
      </c>
    </row>
    <row r="42" spans="1:29" ht="25.5" outlineLevel="1" x14ac:dyDescent="0.25">
      <c r="A42" s="549" t="s">
        <v>301</v>
      </c>
      <c r="B42" s="454" t="s">
        <v>197</v>
      </c>
      <c r="C42" s="24" t="s">
        <v>720</v>
      </c>
      <c r="D42" s="455" t="s">
        <v>30</v>
      </c>
      <c r="E42" s="455" t="s">
        <v>30</v>
      </c>
      <c r="F42" s="456" t="s">
        <v>294</v>
      </c>
      <c r="G42" s="39">
        <v>12100</v>
      </c>
      <c r="H42" s="1251">
        <v>0</v>
      </c>
      <c r="I42" s="1252">
        <v>0</v>
      </c>
      <c r="J42" s="448">
        <v>0</v>
      </c>
      <c r="K42" s="460">
        <v>0</v>
      </c>
      <c r="L42" s="460">
        <v>0</v>
      </c>
      <c r="M42" s="451">
        <v>12100</v>
      </c>
      <c r="N42" s="175">
        <v>12100</v>
      </c>
      <c r="O42" s="316">
        <v>0</v>
      </c>
      <c r="P42" s="313">
        <f t="shared" si="6"/>
        <v>12100</v>
      </c>
      <c r="Q42" s="551">
        <v>0</v>
      </c>
      <c r="R42" s="551">
        <v>0</v>
      </c>
      <c r="S42" s="448">
        <v>0</v>
      </c>
      <c r="T42" s="460">
        <v>0</v>
      </c>
      <c r="U42" s="451">
        <v>0</v>
      </c>
      <c r="V42" s="761">
        <v>0</v>
      </c>
      <c r="W42" s="433">
        <v>0</v>
      </c>
      <c r="X42" s="450">
        <v>0</v>
      </c>
      <c r="Y42" s="450">
        <v>0</v>
      </c>
      <c r="Z42" s="433">
        <v>0</v>
      </c>
      <c r="AA42" s="434">
        <v>0</v>
      </c>
      <c r="AB42" s="25" t="s">
        <v>193</v>
      </c>
      <c r="AC42" s="26" t="s">
        <v>10</v>
      </c>
    </row>
    <row r="43" spans="1:29" ht="25.5" outlineLevel="1" x14ac:dyDescent="0.25">
      <c r="A43" s="549" t="s">
        <v>302</v>
      </c>
      <c r="B43" s="454" t="s">
        <v>197</v>
      </c>
      <c r="C43" s="24" t="s">
        <v>352</v>
      </c>
      <c r="D43" s="455" t="s">
        <v>30</v>
      </c>
      <c r="E43" s="455" t="s">
        <v>30</v>
      </c>
      <c r="F43" s="456" t="s">
        <v>295</v>
      </c>
      <c r="G43" s="39">
        <v>6338.78</v>
      </c>
      <c r="H43" s="1140">
        <v>0</v>
      </c>
      <c r="I43" s="1141">
        <v>0</v>
      </c>
      <c r="J43" s="448">
        <v>0</v>
      </c>
      <c r="K43" s="460">
        <v>0</v>
      </c>
      <c r="L43" s="460">
        <v>0</v>
      </c>
      <c r="M43" s="1326">
        <v>6338.78</v>
      </c>
      <c r="N43" s="175">
        <v>6338.78</v>
      </c>
      <c r="O43" s="316">
        <v>0</v>
      </c>
      <c r="P43" s="313">
        <f t="shared" si="6"/>
        <v>6338.78</v>
      </c>
      <c r="Q43" s="1327">
        <v>0</v>
      </c>
      <c r="R43" s="1327">
        <v>0</v>
      </c>
      <c r="S43" s="448">
        <v>0</v>
      </c>
      <c r="T43" s="460">
        <v>0</v>
      </c>
      <c r="U43" s="451">
        <v>0</v>
      </c>
      <c r="V43" s="737">
        <v>0</v>
      </c>
      <c r="W43" s="449">
        <v>0</v>
      </c>
      <c r="X43" s="450">
        <v>0</v>
      </c>
      <c r="Y43" s="450">
        <v>0</v>
      </c>
      <c r="Z43" s="449">
        <v>0</v>
      </c>
      <c r="AA43" s="451">
        <v>0</v>
      </c>
      <c r="AB43" s="29" t="s">
        <v>193</v>
      </c>
      <c r="AC43" s="26" t="s">
        <v>14</v>
      </c>
    </row>
    <row r="44" spans="1:29" ht="26.25" outlineLevel="1" thickBot="1" x14ac:dyDescent="0.3">
      <c r="A44" s="461" t="s">
        <v>303</v>
      </c>
      <c r="B44" s="462" t="s">
        <v>691</v>
      </c>
      <c r="C44" s="30" t="s">
        <v>352</v>
      </c>
      <c r="D44" s="463" t="s">
        <v>30</v>
      </c>
      <c r="E44" s="463" t="s">
        <v>30</v>
      </c>
      <c r="F44" s="464" t="s">
        <v>296</v>
      </c>
      <c r="G44" s="1322">
        <v>55161</v>
      </c>
      <c r="H44" s="1253">
        <v>5161</v>
      </c>
      <c r="I44" s="1254">
        <v>2830.5439799999999</v>
      </c>
      <c r="J44" s="472">
        <v>2831</v>
      </c>
      <c r="K44" s="473">
        <v>19426</v>
      </c>
      <c r="L44" s="473">
        <v>6643</v>
      </c>
      <c r="M44" s="476">
        <v>21100</v>
      </c>
      <c r="N44" s="143">
        <v>50000</v>
      </c>
      <c r="O44" s="207">
        <v>0</v>
      </c>
      <c r="P44" s="181">
        <f t="shared" si="6"/>
        <v>50000</v>
      </c>
      <c r="Q44" s="749">
        <v>0</v>
      </c>
      <c r="R44" s="749">
        <v>0</v>
      </c>
      <c r="S44" s="472">
        <v>0</v>
      </c>
      <c r="T44" s="473">
        <v>0</v>
      </c>
      <c r="U44" s="476">
        <v>0</v>
      </c>
      <c r="V44" s="750">
        <v>55161</v>
      </c>
      <c r="W44" s="475">
        <v>5161</v>
      </c>
      <c r="X44" s="473">
        <v>2830.5439799999999</v>
      </c>
      <c r="Y44" s="473">
        <v>50000</v>
      </c>
      <c r="Z44" s="475">
        <v>0</v>
      </c>
      <c r="AA44" s="476">
        <v>0</v>
      </c>
      <c r="AB44" s="30" t="s">
        <v>193</v>
      </c>
      <c r="AC44" s="30" t="s">
        <v>20</v>
      </c>
    </row>
    <row r="45" spans="1:29" ht="25.5" outlineLevel="1" x14ac:dyDescent="0.25">
      <c r="A45" s="492" t="s">
        <v>306</v>
      </c>
      <c r="B45" s="793" t="s">
        <v>381</v>
      </c>
      <c r="C45" s="24" t="s">
        <v>349</v>
      </c>
      <c r="D45" s="494" t="s">
        <v>30</v>
      </c>
      <c r="E45" s="494" t="s">
        <v>30</v>
      </c>
      <c r="F45" s="495" t="s">
        <v>307</v>
      </c>
      <c r="G45" s="114">
        <v>52400</v>
      </c>
      <c r="H45" s="1140">
        <v>913.55</v>
      </c>
      <c r="I45" s="1141">
        <v>0</v>
      </c>
      <c r="J45" s="562">
        <v>0</v>
      </c>
      <c r="K45" s="1145">
        <v>0</v>
      </c>
      <c r="L45" s="1145">
        <v>0</v>
      </c>
      <c r="M45" s="1144">
        <v>0</v>
      </c>
      <c r="N45" s="198">
        <v>0</v>
      </c>
      <c r="O45" s="316">
        <v>0</v>
      </c>
      <c r="P45" s="312">
        <f t="shared" si="6"/>
        <v>0</v>
      </c>
      <c r="Q45" s="1328">
        <v>1486.45</v>
      </c>
      <c r="R45" s="1328">
        <v>50000</v>
      </c>
      <c r="S45" s="432">
        <v>0</v>
      </c>
      <c r="T45" s="450">
        <v>0</v>
      </c>
      <c r="U45" s="434">
        <v>0</v>
      </c>
      <c r="V45" s="761">
        <v>0</v>
      </c>
      <c r="W45" s="450">
        <v>0</v>
      </c>
      <c r="X45" s="450">
        <v>0</v>
      </c>
      <c r="Y45" s="450">
        <v>0</v>
      </c>
      <c r="Z45" s="433">
        <v>0</v>
      </c>
      <c r="AA45" s="434">
        <v>0</v>
      </c>
      <c r="AB45" s="25" t="s">
        <v>779</v>
      </c>
      <c r="AC45" s="24" t="s">
        <v>14</v>
      </c>
    </row>
    <row r="46" spans="1:29" ht="25.5" outlineLevel="1" x14ac:dyDescent="0.25">
      <c r="A46" s="549" t="s">
        <v>308</v>
      </c>
      <c r="B46" s="454" t="s">
        <v>543</v>
      </c>
      <c r="C46" s="26" t="s">
        <v>349</v>
      </c>
      <c r="D46" s="455" t="s">
        <v>30</v>
      </c>
      <c r="E46" s="455" t="s">
        <v>30</v>
      </c>
      <c r="F46" s="456" t="s">
        <v>357</v>
      </c>
      <c r="G46" s="39">
        <v>9043</v>
      </c>
      <c r="H46" s="1140">
        <v>6542.3272200000001</v>
      </c>
      <c r="I46" s="1141">
        <v>0</v>
      </c>
      <c r="J46" s="448">
        <v>0</v>
      </c>
      <c r="K46" s="449">
        <v>2500.6727799999999</v>
      </c>
      <c r="L46" s="460">
        <v>0</v>
      </c>
      <c r="M46" s="1150">
        <v>0</v>
      </c>
      <c r="N46" s="299">
        <v>2500.6727799999999</v>
      </c>
      <c r="O46" s="316">
        <v>0</v>
      </c>
      <c r="P46" s="313">
        <f t="shared" si="6"/>
        <v>2500.6727799999999</v>
      </c>
      <c r="Q46" s="700">
        <v>0</v>
      </c>
      <c r="R46" s="551">
        <v>0</v>
      </c>
      <c r="S46" s="448">
        <v>0</v>
      </c>
      <c r="T46" s="460">
        <v>0</v>
      </c>
      <c r="U46" s="451">
        <v>0</v>
      </c>
      <c r="V46" s="761">
        <v>0</v>
      </c>
      <c r="W46" s="433">
        <v>0</v>
      </c>
      <c r="X46" s="450">
        <v>0</v>
      </c>
      <c r="Y46" s="450">
        <v>0</v>
      </c>
      <c r="Z46" s="433">
        <v>0</v>
      </c>
      <c r="AA46" s="434">
        <v>0</v>
      </c>
      <c r="AB46" s="25" t="s">
        <v>495</v>
      </c>
      <c r="AC46" s="26" t="s">
        <v>20</v>
      </c>
    </row>
    <row r="47" spans="1:29" ht="25.5" outlineLevel="1" x14ac:dyDescent="0.25">
      <c r="A47" s="1317" t="s">
        <v>309</v>
      </c>
      <c r="B47" s="1318" t="s">
        <v>351</v>
      </c>
      <c r="C47" s="26" t="s">
        <v>349</v>
      </c>
      <c r="D47" s="455" t="s">
        <v>30</v>
      </c>
      <c r="E47" s="455" t="s">
        <v>30</v>
      </c>
      <c r="F47" s="456" t="s">
        <v>310</v>
      </c>
      <c r="G47" s="39">
        <f>4631.13222+130</f>
        <v>4761.1322200000004</v>
      </c>
      <c r="H47" s="1140">
        <v>4631.1322200000004</v>
      </c>
      <c r="I47" s="1141">
        <v>0</v>
      </c>
      <c r="J47" s="448">
        <v>0</v>
      </c>
      <c r="K47" s="460">
        <v>70</v>
      </c>
      <c r="L47" s="460">
        <v>0</v>
      </c>
      <c r="M47" s="701">
        <v>60</v>
      </c>
      <c r="N47" s="299">
        <v>130</v>
      </c>
      <c r="O47" s="316">
        <v>0</v>
      </c>
      <c r="P47" s="313">
        <f t="shared" si="6"/>
        <v>130</v>
      </c>
      <c r="Q47" s="700">
        <v>0</v>
      </c>
      <c r="R47" s="551">
        <v>0</v>
      </c>
      <c r="S47" s="448">
        <v>0</v>
      </c>
      <c r="T47" s="460">
        <v>0</v>
      </c>
      <c r="U47" s="451">
        <v>0</v>
      </c>
      <c r="V47" s="737">
        <v>0</v>
      </c>
      <c r="W47" s="449">
        <v>0</v>
      </c>
      <c r="X47" s="450">
        <v>0</v>
      </c>
      <c r="Y47" s="450">
        <v>0</v>
      </c>
      <c r="Z47" s="460">
        <v>0</v>
      </c>
      <c r="AA47" s="451">
        <v>0</v>
      </c>
      <c r="AB47" s="29" t="s">
        <v>193</v>
      </c>
      <c r="AC47" s="26" t="s">
        <v>20</v>
      </c>
    </row>
    <row r="48" spans="1:29" ht="26.25" outlineLevel="1" thickBot="1" x14ac:dyDescent="0.3">
      <c r="A48" s="461" t="s">
        <v>311</v>
      </c>
      <c r="B48" s="462" t="s">
        <v>197</v>
      </c>
      <c r="C48" s="30" t="s">
        <v>349</v>
      </c>
      <c r="D48" s="463" t="s">
        <v>30</v>
      </c>
      <c r="E48" s="463" t="s">
        <v>30</v>
      </c>
      <c r="F48" s="464" t="s">
        <v>312</v>
      </c>
      <c r="G48" s="1322">
        <v>3541.7646199999999</v>
      </c>
      <c r="H48" s="1166">
        <v>0</v>
      </c>
      <c r="I48" s="1323">
        <v>0</v>
      </c>
      <c r="J48" s="472">
        <v>0</v>
      </c>
      <c r="K48" s="474">
        <v>0</v>
      </c>
      <c r="L48" s="473">
        <v>0</v>
      </c>
      <c r="M48" s="1161">
        <v>3541.7646199999999</v>
      </c>
      <c r="N48" s="346">
        <v>3541.7646199999999</v>
      </c>
      <c r="O48" s="206">
        <v>0</v>
      </c>
      <c r="P48" s="181">
        <f t="shared" si="6"/>
        <v>3541.7646199999999</v>
      </c>
      <c r="Q48" s="1339">
        <v>0</v>
      </c>
      <c r="R48" s="749">
        <v>0</v>
      </c>
      <c r="S48" s="472">
        <v>0</v>
      </c>
      <c r="T48" s="473">
        <v>0</v>
      </c>
      <c r="U48" s="476">
        <v>0</v>
      </c>
      <c r="V48" s="1185">
        <v>0</v>
      </c>
      <c r="W48" s="488">
        <v>0</v>
      </c>
      <c r="X48" s="474">
        <v>0</v>
      </c>
      <c r="Y48" s="474">
        <v>0</v>
      </c>
      <c r="Z48" s="488">
        <v>0</v>
      </c>
      <c r="AA48" s="489">
        <v>0</v>
      </c>
      <c r="AB48" s="339" t="s">
        <v>858</v>
      </c>
      <c r="AC48" s="30" t="s">
        <v>10</v>
      </c>
    </row>
    <row r="49" spans="1:29" ht="25.5" outlineLevel="1" x14ac:dyDescent="0.25">
      <c r="A49" s="492" t="s">
        <v>328</v>
      </c>
      <c r="B49" s="793" t="s">
        <v>544</v>
      </c>
      <c r="C49" s="24" t="s">
        <v>353</v>
      </c>
      <c r="D49" s="494" t="s">
        <v>30</v>
      </c>
      <c r="E49" s="494" t="s">
        <v>30</v>
      </c>
      <c r="F49" s="495" t="s">
        <v>329</v>
      </c>
      <c r="G49" s="113">
        <v>200000</v>
      </c>
      <c r="H49" s="1140">
        <v>2023.3123900000001</v>
      </c>
      <c r="I49" s="1141">
        <v>157.905</v>
      </c>
      <c r="J49" s="432">
        <v>1000</v>
      </c>
      <c r="K49" s="450">
        <v>0</v>
      </c>
      <c r="L49" s="450">
        <v>5000</v>
      </c>
      <c r="M49" s="564">
        <v>8000</v>
      </c>
      <c r="N49" s="299">
        <v>10000</v>
      </c>
      <c r="O49" s="316">
        <v>4000</v>
      </c>
      <c r="P49" s="312">
        <f t="shared" si="6"/>
        <v>14000</v>
      </c>
      <c r="Q49" s="1328">
        <v>25000</v>
      </c>
      <c r="R49" s="1328">
        <v>158976.68760999999</v>
      </c>
      <c r="S49" s="432">
        <v>0</v>
      </c>
      <c r="T49" s="450">
        <v>0</v>
      </c>
      <c r="U49" s="434">
        <v>0</v>
      </c>
      <c r="V49" s="761">
        <v>0</v>
      </c>
      <c r="W49" s="450">
        <v>0</v>
      </c>
      <c r="X49" s="450">
        <v>0</v>
      </c>
      <c r="Y49" s="450">
        <v>0</v>
      </c>
      <c r="Z49" s="433">
        <v>0</v>
      </c>
      <c r="AA49" s="434">
        <v>0</v>
      </c>
      <c r="AB49" s="25" t="s">
        <v>193</v>
      </c>
      <c r="AC49" s="24" t="s">
        <v>20</v>
      </c>
    </row>
    <row r="50" spans="1:29" ht="25.5" outlineLevel="1" x14ac:dyDescent="0.25">
      <c r="A50" s="549" t="s">
        <v>330</v>
      </c>
      <c r="B50" s="454" t="s">
        <v>197</v>
      </c>
      <c r="C50" s="26" t="s">
        <v>353</v>
      </c>
      <c r="D50" s="455" t="s">
        <v>30</v>
      </c>
      <c r="E50" s="455" t="s">
        <v>30</v>
      </c>
      <c r="F50" s="993" t="s">
        <v>721</v>
      </c>
      <c r="G50" s="27">
        <v>20000</v>
      </c>
      <c r="H50" s="1140">
        <v>0</v>
      </c>
      <c r="I50" s="1141">
        <v>0</v>
      </c>
      <c r="J50" s="448">
        <v>0</v>
      </c>
      <c r="K50" s="460">
        <v>0</v>
      </c>
      <c r="L50" s="460">
        <v>0</v>
      </c>
      <c r="M50" s="701">
        <v>7500</v>
      </c>
      <c r="N50" s="299">
        <v>7500</v>
      </c>
      <c r="O50" s="316">
        <v>0</v>
      </c>
      <c r="P50" s="313">
        <f t="shared" si="6"/>
        <v>7500</v>
      </c>
      <c r="Q50" s="700">
        <v>7500</v>
      </c>
      <c r="R50" s="700">
        <v>5000</v>
      </c>
      <c r="S50" s="448">
        <v>0</v>
      </c>
      <c r="T50" s="460">
        <v>0</v>
      </c>
      <c r="U50" s="451">
        <v>0</v>
      </c>
      <c r="V50" s="761">
        <v>0</v>
      </c>
      <c r="W50" s="450">
        <v>0</v>
      </c>
      <c r="X50" s="450">
        <v>0</v>
      </c>
      <c r="Y50" s="450">
        <v>0</v>
      </c>
      <c r="Z50" s="433">
        <v>0</v>
      </c>
      <c r="AA50" s="434">
        <v>0</v>
      </c>
      <c r="AB50" s="25" t="s">
        <v>193</v>
      </c>
      <c r="AC50" s="26" t="s">
        <v>14</v>
      </c>
    </row>
    <row r="51" spans="1:29" ht="25.5" outlineLevel="1" x14ac:dyDescent="0.25">
      <c r="A51" s="549" t="s">
        <v>331</v>
      </c>
      <c r="B51" s="454" t="s">
        <v>683</v>
      </c>
      <c r="C51" s="26" t="s">
        <v>353</v>
      </c>
      <c r="D51" s="455" t="s">
        <v>30</v>
      </c>
      <c r="E51" s="455" t="s">
        <v>30</v>
      </c>
      <c r="F51" s="456" t="s">
        <v>354</v>
      </c>
      <c r="G51" s="27">
        <v>110000</v>
      </c>
      <c r="H51" s="1140">
        <v>1041.7688599999999</v>
      </c>
      <c r="I51" s="1141">
        <v>0</v>
      </c>
      <c r="J51" s="432">
        <v>0</v>
      </c>
      <c r="K51" s="450">
        <v>0</v>
      </c>
      <c r="L51" s="450">
        <v>10000</v>
      </c>
      <c r="M51" s="564">
        <v>2958.2311399999999</v>
      </c>
      <c r="N51" s="299">
        <v>2958.2311399999999</v>
      </c>
      <c r="O51" s="316">
        <v>10000</v>
      </c>
      <c r="P51" s="313">
        <f t="shared" si="6"/>
        <v>12958.23114</v>
      </c>
      <c r="Q51" s="1329">
        <v>10000</v>
      </c>
      <c r="R51" s="1329">
        <v>86000</v>
      </c>
      <c r="S51" s="448">
        <v>0</v>
      </c>
      <c r="T51" s="460">
        <v>0</v>
      </c>
      <c r="U51" s="451">
        <v>0</v>
      </c>
      <c r="V51" s="761">
        <v>0</v>
      </c>
      <c r="W51" s="450">
        <v>0</v>
      </c>
      <c r="X51" s="450">
        <v>0</v>
      </c>
      <c r="Y51" s="450">
        <v>0</v>
      </c>
      <c r="Z51" s="433">
        <v>0</v>
      </c>
      <c r="AA51" s="434">
        <v>0</v>
      </c>
      <c r="AB51" s="25" t="s">
        <v>780</v>
      </c>
      <c r="AC51" s="26" t="s">
        <v>20</v>
      </c>
    </row>
    <row r="52" spans="1:29" ht="25.5" outlineLevel="1" x14ac:dyDescent="0.25">
      <c r="A52" s="549" t="s">
        <v>332</v>
      </c>
      <c r="B52" s="454" t="s">
        <v>419</v>
      </c>
      <c r="C52" s="26" t="s">
        <v>353</v>
      </c>
      <c r="D52" s="455" t="s">
        <v>30</v>
      </c>
      <c r="E52" s="455" t="s">
        <v>30</v>
      </c>
      <c r="F52" s="456" t="s">
        <v>333</v>
      </c>
      <c r="G52" s="27">
        <v>54000</v>
      </c>
      <c r="H52" s="1140">
        <v>8748.482</v>
      </c>
      <c r="I52" s="1141">
        <v>0</v>
      </c>
      <c r="J52" s="448">
        <v>0</v>
      </c>
      <c r="K52" s="460">
        <v>0</v>
      </c>
      <c r="L52" s="460">
        <v>0</v>
      </c>
      <c r="M52" s="701">
        <v>2000.0229999999999</v>
      </c>
      <c r="N52" s="299">
        <v>2000.0229999999992</v>
      </c>
      <c r="O52" s="316">
        <v>0</v>
      </c>
      <c r="P52" s="313">
        <f t="shared" si="6"/>
        <v>2000.0229999999992</v>
      </c>
      <c r="Q52" s="1329">
        <v>6000</v>
      </c>
      <c r="R52" s="1329">
        <v>37251.495000000003</v>
      </c>
      <c r="S52" s="448">
        <v>0</v>
      </c>
      <c r="T52" s="460">
        <v>0</v>
      </c>
      <c r="U52" s="451">
        <v>0</v>
      </c>
      <c r="V52" s="761">
        <v>0</v>
      </c>
      <c r="W52" s="450">
        <v>0</v>
      </c>
      <c r="X52" s="450">
        <v>0</v>
      </c>
      <c r="Y52" s="450">
        <v>0</v>
      </c>
      <c r="Z52" s="433">
        <v>0</v>
      </c>
      <c r="AA52" s="434">
        <v>0</v>
      </c>
      <c r="AB52" s="25" t="s">
        <v>781</v>
      </c>
      <c r="AC52" s="566" t="s">
        <v>20</v>
      </c>
    </row>
    <row r="53" spans="1:29" ht="25.5" outlineLevel="1" x14ac:dyDescent="0.25">
      <c r="A53" s="549" t="s">
        <v>334</v>
      </c>
      <c r="B53" s="454" t="s">
        <v>482</v>
      </c>
      <c r="C53" s="26" t="s">
        <v>353</v>
      </c>
      <c r="D53" s="455" t="s">
        <v>30</v>
      </c>
      <c r="E53" s="455" t="s">
        <v>30</v>
      </c>
      <c r="F53" s="456" t="s">
        <v>506</v>
      </c>
      <c r="G53" s="27">
        <v>1819</v>
      </c>
      <c r="H53" s="1140">
        <v>1646.0530000000001</v>
      </c>
      <c r="I53" s="1252">
        <v>0</v>
      </c>
      <c r="J53" s="448">
        <v>0</v>
      </c>
      <c r="K53" s="449">
        <v>0</v>
      </c>
      <c r="L53" s="460">
        <v>0</v>
      </c>
      <c r="M53" s="1150">
        <v>0</v>
      </c>
      <c r="N53" s="299">
        <v>0</v>
      </c>
      <c r="O53" s="316">
        <v>0</v>
      </c>
      <c r="P53" s="313">
        <f t="shared" si="6"/>
        <v>0</v>
      </c>
      <c r="Q53" s="1329">
        <v>172.94699999999989</v>
      </c>
      <c r="R53" s="1327">
        <v>0</v>
      </c>
      <c r="S53" s="448">
        <v>0</v>
      </c>
      <c r="T53" s="460">
        <v>0</v>
      </c>
      <c r="U53" s="451">
        <v>0</v>
      </c>
      <c r="V53" s="737">
        <v>0</v>
      </c>
      <c r="W53" s="460">
        <v>0</v>
      </c>
      <c r="X53" s="450">
        <v>0</v>
      </c>
      <c r="Y53" s="450">
        <v>0</v>
      </c>
      <c r="Z53" s="449">
        <v>0</v>
      </c>
      <c r="AA53" s="451">
        <v>0</v>
      </c>
      <c r="AB53" s="29" t="s">
        <v>193</v>
      </c>
      <c r="AC53" s="26" t="s">
        <v>458</v>
      </c>
    </row>
    <row r="54" spans="1:29" ht="25.5" outlineLevel="1" x14ac:dyDescent="0.25">
      <c r="A54" s="549" t="s">
        <v>335</v>
      </c>
      <c r="B54" s="454" t="s">
        <v>686</v>
      </c>
      <c r="C54" s="26" t="s">
        <v>353</v>
      </c>
      <c r="D54" s="455" t="s">
        <v>30</v>
      </c>
      <c r="E54" s="455" t="s">
        <v>30</v>
      </c>
      <c r="F54" s="456" t="s">
        <v>336</v>
      </c>
      <c r="G54" s="27">
        <v>71624</v>
      </c>
      <c r="H54" s="1140">
        <v>2987.1112499999999</v>
      </c>
      <c r="I54" s="1141">
        <v>0</v>
      </c>
      <c r="J54" s="432">
        <v>1012.88875</v>
      </c>
      <c r="K54" s="450">
        <v>15000</v>
      </c>
      <c r="L54" s="450">
        <v>52624</v>
      </c>
      <c r="M54" s="564">
        <v>0</v>
      </c>
      <c r="N54" s="299">
        <v>68636.888749999998</v>
      </c>
      <c r="O54" s="316">
        <v>0</v>
      </c>
      <c r="P54" s="313">
        <f t="shared" si="6"/>
        <v>68636.888749999998</v>
      </c>
      <c r="Q54" s="1329">
        <v>0</v>
      </c>
      <c r="R54" s="1327">
        <v>0</v>
      </c>
      <c r="S54" s="448">
        <v>0</v>
      </c>
      <c r="T54" s="460">
        <v>0</v>
      </c>
      <c r="U54" s="451">
        <v>0</v>
      </c>
      <c r="V54" s="737">
        <v>71624</v>
      </c>
      <c r="W54" s="449">
        <v>2987.1112499999999</v>
      </c>
      <c r="X54" s="450">
        <v>0</v>
      </c>
      <c r="Y54" s="450">
        <v>68636.888749999998</v>
      </c>
      <c r="Z54" s="449">
        <v>0</v>
      </c>
      <c r="AA54" s="451">
        <v>0</v>
      </c>
      <c r="AB54" s="29" t="s">
        <v>193</v>
      </c>
      <c r="AC54" s="26" t="s">
        <v>20</v>
      </c>
    </row>
    <row r="55" spans="1:29" ht="25.5" outlineLevel="1" x14ac:dyDescent="0.25">
      <c r="A55" s="549" t="s">
        <v>337</v>
      </c>
      <c r="B55" s="454" t="s">
        <v>681</v>
      </c>
      <c r="C55" s="26" t="s">
        <v>353</v>
      </c>
      <c r="D55" s="455" t="s">
        <v>30</v>
      </c>
      <c r="E55" s="455" t="s">
        <v>30</v>
      </c>
      <c r="F55" s="456" t="s">
        <v>472</v>
      </c>
      <c r="G55" s="27">
        <v>66262</v>
      </c>
      <c r="H55" s="1140">
        <v>9835.635690000001</v>
      </c>
      <c r="I55" s="1141">
        <v>0</v>
      </c>
      <c r="J55" s="448">
        <v>1064.3643099999999</v>
      </c>
      <c r="K55" s="460">
        <v>20000</v>
      </c>
      <c r="L55" s="460">
        <v>35362</v>
      </c>
      <c r="M55" s="701">
        <v>0</v>
      </c>
      <c r="N55" s="299">
        <v>56426.364309999997</v>
      </c>
      <c r="O55" s="316">
        <v>0</v>
      </c>
      <c r="P55" s="313">
        <f t="shared" si="6"/>
        <v>56426.364309999997</v>
      </c>
      <c r="Q55" s="1329">
        <v>0</v>
      </c>
      <c r="R55" s="1327">
        <v>0</v>
      </c>
      <c r="S55" s="448">
        <v>0</v>
      </c>
      <c r="T55" s="460">
        <v>0</v>
      </c>
      <c r="U55" s="451">
        <v>0</v>
      </c>
      <c r="V55" s="737">
        <v>63198</v>
      </c>
      <c r="W55" s="449">
        <v>9835.635690000001</v>
      </c>
      <c r="X55" s="450">
        <v>0</v>
      </c>
      <c r="Y55" s="450">
        <v>53362.364309999997</v>
      </c>
      <c r="Z55" s="449">
        <v>0</v>
      </c>
      <c r="AA55" s="451">
        <v>0</v>
      </c>
      <c r="AB55" s="29" t="s">
        <v>193</v>
      </c>
      <c r="AC55" s="26" t="s">
        <v>20</v>
      </c>
    </row>
    <row r="56" spans="1:29" ht="25.5" outlineLevel="1" x14ac:dyDescent="0.25">
      <c r="A56" s="549" t="s">
        <v>338</v>
      </c>
      <c r="B56" s="454" t="s">
        <v>197</v>
      </c>
      <c r="C56" s="26" t="s">
        <v>353</v>
      </c>
      <c r="D56" s="455" t="s">
        <v>30</v>
      </c>
      <c r="E56" s="455" t="s">
        <v>30</v>
      </c>
      <c r="F56" s="456" t="s">
        <v>339</v>
      </c>
      <c r="G56" s="27">
        <v>30250</v>
      </c>
      <c r="H56" s="1140">
        <v>0</v>
      </c>
      <c r="I56" s="1141">
        <v>0</v>
      </c>
      <c r="J56" s="448">
        <v>0</v>
      </c>
      <c r="K56" s="460">
        <v>0</v>
      </c>
      <c r="L56" s="460">
        <v>0</v>
      </c>
      <c r="M56" s="701">
        <v>25250</v>
      </c>
      <c r="N56" s="299">
        <v>25250</v>
      </c>
      <c r="O56" s="316">
        <v>0</v>
      </c>
      <c r="P56" s="313">
        <f t="shared" si="6"/>
        <v>25250</v>
      </c>
      <c r="Q56" s="1329">
        <v>0</v>
      </c>
      <c r="R56" s="1327">
        <v>0</v>
      </c>
      <c r="S56" s="448">
        <v>5000</v>
      </c>
      <c r="T56" s="460">
        <v>0</v>
      </c>
      <c r="U56" s="451">
        <v>0</v>
      </c>
      <c r="V56" s="737">
        <v>0</v>
      </c>
      <c r="W56" s="449">
        <v>0</v>
      </c>
      <c r="X56" s="450">
        <v>0</v>
      </c>
      <c r="Y56" s="450">
        <v>0</v>
      </c>
      <c r="Z56" s="433">
        <v>0</v>
      </c>
      <c r="AA56" s="434">
        <v>0</v>
      </c>
      <c r="AB56" s="25" t="s">
        <v>193</v>
      </c>
      <c r="AC56" s="26" t="s">
        <v>14</v>
      </c>
    </row>
    <row r="57" spans="1:29" ht="25.5" outlineLevel="1" x14ac:dyDescent="0.25">
      <c r="A57" s="549" t="s">
        <v>340</v>
      </c>
      <c r="B57" s="454" t="s">
        <v>690</v>
      </c>
      <c r="C57" s="26" t="s">
        <v>353</v>
      </c>
      <c r="D57" s="455" t="s">
        <v>30</v>
      </c>
      <c r="E57" s="455" t="s">
        <v>30</v>
      </c>
      <c r="F57" s="456" t="s">
        <v>341</v>
      </c>
      <c r="G57" s="27">
        <v>2000</v>
      </c>
      <c r="H57" s="1140">
        <v>218.19192000000021</v>
      </c>
      <c r="I57" s="1141">
        <v>0</v>
      </c>
      <c r="J57" s="432">
        <v>0</v>
      </c>
      <c r="K57" s="450">
        <v>0</v>
      </c>
      <c r="L57" s="450">
        <v>0</v>
      </c>
      <c r="M57" s="564">
        <v>0</v>
      </c>
      <c r="N57" s="299">
        <v>0</v>
      </c>
      <c r="O57" s="316">
        <v>0</v>
      </c>
      <c r="P57" s="313">
        <f t="shared" si="6"/>
        <v>0</v>
      </c>
      <c r="Q57" s="700">
        <f>632-0.19192</f>
        <v>631.80808000000002</v>
      </c>
      <c r="R57" s="700">
        <v>1150</v>
      </c>
      <c r="S57" s="448">
        <v>0</v>
      </c>
      <c r="T57" s="460">
        <v>0</v>
      </c>
      <c r="U57" s="451">
        <v>0</v>
      </c>
      <c r="V57" s="737">
        <v>0</v>
      </c>
      <c r="W57" s="460">
        <v>0</v>
      </c>
      <c r="X57" s="450">
        <v>0</v>
      </c>
      <c r="Y57" s="450">
        <v>0</v>
      </c>
      <c r="Z57" s="433">
        <v>0</v>
      </c>
      <c r="AA57" s="434">
        <v>0</v>
      </c>
      <c r="AB57" s="25" t="s">
        <v>193</v>
      </c>
      <c r="AC57" s="26" t="s">
        <v>20</v>
      </c>
    </row>
    <row r="58" spans="1:29" ht="26.25" outlineLevel="1" thickBot="1" x14ac:dyDescent="0.3">
      <c r="A58" s="461" t="s">
        <v>342</v>
      </c>
      <c r="B58" s="462" t="s">
        <v>197</v>
      </c>
      <c r="C58" s="30" t="s">
        <v>353</v>
      </c>
      <c r="D58" s="463" t="s">
        <v>30</v>
      </c>
      <c r="E58" s="463" t="s">
        <v>30</v>
      </c>
      <c r="F58" s="464" t="s">
        <v>722</v>
      </c>
      <c r="G58" s="465">
        <v>800</v>
      </c>
      <c r="H58" s="1166">
        <v>0</v>
      </c>
      <c r="I58" s="1323">
        <v>0</v>
      </c>
      <c r="J58" s="472">
        <v>0</v>
      </c>
      <c r="K58" s="473">
        <v>0</v>
      </c>
      <c r="L58" s="473">
        <v>0</v>
      </c>
      <c r="M58" s="817">
        <v>800</v>
      </c>
      <c r="N58" s="346">
        <v>800</v>
      </c>
      <c r="O58" s="206">
        <v>0</v>
      </c>
      <c r="P58" s="181">
        <f t="shared" si="6"/>
        <v>800</v>
      </c>
      <c r="Q58" s="1339">
        <v>0</v>
      </c>
      <c r="R58" s="749">
        <v>0</v>
      </c>
      <c r="S58" s="472">
        <v>0</v>
      </c>
      <c r="T58" s="473">
        <v>0</v>
      </c>
      <c r="U58" s="476">
        <v>0</v>
      </c>
      <c r="V58" s="1185">
        <v>0</v>
      </c>
      <c r="W58" s="474">
        <v>0</v>
      </c>
      <c r="X58" s="474">
        <v>0</v>
      </c>
      <c r="Y58" s="474">
        <v>0</v>
      </c>
      <c r="Z58" s="488">
        <v>0</v>
      </c>
      <c r="AA58" s="489">
        <v>0</v>
      </c>
      <c r="AB58" s="339" t="s">
        <v>193</v>
      </c>
      <c r="AC58" s="30" t="s">
        <v>14</v>
      </c>
    </row>
    <row r="59" spans="1:29" ht="26.25" outlineLevel="1" thickBot="1" x14ac:dyDescent="0.3">
      <c r="A59" s="1464" t="s">
        <v>355</v>
      </c>
      <c r="B59" s="1164" t="s">
        <v>197</v>
      </c>
      <c r="C59" s="490" t="s">
        <v>723</v>
      </c>
      <c r="D59" s="478" t="s">
        <v>30</v>
      </c>
      <c r="E59" s="478" t="s">
        <v>30</v>
      </c>
      <c r="F59" s="1465" t="s">
        <v>356</v>
      </c>
      <c r="G59" s="1466">
        <v>0</v>
      </c>
      <c r="H59" s="1459">
        <v>0</v>
      </c>
      <c r="I59" s="1323">
        <v>0</v>
      </c>
      <c r="J59" s="1460">
        <v>0</v>
      </c>
      <c r="K59" s="1461">
        <v>0</v>
      </c>
      <c r="L59" s="1461">
        <v>0</v>
      </c>
      <c r="M59" s="1462">
        <v>0</v>
      </c>
      <c r="N59" s="136">
        <v>0</v>
      </c>
      <c r="O59" s="212">
        <v>0</v>
      </c>
      <c r="P59" s="185">
        <f t="shared" si="6"/>
        <v>0</v>
      </c>
      <c r="Q59" s="1467">
        <v>0</v>
      </c>
      <c r="R59" s="1468">
        <v>0</v>
      </c>
      <c r="S59" s="1460">
        <v>0</v>
      </c>
      <c r="T59" s="1461">
        <v>0</v>
      </c>
      <c r="U59" s="1469">
        <v>0</v>
      </c>
      <c r="V59" s="1470">
        <v>0</v>
      </c>
      <c r="W59" s="1471">
        <v>0</v>
      </c>
      <c r="X59" s="1461">
        <v>0</v>
      </c>
      <c r="Y59" s="1461">
        <v>0</v>
      </c>
      <c r="Z59" s="1471">
        <v>0</v>
      </c>
      <c r="AA59" s="1469">
        <v>0</v>
      </c>
      <c r="AB59" s="1463" t="s">
        <v>859</v>
      </c>
      <c r="AC59" s="1472" t="s">
        <v>202</v>
      </c>
    </row>
    <row r="60" spans="1:29" ht="30" outlineLevel="1" x14ac:dyDescent="0.25">
      <c r="A60" s="492" t="s">
        <v>400</v>
      </c>
      <c r="B60" s="793" t="s">
        <v>197</v>
      </c>
      <c r="C60" s="1456" t="s">
        <v>420</v>
      </c>
      <c r="D60" s="24" t="s">
        <v>30</v>
      </c>
      <c r="E60" s="494" t="s">
        <v>30</v>
      </c>
      <c r="F60" s="1457" t="s">
        <v>584</v>
      </c>
      <c r="G60" s="113">
        <v>65000</v>
      </c>
      <c r="H60" s="1140">
        <v>0</v>
      </c>
      <c r="I60" s="1141">
        <v>0</v>
      </c>
      <c r="J60" s="432">
        <v>0</v>
      </c>
      <c r="K60" s="450">
        <v>0</v>
      </c>
      <c r="L60" s="450">
        <v>0</v>
      </c>
      <c r="M60" s="1152">
        <v>0</v>
      </c>
      <c r="N60" s="299">
        <v>0</v>
      </c>
      <c r="O60" s="316">
        <v>0</v>
      </c>
      <c r="P60" s="312">
        <f t="shared" si="6"/>
        <v>0</v>
      </c>
      <c r="Q60" s="1171">
        <v>65000</v>
      </c>
      <c r="R60" s="1458">
        <v>0</v>
      </c>
      <c r="S60" s="432">
        <v>0</v>
      </c>
      <c r="T60" s="450">
        <v>0</v>
      </c>
      <c r="U60" s="434">
        <v>0</v>
      </c>
      <c r="V60" s="761">
        <v>0</v>
      </c>
      <c r="W60" s="433">
        <v>0</v>
      </c>
      <c r="X60" s="450">
        <v>0</v>
      </c>
      <c r="Y60" s="450">
        <v>0</v>
      </c>
      <c r="Z60" s="433">
        <v>0</v>
      </c>
      <c r="AA60" s="434">
        <v>0</v>
      </c>
      <c r="AB60" s="25" t="s">
        <v>193</v>
      </c>
      <c r="AC60" s="24" t="s">
        <v>14</v>
      </c>
    </row>
    <row r="61" spans="1:29" ht="30" outlineLevel="1" x14ac:dyDescent="0.25">
      <c r="A61" s="549" t="s">
        <v>401</v>
      </c>
      <c r="B61" s="454" t="s">
        <v>197</v>
      </c>
      <c r="C61" s="1330" t="s">
        <v>420</v>
      </c>
      <c r="D61" s="26" t="s">
        <v>30</v>
      </c>
      <c r="E61" s="455" t="s">
        <v>30</v>
      </c>
      <c r="F61" s="1331" t="s">
        <v>402</v>
      </c>
      <c r="G61" s="27">
        <v>2735</v>
      </c>
      <c r="H61" s="1140">
        <v>0</v>
      </c>
      <c r="I61" s="1141">
        <v>0</v>
      </c>
      <c r="J61" s="448">
        <v>0</v>
      </c>
      <c r="K61" s="460">
        <v>0</v>
      </c>
      <c r="L61" s="460">
        <v>0</v>
      </c>
      <c r="M61" s="1150">
        <v>2735</v>
      </c>
      <c r="N61" s="299">
        <v>2735</v>
      </c>
      <c r="O61" s="316">
        <v>0</v>
      </c>
      <c r="P61" s="313">
        <f t="shared" si="6"/>
        <v>2735</v>
      </c>
      <c r="Q61" s="700">
        <v>0</v>
      </c>
      <c r="R61" s="551">
        <v>0</v>
      </c>
      <c r="S61" s="448">
        <v>0</v>
      </c>
      <c r="T61" s="460">
        <v>0</v>
      </c>
      <c r="U61" s="451">
        <v>0</v>
      </c>
      <c r="V61" s="761">
        <v>0</v>
      </c>
      <c r="W61" s="433">
        <v>0</v>
      </c>
      <c r="X61" s="450">
        <v>0</v>
      </c>
      <c r="Y61" s="450">
        <v>0</v>
      </c>
      <c r="Z61" s="433">
        <v>0</v>
      </c>
      <c r="AA61" s="434">
        <v>0</v>
      </c>
      <c r="AB61" s="25" t="s">
        <v>193</v>
      </c>
      <c r="AC61" s="26" t="s">
        <v>10</v>
      </c>
    </row>
    <row r="62" spans="1:29" ht="30" outlineLevel="1" x14ac:dyDescent="0.25">
      <c r="A62" s="549" t="s">
        <v>403</v>
      </c>
      <c r="B62" s="454" t="s">
        <v>197</v>
      </c>
      <c r="C62" s="1330" t="s">
        <v>420</v>
      </c>
      <c r="D62" s="26" t="s">
        <v>30</v>
      </c>
      <c r="E62" s="455" t="s">
        <v>30</v>
      </c>
      <c r="F62" s="1331" t="s">
        <v>404</v>
      </c>
      <c r="G62" s="27">
        <v>2498</v>
      </c>
      <c r="H62" s="1140">
        <v>0</v>
      </c>
      <c r="I62" s="1141">
        <v>0</v>
      </c>
      <c r="J62" s="448">
        <v>0</v>
      </c>
      <c r="K62" s="460">
        <v>2498</v>
      </c>
      <c r="L62" s="460">
        <v>0</v>
      </c>
      <c r="M62" s="1150">
        <v>0</v>
      </c>
      <c r="N62" s="299">
        <v>2498</v>
      </c>
      <c r="O62" s="316">
        <v>0</v>
      </c>
      <c r="P62" s="313">
        <f t="shared" si="6"/>
        <v>2498</v>
      </c>
      <c r="Q62" s="700">
        <v>0</v>
      </c>
      <c r="R62" s="551">
        <v>0</v>
      </c>
      <c r="S62" s="448">
        <v>0</v>
      </c>
      <c r="T62" s="460">
        <v>0</v>
      </c>
      <c r="U62" s="451">
        <v>0</v>
      </c>
      <c r="V62" s="761">
        <v>0</v>
      </c>
      <c r="W62" s="433">
        <v>0</v>
      </c>
      <c r="X62" s="450">
        <v>0</v>
      </c>
      <c r="Y62" s="450">
        <v>0</v>
      </c>
      <c r="Z62" s="433">
        <v>0</v>
      </c>
      <c r="AA62" s="434">
        <v>0</v>
      </c>
      <c r="AB62" s="25" t="s">
        <v>193</v>
      </c>
      <c r="AC62" s="26" t="s">
        <v>10</v>
      </c>
    </row>
    <row r="63" spans="1:29" ht="30" outlineLevel="1" x14ac:dyDescent="0.25">
      <c r="A63" s="549" t="s">
        <v>405</v>
      </c>
      <c r="B63" s="454" t="s">
        <v>197</v>
      </c>
      <c r="C63" s="1330" t="s">
        <v>420</v>
      </c>
      <c r="D63" s="26" t="s">
        <v>30</v>
      </c>
      <c r="E63" s="455" t="s">
        <v>30</v>
      </c>
      <c r="F63" s="1331" t="s">
        <v>406</v>
      </c>
      <c r="G63" s="27">
        <v>893</v>
      </c>
      <c r="H63" s="1140">
        <v>0</v>
      </c>
      <c r="I63" s="1141">
        <v>0</v>
      </c>
      <c r="J63" s="448">
        <v>0</v>
      </c>
      <c r="K63" s="460">
        <v>893</v>
      </c>
      <c r="L63" s="460">
        <v>0</v>
      </c>
      <c r="M63" s="1150">
        <v>0</v>
      </c>
      <c r="N63" s="299">
        <v>893</v>
      </c>
      <c r="O63" s="316">
        <v>0</v>
      </c>
      <c r="P63" s="313">
        <f t="shared" si="6"/>
        <v>893</v>
      </c>
      <c r="Q63" s="700">
        <v>0</v>
      </c>
      <c r="R63" s="551">
        <v>0</v>
      </c>
      <c r="S63" s="448">
        <v>0</v>
      </c>
      <c r="T63" s="460">
        <v>0</v>
      </c>
      <c r="U63" s="451">
        <v>0</v>
      </c>
      <c r="V63" s="761">
        <v>0</v>
      </c>
      <c r="W63" s="433">
        <v>0</v>
      </c>
      <c r="X63" s="450">
        <v>0</v>
      </c>
      <c r="Y63" s="450">
        <v>0</v>
      </c>
      <c r="Z63" s="433">
        <v>0</v>
      </c>
      <c r="AA63" s="434">
        <v>0</v>
      </c>
      <c r="AB63" s="25" t="s">
        <v>193</v>
      </c>
      <c r="AC63" s="26" t="s">
        <v>10</v>
      </c>
    </row>
    <row r="64" spans="1:29" ht="30" outlineLevel="1" x14ac:dyDescent="0.25">
      <c r="A64" s="549" t="s">
        <v>407</v>
      </c>
      <c r="B64" s="454" t="s">
        <v>197</v>
      </c>
      <c r="C64" s="1330" t="s">
        <v>420</v>
      </c>
      <c r="D64" s="26" t="s">
        <v>30</v>
      </c>
      <c r="E64" s="455" t="s">
        <v>30</v>
      </c>
      <c r="F64" s="1331" t="s">
        <v>408</v>
      </c>
      <c r="G64" s="27">
        <v>841</v>
      </c>
      <c r="H64" s="1140">
        <v>0</v>
      </c>
      <c r="I64" s="1141">
        <v>0</v>
      </c>
      <c r="J64" s="448">
        <v>0</v>
      </c>
      <c r="K64" s="460">
        <v>841</v>
      </c>
      <c r="L64" s="460">
        <v>0</v>
      </c>
      <c r="M64" s="1150">
        <v>0</v>
      </c>
      <c r="N64" s="299">
        <v>841</v>
      </c>
      <c r="O64" s="316">
        <v>0</v>
      </c>
      <c r="P64" s="313">
        <f t="shared" si="6"/>
        <v>841</v>
      </c>
      <c r="Q64" s="700">
        <v>0</v>
      </c>
      <c r="R64" s="551">
        <v>0</v>
      </c>
      <c r="S64" s="448">
        <v>0</v>
      </c>
      <c r="T64" s="460">
        <v>0</v>
      </c>
      <c r="U64" s="451">
        <v>0</v>
      </c>
      <c r="V64" s="761">
        <v>0</v>
      </c>
      <c r="W64" s="433">
        <v>0</v>
      </c>
      <c r="X64" s="450">
        <v>0</v>
      </c>
      <c r="Y64" s="450">
        <v>0</v>
      </c>
      <c r="Z64" s="433">
        <v>0</v>
      </c>
      <c r="AA64" s="434">
        <v>0</v>
      </c>
      <c r="AB64" s="25" t="s">
        <v>193</v>
      </c>
      <c r="AC64" s="26" t="s">
        <v>14</v>
      </c>
    </row>
    <row r="65" spans="1:29" ht="30" outlineLevel="1" x14ac:dyDescent="0.25">
      <c r="A65" s="549" t="s">
        <v>409</v>
      </c>
      <c r="B65" s="454" t="s">
        <v>197</v>
      </c>
      <c r="C65" s="1330" t="s">
        <v>420</v>
      </c>
      <c r="D65" s="26" t="s">
        <v>30</v>
      </c>
      <c r="E65" s="455" t="s">
        <v>30</v>
      </c>
      <c r="F65" s="1331" t="s">
        <v>410</v>
      </c>
      <c r="G65" s="27">
        <v>3471</v>
      </c>
      <c r="H65" s="1140">
        <v>0</v>
      </c>
      <c r="I65" s="1141">
        <v>0</v>
      </c>
      <c r="J65" s="448">
        <v>0</v>
      </c>
      <c r="K65" s="460">
        <v>0</v>
      </c>
      <c r="L65" s="460">
        <v>0</v>
      </c>
      <c r="M65" s="1150">
        <v>3471</v>
      </c>
      <c r="N65" s="299">
        <v>3471</v>
      </c>
      <c r="O65" s="316">
        <v>0</v>
      </c>
      <c r="P65" s="313">
        <f t="shared" si="6"/>
        <v>3471</v>
      </c>
      <c r="Q65" s="700">
        <v>0</v>
      </c>
      <c r="R65" s="551">
        <v>0</v>
      </c>
      <c r="S65" s="448">
        <v>0</v>
      </c>
      <c r="T65" s="460">
        <v>0</v>
      </c>
      <c r="U65" s="451">
        <v>0</v>
      </c>
      <c r="V65" s="761">
        <v>0</v>
      </c>
      <c r="W65" s="433">
        <v>0</v>
      </c>
      <c r="X65" s="450">
        <v>0</v>
      </c>
      <c r="Y65" s="450">
        <v>0</v>
      </c>
      <c r="Z65" s="433">
        <v>0</v>
      </c>
      <c r="AA65" s="434">
        <v>0</v>
      </c>
      <c r="AB65" s="25" t="s">
        <v>193</v>
      </c>
      <c r="AC65" s="26" t="s">
        <v>10</v>
      </c>
    </row>
    <row r="66" spans="1:29" ht="30" outlineLevel="1" x14ac:dyDescent="0.25">
      <c r="A66" s="549" t="s">
        <v>411</v>
      </c>
      <c r="B66" s="454" t="s">
        <v>197</v>
      </c>
      <c r="C66" s="1330" t="s">
        <v>420</v>
      </c>
      <c r="D66" s="26" t="s">
        <v>30</v>
      </c>
      <c r="E66" s="455" t="s">
        <v>30</v>
      </c>
      <c r="F66" s="1331" t="s">
        <v>412</v>
      </c>
      <c r="G66" s="27">
        <v>1378</v>
      </c>
      <c r="H66" s="1140">
        <v>0</v>
      </c>
      <c r="I66" s="1141">
        <v>0</v>
      </c>
      <c r="J66" s="448">
        <v>0</v>
      </c>
      <c r="K66" s="460">
        <v>1378</v>
      </c>
      <c r="L66" s="460">
        <v>0</v>
      </c>
      <c r="M66" s="1150">
        <v>0</v>
      </c>
      <c r="N66" s="299">
        <v>1378</v>
      </c>
      <c r="O66" s="316">
        <v>0</v>
      </c>
      <c r="P66" s="313">
        <f t="shared" si="6"/>
        <v>1378</v>
      </c>
      <c r="Q66" s="700">
        <v>0</v>
      </c>
      <c r="R66" s="551">
        <v>0</v>
      </c>
      <c r="S66" s="448">
        <v>0</v>
      </c>
      <c r="T66" s="460">
        <v>0</v>
      </c>
      <c r="U66" s="451">
        <v>0</v>
      </c>
      <c r="V66" s="761">
        <v>0</v>
      </c>
      <c r="W66" s="433">
        <v>0</v>
      </c>
      <c r="X66" s="450">
        <v>0</v>
      </c>
      <c r="Y66" s="450">
        <v>0</v>
      </c>
      <c r="Z66" s="433">
        <v>0</v>
      </c>
      <c r="AA66" s="434">
        <v>0</v>
      </c>
      <c r="AB66" s="25" t="s">
        <v>193</v>
      </c>
      <c r="AC66" s="26" t="s">
        <v>10</v>
      </c>
    </row>
    <row r="67" spans="1:29" ht="30" outlineLevel="1" x14ac:dyDescent="0.25">
      <c r="A67" s="1332" t="s">
        <v>416</v>
      </c>
      <c r="B67" s="590" t="s">
        <v>197</v>
      </c>
      <c r="C67" s="1333" t="s">
        <v>420</v>
      </c>
      <c r="D67" s="591" t="s">
        <v>30</v>
      </c>
      <c r="E67" s="592" t="s">
        <v>30</v>
      </c>
      <c r="F67" s="1334" t="s">
        <v>413</v>
      </c>
      <c r="G67" s="595">
        <v>7500</v>
      </c>
      <c r="H67" s="1228">
        <v>0</v>
      </c>
      <c r="I67" s="1141">
        <v>0</v>
      </c>
      <c r="J67" s="605">
        <v>0</v>
      </c>
      <c r="K67" s="1239">
        <v>0</v>
      </c>
      <c r="L67" s="1239">
        <v>0</v>
      </c>
      <c r="M67" s="1401">
        <v>7500</v>
      </c>
      <c r="N67" s="382">
        <v>3000</v>
      </c>
      <c r="O67" s="353">
        <v>4500</v>
      </c>
      <c r="P67" s="601">
        <f t="shared" si="6"/>
        <v>7500</v>
      </c>
      <c r="Q67" s="1335">
        <v>0</v>
      </c>
      <c r="R67" s="1243">
        <v>0</v>
      </c>
      <c r="S67" s="605">
        <v>0</v>
      </c>
      <c r="T67" s="1239">
        <v>0</v>
      </c>
      <c r="U67" s="1244">
        <v>0</v>
      </c>
      <c r="V67" s="1231">
        <v>0</v>
      </c>
      <c r="W67" s="546">
        <v>0</v>
      </c>
      <c r="X67" s="545">
        <v>0</v>
      </c>
      <c r="Y67" s="545">
        <v>0</v>
      </c>
      <c r="Z67" s="546">
        <v>0</v>
      </c>
      <c r="AA67" s="547">
        <v>0</v>
      </c>
      <c r="AB67" s="1336" t="s">
        <v>860</v>
      </c>
      <c r="AC67" s="591" t="s">
        <v>458</v>
      </c>
    </row>
    <row r="68" spans="1:29" ht="30.75" outlineLevel="1" thickBot="1" x14ac:dyDescent="0.3">
      <c r="A68" s="461" t="s">
        <v>417</v>
      </c>
      <c r="B68" s="462" t="s">
        <v>197</v>
      </c>
      <c r="C68" s="1337" t="s">
        <v>420</v>
      </c>
      <c r="D68" s="30" t="s">
        <v>30</v>
      </c>
      <c r="E68" s="463" t="s">
        <v>30</v>
      </c>
      <c r="F68" s="1338" t="s">
        <v>414</v>
      </c>
      <c r="G68" s="465">
        <v>2032</v>
      </c>
      <c r="H68" s="1253">
        <v>0</v>
      </c>
      <c r="I68" s="1254">
        <v>0</v>
      </c>
      <c r="J68" s="472">
        <v>0</v>
      </c>
      <c r="K68" s="473">
        <v>0</v>
      </c>
      <c r="L68" s="473">
        <v>2032</v>
      </c>
      <c r="M68" s="1161">
        <v>0</v>
      </c>
      <c r="N68" s="265">
        <v>2032</v>
      </c>
      <c r="O68" s="207">
        <v>0</v>
      </c>
      <c r="P68" s="181">
        <f t="shared" si="6"/>
        <v>2032</v>
      </c>
      <c r="Q68" s="1339">
        <v>0</v>
      </c>
      <c r="R68" s="749">
        <v>0</v>
      </c>
      <c r="S68" s="472">
        <v>0</v>
      </c>
      <c r="T68" s="473">
        <v>0</v>
      </c>
      <c r="U68" s="476">
        <v>0</v>
      </c>
      <c r="V68" s="750">
        <v>0</v>
      </c>
      <c r="W68" s="475">
        <v>0</v>
      </c>
      <c r="X68" s="473">
        <v>0</v>
      </c>
      <c r="Y68" s="473">
        <v>0</v>
      </c>
      <c r="Z68" s="475">
        <v>0</v>
      </c>
      <c r="AA68" s="476">
        <v>0</v>
      </c>
      <c r="AB68" s="30" t="s">
        <v>193</v>
      </c>
      <c r="AC68" s="30" t="s">
        <v>10</v>
      </c>
    </row>
    <row r="69" spans="1:29" ht="45.75" outlineLevel="1" thickBot="1" x14ac:dyDescent="0.3">
      <c r="A69" s="461" t="s">
        <v>448</v>
      </c>
      <c r="B69" s="462" t="s">
        <v>680</v>
      </c>
      <c r="C69" s="882" t="s">
        <v>459</v>
      </c>
      <c r="D69" s="30" t="s">
        <v>30</v>
      </c>
      <c r="E69" s="463" t="s">
        <v>30</v>
      </c>
      <c r="F69" s="1340" t="s">
        <v>447</v>
      </c>
      <c r="G69" s="465">
        <f>79939-0.73236</f>
        <v>79938.267640000005</v>
      </c>
      <c r="H69" s="1253">
        <v>2806.232</v>
      </c>
      <c r="I69" s="1323">
        <v>55.756799999999998</v>
      </c>
      <c r="J69" s="487">
        <v>613</v>
      </c>
      <c r="K69" s="474">
        <v>765</v>
      </c>
      <c r="L69" s="474">
        <v>9614</v>
      </c>
      <c r="M69" s="1341">
        <v>7587</v>
      </c>
      <c r="N69" s="144">
        <v>18578.999999999993</v>
      </c>
      <c r="O69" s="206">
        <v>0</v>
      </c>
      <c r="P69" s="181">
        <f t="shared" si="6"/>
        <v>18578.999999999993</v>
      </c>
      <c r="Q69" s="817">
        <f>34457+0.03564</f>
        <v>34457.035640000002</v>
      </c>
      <c r="R69" s="1342">
        <v>24096</v>
      </c>
      <c r="S69" s="472">
        <v>0</v>
      </c>
      <c r="T69" s="473">
        <v>0</v>
      </c>
      <c r="U69" s="476">
        <v>0</v>
      </c>
      <c r="V69" s="750">
        <f>79939-0.73236</f>
        <v>79938.267640000005</v>
      </c>
      <c r="W69" s="473">
        <v>2806.232</v>
      </c>
      <c r="X69" s="473">
        <v>55.756799999999998</v>
      </c>
      <c r="Y69" s="473">
        <f>57132.03564-38553.03564</f>
        <v>18579</v>
      </c>
      <c r="Z69" s="475">
        <f>20000+38553.03564-24096</f>
        <v>34457.035640000002</v>
      </c>
      <c r="AA69" s="476">
        <v>24096</v>
      </c>
      <c r="AB69" s="32" t="s">
        <v>193</v>
      </c>
      <c r="AC69" s="30" t="s">
        <v>14</v>
      </c>
    </row>
    <row r="70" spans="1:29" ht="30.75" outlineLevel="1" thickBot="1" x14ac:dyDescent="0.3">
      <c r="A70" s="518" t="s">
        <v>473</v>
      </c>
      <c r="B70" s="1189" t="s">
        <v>197</v>
      </c>
      <c r="C70" s="1190" t="s">
        <v>484</v>
      </c>
      <c r="D70" s="520" t="s">
        <v>30</v>
      </c>
      <c r="E70" s="521" t="s">
        <v>30</v>
      </c>
      <c r="F70" s="1343" t="s">
        <v>474</v>
      </c>
      <c r="G70" s="523">
        <v>7540</v>
      </c>
      <c r="H70" s="1262">
        <v>0</v>
      </c>
      <c r="I70" s="1141">
        <v>0</v>
      </c>
      <c r="J70" s="527">
        <v>0</v>
      </c>
      <c r="K70" s="528">
        <v>0</v>
      </c>
      <c r="L70" s="528">
        <v>0</v>
      </c>
      <c r="M70" s="529">
        <v>0</v>
      </c>
      <c r="N70" s="145">
        <v>0</v>
      </c>
      <c r="O70" s="208">
        <v>0</v>
      </c>
      <c r="P70" s="182">
        <f t="shared" si="6"/>
        <v>0</v>
      </c>
      <c r="Q70" s="1344">
        <v>7540</v>
      </c>
      <c r="R70" s="1345">
        <v>0</v>
      </c>
      <c r="S70" s="527">
        <v>0</v>
      </c>
      <c r="T70" s="528">
        <v>0</v>
      </c>
      <c r="U70" s="1056">
        <v>0</v>
      </c>
      <c r="V70" s="1194">
        <v>0</v>
      </c>
      <c r="W70" s="528">
        <v>0</v>
      </c>
      <c r="X70" s="528">
        <v>0</v>
      </c>
      <c r="Y70" s="528">
        <v>0</v>
      </c>
      <c r="Z70" s="1267">
        <v>0</v>
      </c>
      <c r="AA70" s="1056">
        <v>0</v>
      </c>
      <c r="AB70" s="1346" t="s">
        <v>193</v>
      </c>
      <c r="AC70" s="520" t="s">
        <v>14</v>
      </c>
    </row>
    <row r="71" spans="1:29" ht="30.75" outlineLevel="1" thickBot="1" x14ac:dyDescent="0.3">
      <c r="A71" s="792" t="s">
        <v>517</v>
      </c>
      <c r="B71" s="1347" t="s">
        <v>197</v>
      </c>
      <c r="C71" s="900" t="s">
        <v>724</v>
      </c>
      <c r="D71" s="811" t="s">
        <v>30</v>
      </c>
      <c r="E71" s="804" t="s">
        <v>30</v>
      </c>
      <c r="F71" s="1348" t="s">
        <v>539</v>
      </c>
      <c r="G71" s="806">
        <v>1830</v>
      </c>
      <c r="H71" s="1262">
        <v>0</v>
      </c>
      <c r="I71" s="1349">
        <v>0</v>
      </c>
      <c r="J71" s="562">
        <v>0</v>
      </c>
      <c r="K71" s="433">
        <v>1830</v>
      </c>
      <c r="L71" s="450">
        <v>0</v>
      </c>
      <c r="M71" s="1350">
        <v>0</v>
      </c>
      <c r="N71" s="146">
        <v>1830</v>
      </c>
      <c r="O71" s="208">
        <v>0</v>
      </c>
      <c r="P71" s="183">
        <f t="shared" si="6"/>
        <v>1830</v>
      </c>
      <c r="Q71" s="821">
        <v>0</v>
      </c>
      <c r="R71" s="1351">
        <v>0</v>
      </c>
      <c r="S71" s="562">
        <v>0</v>
      </c>
      <c r="T71" s="1145">
        <v>0</v>
      </c>
      <c r="U71" s="823">
        <v>0</v>
      </c>
      <c r="V71" s="1310">
        <v>0</v>
      </c>
      <c r="W71" s="563">
        <v>0</v>
      </c>
      <c r="X71" s="1145">
        <v>0</v>
      </c>
      <c r="Y71" s="1145">
        <v>0</v>
      </c>
      <c r="Z71" s="563">
        <v>0</v>
      </c>
      <c r="AA71" s="823">
        <v>0</v>
      </c>
      <c r="AB71" s="25" t="s">
        <v>193</v>
      </c>
      <c r="AC71" s="811" t="s">
        <v>20</v>
      </c>
    </row>
    <row r="72" spans="1:29" ht="30" outlineLevel="1" x14ac:dyDescent="0.25">
      <c r="A72" s="792" t="s">
        <v>585</v>
      </c>
      <c r="B72" s="1347" t="s">
        <v>685</v>
      </c>
      <c r="C72" s="900" t="s">
        <v>725</v>
      </c>
      <c r="D72" s="811" t="s">
        <v>30</v>
      </c>
      <c r="E72" s="804" t="s">
        <v>30</v>
      </c>
      <c r="F72" s="1348" t="s">
        <v>586</v>
      </c>
      <c r="G72" s="806">
        <v>26462</v>
      </c>
      <c r="H72" s="1307">
        <v>18412.647010000001</v>
      </c>
      <c r="I72" s="1349">
        <v>0</v>
      </c>
      <c r="J72" s="562">
        <v>0</v>
      </c>
      <c r="K72" s="563">
        <v>8049.3529899999994</v>
      </c>
      <c r="L72" s="1145">
        <v>0</v>
      </c>
      <c r="M72" s="1308">
        <v>0</v>
      </c>
      <c r="N72" s="146">
        <v>8049.3529899999994</v>
      </c>
      <c r="O72" s="348">
        <v>0</v>
      </c>
      <c r="P72" s="183">
        <f t="shared" si="6"/>
        <v>8049.3529899999994</v>
      </c>
      <c r="Q72" s="821">
        <v>0</v>
      </c>
      <c r="R72" s="1351">
        <v>0</v>
      </c>
      <c r="S72" s="562">
        <v>0</v>
      </c>
      <c r="T72" s="1145">
        <v>0</v>
      </c>
      <c r="U72" s="823">
        <v>0</v>
      </c>
      <c r="V72" s="1310">
        <v>0</v>
      </c>
      <c r="W72" s="563">
        <v>0</v>
      </c>
      <c r="X72" s="1145">
        <v>0</v>
      </c>
      <c r="Y72" s="1145">
        <v>0</v>
      </c>
      <c r="Z72" s="563">
        <v>0</v>
      </c>
      <c r="AA72" s="823">
        <v>0</v>
      </c>
      <c r="AB72" s="1455" t="s">
        <v>193</v>
      </c>
      <c r="AC72" s="811" t="s">
        <v>20</v>
      </c>
    </row>
    <row r="73" spans="1:29" ht="30.75" outlineLevel="1" thickBot="1" x14ac:dyDescent="0.3">
      <c r="A73" s="1442" t="s">
        <v>587</v>
      </c>
      <c r="B73" s="1443" t="s">
        <v>197</v>
      </c>
      <c r="C73" s="1444" t="s">
        <v>725</v>
      </c>
      <c r="D73" s="1445" t="s">
        <v>30</v>
      </c>
      <c r="E73" s="1446" t="s">
        <v>30</v>
      </c>
      <c r="F73" s="1447" t="s">
        <v>588</v>
      </c>
      <c r="G73" s="1448">
        <v>2000</v>
      </c>
      <c r="H73" s="1449">
        <v>0</v>
      </c>
      <c r="I73" s="1450">
        <v>0</v>
      </c>
      <c r="J73" s="856">
        <v>0</v>
      </c>
      <c r="K73" s="1451">
        <v>0</v>
      </c>
      <c r="L73" s="1451">
        <v>0</v>
      </c>
      <c r="M73" s="1452">
        <v>0</v>
      </c>
      <c r="N73" s="411">
        <v>2000</v>
      </c>
      <c r="O73" s="412">
        <v>-2000</v>
      </c>
      <c r="P73" s="412">
        <f t="shared" si="6"/>
        <v>0</v>
      </c>
      <c r="Q73" s="857">
        <v>2000</v>
      </c>
      <c r="R73" s="1453">
        <v>0</v>
      </c>
      <c r="S73" s="856">
        <v>0</v>
      </c>
      <c r="T73" s="1451">
        <v>0</v>
      </c>
      <c r="U73" s="411">
        <v>0</v>
      </c>
      <c r="V73" s="1454">
        <v>0</v>
      </c>
      <c r="W73" s="858">
        <v>0</v>
      </c>
      <c r="X73" s="1451">
        <v>0</v>
      </c>
      <c r="Y73" s="1451">
        <v>0</v>
      </c>
      <c r="Z73" s="858">
        <v>0</v>
      </c>
      <c r="AA73" s="411">
        <v>0</v>
      </c>
      <c r="AB73" s="1352" t="s">
        <v>861</v>
      </c>
      <c r="AC73" s="400" t="s">
        <v>14</v>
      </c>
    </row>
    <row r="74" spans="1:29" s="300" customFormat="1" ht="30" outlineLevel="1" x14ac:dyDescent="0.25">
      <c r="A74" s="792" t="s">
        <v>726</v>
      </c>
      <c r="B74" s="1347" t="s">
        <v>197</v>
      </c>
      <c r="C74" s="900" t="s">
        <v>862</v>
      </c>
      <c r="D74" s="811" t="s">
        <v>30</v>
      </c>
      <c r="E74" s="804" t="s">
        <v>30</v>
      </c>
      <c r="F74" s="1348" t="s">
        <v>727</v>
      </c>
      <c r="G74" s="806">
        <v>4492</v>
      </c>
      <c r="H74" s="1307">
        <v>0</v>
      </c>
      <c r="I74" s="1349">
        <v>0</v>
      </c>
      <c r="J74" s="562">
        <v>0</v>
      </c>
      <c r="K74" s="1145">
        <v>4492</v>
      </c>
      <c r="L74" s="1145">
        <v>0</v>
      </c>
      <c r="M74" s="1308">
        <v>0</v>
      </c>
      <c r="N74" s="146">
        <v>4492</v>
      </c>
      <c r="O74" s="322">
        <v>0</v>
      </c>
      <c r="P74" s="183">
        <f t="shared" si="6"/>
        <v>4492</v>
      </c>
      <c r="Q74" s="821">
        <v>0</v>
      </c>
      <c r="R74" s="1351">
        <v>0</v>
      </c>
      <c r="S74" s="562">
        <v>0</v>
      </c>
      <c r="T74" s="1145">
        <v>0</v>
      </c>
      <c r="U74" s="823">
        <v>0</v>
      </c>
      <c r="V74" s="1310">
        <v>0</v>
      </c>
      <c r="W74" s="1145">
        <v>0</v>
      </c>
      <c r="X74" s="1145">
        <v>0</v>
      </c>
      <c r="Y74" s="1145">
        <v>0</v>
      </c>
      <c r="Z74" s="563">
        <v>0</v>
      </c>
      <c r="AA74" s="823">
        <v>0</v>
      </c>
      <c r="AB74" s="1353" t="s">
        <v>193</v>
      </c>
      <c r="AC74" s="811" t="s">
        <v>20</v>
      </c>
    </row>
    <row r="75" spans="1:29" s="300" customFormat="1" outlineLevel="1" x14ac:dyDescent="0.25">
      <c r="A75" s="492" t="s">
        <v>728</v>
      </c>
      <c r="B75" s="1354" t="s">
        <v>197</v>
      </c>
      <c r="C75" s="493" t="s">
        <v>862</v>
      </c>
      <c r="D75" s="24" t="s">
        <v>30</v>
      </c>
      <c r="E75" s="494" t="s">
        <v>30</v>
      </c>
      <c r="F75" s="1355" t="s">
        <v>729</v>
      </c>
      <c r="G75" s="113">
        <v>30000</v>
      </c>
      <c r="H75" s="1140">
        <v>0</v>
      </c>
      <c r="I75" s="1141">
        <v>0</v>
      </c>
      <c r="J75" s="432">
        <v>0</v>
      </c>
      <c r="K75" s="450">
        <v>0</v>
      </c>
      <c r="L75" s="450">
        <v>1000</v>
      </c>
      <c r="M75" s="1350">
        <v>2000</v>
      </c>
      <c r="N75" s="175">
        <v>3000</v>
      </c>
      <c r="O75" s="129">
        <v>0</v>
      </c>
      <c r="P75" s="312">
        <f t="shared" si="6"/>
        <v>3000</v>
      </c>
      <c r="Q75" s="564">
        <v>15000</v>
      </c>
      <c r="R75" s="1356">
        <v>12000</v>
      </c>
      <c r="S75" s="432">
        <v>0</v>
      </c>
      <c r="T75" s="450">
        <v>0</v>
      </c>
      <c r="U75" s="434">
        <v>0</v>
      </c>
      <c r="V75" s="761">
        <v>0</v>
      </c>
      <c r="W75" s="450">
        <v>0</v>
      </c>
      <c r="X75" s="450">
        <v>0</v>
      </c>
      <c r="Y75" s="450">
        <v>0</v>
      </c>
      <c r="Z75" s="433">
        <v>0</v>
      </c>
      <c r="AA75" s="434">
        <v>0</v>
      </c>
      <c r="AB75" s="1353" t="s">
        <v>193</v>
      </c>
      <c r="AC75" s="24" t="s">
        <v>14</v>
      </c>
    </row>
    <row r="76" spans="1:29" s="300" customFormat="1" ht="27.75" customHeight="1" outlineLevel="1" x14ac:dyDescent="0.25">
      <c r="A76" s="549" t="s">
        <v>730</v>
      </c>
      <c r="B76" s="1357" t="s">
        <v>197</v>
      </c>
      <c r="C76" s="493" t="s">
        <v>862</v>
      </c>
      <c r="D76" s="26" t="s">
        <v>30</v>
      </c>
      <c r="E76" s="455" t="s">
        <v>30</v>
      </c>
      <c r="F76" s="1358" t="s">
        <v>731</v>
      </c>
      <c r="G76" s="27">
        <v>67196</v>
      </c>
      <c r="H76" s="1251">
        <v>0</v>
      </c>
      <c r="I76" s="1252">
        <v>0</v>
      </c>
      <c r="J76" s="448">
        <v>0</v>
      </c>
      <c r="K76" s="460">
        <v>0</v>
      </c>
      <c r="L76" s="460">
        <v>0</v>
      </c>
      <c r="M76" s="1156">
        <v>0</v>
      </c>
      <c r="N76" s="176">
        <v>0</v>
      </c>
      <c r="O76" s="323">
        <v>0</v>
      </c>
      <c r="P76" s="313">
        <f t="shared" si="6"/>
        <v>0</v>
      </c>
      <c r="Q76" s="701">
        <v>67196</v>
      </c>
      <c r="R76" s="1359">
        <v>0</v>
      </c>
      <c r="S76" s="448">
        <v>0</v>
      </c>
      <c r="T76" s="460">
        <v>0</v>
      </c>
      <c r="U76" s="451">
        <v>0</v>
      </c>
      <c r="V76" s="737">
        <v>0</v>
      </c>
      <c r="W76" s="460">
        <v>0</v>
      </c>
      <c r="X76" s="460">
        <v>0</v>
      </c>
      <c r="Y76" s="460">
        <v>0</v>
      </c>
      <c r="Z76" s="449">
        <v>0</v>
      </c>
      <c r="AA76" s="451">
        <v>0</v>
      </c>
      <c r="AB76" s="1360" t="s">
        <v>193</v>
      </c>
      <c r="AC76" s="26" t="s">
        <v>14</v>
      </c>
    </row>
    <row r="77" spans="1:29" s="300" customFormat="1" ht="30" outlineLevel="1" x14ac:dyDescent="0.25">
      <c r="A77" s="549" t="s">
        <v>732</v>
      </c>
      <c r="B77" s="1357" t="s">
        <v>197</v>
      </c>
      <c r="C77" s="493" t="s">
        <v>862</v>
      </c>
      <c r="D77" s="26" t="s">
        <v>30</v>
      </c>
      <c r="E77" s="455" t="s">
        <v>30</v>
      </c>
      <c r="F77" s="1358" t="s">
        <v>733</v>
      </c>
      <c r="G77" s="27">
        <v>16284</v>
      </c>
      <c r="H77" s="1251">
        <v>0</v>
      </c>
      <c r="I77" s="1252">
        <v>0</v>
      </c>
      <c r="J77" s="448">
        <v>0</v>
      </c>
      <c r="K77" s="460">
        <v>0</v>
      </c>
      <c r="L77" s="460">
        <v>0</v>
      </c>
      <c r="M77" s="1156">
        <v>16284</v>
      </c>
      <c r="N77" s="176">
        <v>16284</v>
      </c>
      <c r="O77" s="323">
        <v>0</v>
      </c>
      <c r="P77" s="313">
        <f t="shared" si="6"/>
        <v>16284</v>
      </c>
      <c r="Q77" s="701">
        <v>0</v>
      </c>
      <c r="R77" s="1359">
        <v>0</v>
      </c>
      <c r="S77" s="448">
        <v>0</v>
      </c>
      <c r="T77" s="460">
        <v>0</v>
      </c>
      <c r="U77" s="451">
        <v>0</v>
      </c>
      <c r="V77" s="737">
        <v>0</v>
      </c>
      <c r="W77" s="460">
        <v>0</v>
      </c>
      <c r="X77" s="460">
        <v>0</v>
      </c>
      <c r="Y77" s="460">
        <v>0</v>
      </c>
      <c r="Z77" s="449">
        <v>0</v>
      </c>
      <c r="AA77" s="451">
        <v>0</v>
      </c>
      <c r="AB77" s="1360" t="s">
        <v>193</v>
      </c>
      <c r="AC77" s="26" t="s">
        <v>14</v>
      </c>
    </row>
    <row r="78" spans="1:29" s="300" customFormat="1" outlineLevel="1" x14ac:dyDescent="0.25">
      <c r="A78" s="549" t="s">
        <v>734</v>
      </c>
      <c r="B78" s="1357" t="s">
        <v>197</v>
      </c>
      <c r="C78" s="493" t="s">
        <v>862</v>
      </c>
      <c r="D78" s="26" t="s">
        <v>30</v>
      </c>
      <c r="E78" s="455" t="s">
        <v>30</v>
      </c>
      <c r="F78" s="1358" t="s">
        <v>735</v>
      </c>
      <c r="G78" s="27">
        <v>31249</v>
      </c>
      <c r="H78" s="1251">
        <v>0</v>
      </c>
      <c r="I78" s="1252">
        <v>0</v>
      </c>
      <c r="J78" s="448">
        <v>0</v>
      </c>
      <c r="K78" s="460">
        <v>0</v>
      </c>
      <c r="L78" s="460">
        <v>0</v>
      </c>
      <c r="M78" s="1156">
        <v>0</v>
      </c>
      <c r="N78" s="176">
        <v>0</v>
      </c>
      <c r="O78" s="323">
        <v>0</v>
      </c>
      <c r="P78" s="313">
        <f t="shared" si="6"/>
        <v>0</v>
      </c>
      <c r="Q78" s="701">
        <v>31249</v>
      </c>
      <c r="R78" s="1359">
        <v>0</v>
      </c>
      <c r="S78" s="448">
        <v>0</v>
      </c>
      <c r="T78" s="460">
        <v>0</v>
      </c>
      <c r="U78" s="451">
        <v>0</v>
      </c>
      <c r="V78" s="737">
        <v>0</v>
      </c>
      <c r="W78" s="460">
        <v>0</v>
      </c>
      <c r="X78" s="460">
        <v>0</v>
      </c>
      <c r="Y78" s="460">
        <v>0</v>
      </c>
      <c r="Z78" s="449">
        <v>0</v>
      </c>
      <c r="AA78" s="451">
        <v>0</v>
      </c>
      <c r="AB78" s="1360" t="s">
        <v>193</v>
      </c>
      <c r="AC78" s="26" t="s">
        <v>14</v>
      </c>
    </row>
    <row r="79" spans="1:29" s="300" customFormat="1" outlineLevel="1" x14ac:dyDescent="0.25">
      <c r="A79" s="549" t="s">
        <v>736</v>
      </c>
      <c r="B79" s="1357" t="s">
        <v>197</v>
      </c>
      <c r="C79" s="493" t="s">
        <v>862</v>
      </c>
      <c r="D79" s="26" t="s">
        <v>30</v>
      </c>
      <c r="E79" s="455" t="s">
        <v>30</v>
      </c>
      <c r="F79" s="1358" t="s">
        <v>737</v>
      </c>
      <c r="G79" s="27">
        <v>30912</v>
      </c>
      <c r="H79" s="1251">
        <v>0</v>
      </c>
      <c r="I79" s="1252">
        <v>0</v>
      </c>
      <c r="J79" s="448">
        <v>0</v>
      </c>
      <c r="K79" s="460">
        <v>0</v>
      </c>
      <c r="L79" s="460">
        <v>0</v>
      </c>
      <c r="M79" s="1156">
        <v>0</v>
      </c>
      <c r="N79" s="176">
        <v>0</v>
      </c>
      <c r="O79" s="323">
        <v>0</v>
      </c>
      <c r="P79" s="313">
        <f t="shared" si="6"/>
        <v>0</v>
      </c>
      <c r="Q79" s="701">
        <v>30912</v>
      </c>
      <c r="R79" s="1359">
        <v>0</v>
      </c>
      <c r="S79" s="448">
        <v>0</v>
      </c>
      <c r="T79" s="460">
        <v>0</v>
      </c>
      <c r="U79" s="451">
        <v>0</v>
      </c>
      <c r="V79" s="737">
        <v>0</v>
      </c>
      <c r="W79" s="460">
        <v>0</v>
      </c>
      <c r="X79" s="460">
        <v>0</v>
      </c>
      <c r="Y79" s="460">
        <v>0</v>
      </c>
      <c r="Z79" s="449">
        <v>0</v>
      </c>
      <c r="AA79" s="451">
        <v>0</v>
      </c>
      <c r="AB79" s="1360" t="s">
        <v>193</v>
      </c>
      <c r="AC79" s="26" t="s">
        <v>14</v>
      </c>
    </row>
    <row r="80" spans="1:29" s="300" customFormat="1" ht="30" customHeight="1" outlineLevel="1" x14ac:dyDescent="0.25">
      <c r="A80" s="549" t="s">
        <v>738</v>
      </c>
      <c r="B80" s="1357" t="s">
        <v>197</v>
      </c>
      <c r="C80" s="493" t="s">
        <v>862</v>
      </c>
      <c r="D80" s="26" t="s">
        <v>30</v>
      </c>
      <c r="E80" s="455" t="s">
        <v>30</v>
      </c>
      <c r="F80" s="1358" t="s">
        <v>739</v>
      </c>
      <c r="G80" s="27">
        <v>907.5</v>
      </c>
      <c r="H80" s="1251">
        <v>0</v>
      </c>
      <c r="I80" s="1252">
        <v>0</v>
      </c>
      <c r="J80" s="448">
        <v>0</v>
      </c>
      <c r="K80" s="460">
        <v>0</v>
      </c>
      <c r="L80" s="460">
        <v>0</v>
      </c>
      <c r="M80" s="1156">
        <f>908-0.5</f>
        <v>907.5</v>
      </c>
      <c r="N80" s="176">
        <v>907.5</v>
      </c>
      <c r="O80" s="323">
        <v>0</v>
      </c>
      <c r="P80" s="313">
        <f t="shared" si="6"/>
        <v>907.5</v>
      </c>
      <c r="Q80" s="701">
        <v>0</v>
      </c>
      <c r="R80" s="1359">
        <v>0</v>
      </c>
      <c r="S80" s="448">
        <v>0</v>
      </c>
      <c r="T80" s="460">
        <v>0</v>
      </c>
      <c r="U80" s="451">
        <v>0</v>
      </c>
      <c r="V80" s="737">
        <v>0</v>
      </c>
      <c r="W80" s="460">
        <v>0</v>
      </c>
      <c r="X80" s="460">
        <v>0</v>
      </c>
      <c r="Y80" s="460">
        <v>0</v>
      </c>
      <c r="Z80" s="449">
        <v>0</v>
      </c>
      <c r="AA80" s="451">
        <v>0</v>
      </c>
      <c r="AB80" s="1360" t="s">
        <v>193</v>
      </c>
      <c r="AC80" s="26" t="s">
        <v>14</v>
      </c>
    </row>
    <row r="81" spans="1:29" s="300" customFormat="1" ht="46.5" customHeight="1" outlineLevel="1" x14ac:dyDescent="0.25">
      <c r="A81" s="492" t="s">
        <v>740</v>
      </c>
      <c r="B81" s="1354" t="s">
        <v>197</v>
      </c>
      <c r="C81" s="493" t="s">
        <v>862</v>
      </c>
      <c r="D81" s="24" t="s">
        <v>30</v>
      </c>
      <c r="E81" s="494" t="s">
        <v>30</v>
      </c>
      <c r="F81" s="1355" t="s">
        <v>741</v>
      </c>
      <c r="G81" s="113">
        <v>5885</v>
      </c>
      <c r="H81" s="1140">
        <v>0</v>
      </c>
      <c r="I81" s="1141">
        <v>0</v>
      </c>
      <c r="J81" s="432">
        <v>0</v>
      </c>
      <c r="K81" s="450">
        <v>1000</v>
      </c>
      <c r="L81" s="450">
        <v>1000</v>
      </c>
      <c r="M81" s="1350">
        <v>3885</v>
      </c>
      <c r="N81" s="175">
        <v>5885</v>
      </c>
      <c r="O81" s="129">
        <v>0</v>
      </c>
      <c r="P81" s="312">
        <f t="shared" si="6"/>
        <v>5885</v>
      </c>
      <c r="Q81" s="564">
        <v>0</v>
      </c>
      <c r="R81" s="1356">
        <v>0</v>
      </c>
      <c r="S81" s="432">
        <v>0</v>
      </c>
      <c r="T81" s="450">
        <v>0</v>
      </c>
      <c r="U81" s="434">
        <v>0</v>
      </c>
      <c r="V81" s="761">
        <v>0</v>
      </c>
      <c r="W81" s="450">
        <v>0</v>
      </c>
      <c r="X81" s="450">
        <v>0</v>
      </c>
      <c r="Y81" s="450">
        <v>0</v>
      </c>
      <c r="Z81" s="433">
        <v>0</v>
      </c>
      <c r="AA81" s="434">
        <v>0</v>
      </c>
      <c r="AB81" s="1353" t="s">
        <v>193</v>
      </c>
      <c r="AC81" s="24" t="s">
        <v>14</v>
      </c>
    </row>
    <row r="82" spans="1:29" s="260" customFormat="1" ht="12.6" customHeight="1" outlineLevel="1" thickBot="1" x14ac:dyDescent="0.3">
      <c r="A82" s="154" t="s">
        <v>211</v>
      </c>
      <c r="B82" s="76" t="s">
        <v>211</v>
      </c>
      <c r="C82" s="174" t="s">
        <v>211</v>
      </c>
      <c r="D82" s="301" t="s">
        <v>211</v>
      </c>
      <c r="E82" s="301" t="s">
        <v>211</v>
      </c>
      <c r="F82" s="119" t="s">
        <v>211</v>
      </c>
      <c r="G82" s="153" t="s">
        <v>211</v>
      </c>
      <c r="H82" s="152" t="s">
        <v>211</v>
      </c>
      <c r="I82" s="288" t="s">
        <v>211</v>
      </c>
      <c r="J82" s="115" t="s">
        <v>211</v>
      </c>
      <c r="K82" s="90" t="s">
        <v>211</v>
      </c>
      <c r="L82" s="90" t="s">
        <v>211</v>
      </c>
      <c r="M82" s="81" t="s">
        <v>211</v>
      </c>
      <c r="N82" s="81" t="s">
        <v>211</v>
      </c>
      <c r="O82" s="92" t="s">
        <v>211</v>
      </c>
      <c r="P82" s="50" t="s">
        <v>211</v>
      </c>
      <c r="Q82" s="116" t="s">
        <v>211</v>
      </c>
      <c r="R82" s="50" t="s">
        <v>211</v>
      </c>
      <c r="S82" s="115" t="s">
        <v>211</v>
      </c>
      <c r="T82" s="90" t="s">
        <v>211</v>
      </c>
      <c r="U82" s="88" t="s">
        <v>211</v>
      </c>
      <c r="V82" s="121" t="s">
        <v>211</v>
      </c>
      <c r="W82" s="100" t="s">
        <v>211</v>
      </c>
      <c r="X82" s="91" t="s">
        <v>211</v>
      </c>
      <c r="Y82" s="91" t="s">
        <v>211</v>
      </c>
      <c r="Z82" s="93" t="s">
        <v>211</v>
      </c>
      <c r="AA82" s="81" t="s">
        <v>211</v>
      </c>
      <c r="AB82" s="81" t="s">
        <v>211</v>
      </c>
      <c r="AC82" s="174" t="s">
        <v>211</v>
      </c>
    </row>
    <row r="83" spans="1:29" ht="26.25" thickBot="1" x14ac:dyDescent="0.3">
      <c r="A83" s="69" t="s">
        <v>193</v>
      </c>
      <c r="B83" s="240" t="s">
        <v>193</v>
      </c>
      <c r="C83" s="10" t="s">
        <v>193</v>
      </c>
      <c r="D83" s="297" t="s">
        <v>193</v>
      </c>
      <c r="E83" s="297" t="s">
        <v>193</v>
      </c>
      <c r="F83" s="79" t="s">
        <v>221</v>
      </c>
      <c r="G83" s="307">
        <f>SUM(G30:G82)</f>
        <v>2502241.1287500001</v>
      </c>
      <c r="H83" s="307">
        <f>SUM(H30:H82)</f>
        <v>788757.25043999997</v>
      </c>
      <c r="I83" s="307">
        <f>SUM(I30:I82)</f>
        <v>12175.0092</v>
      </c>
      <c r="J83" s="307">
        <f t="shared" ref="J83" si="7">SUM(J30:J82)</f>
        <v>47818.508500000004</v>
      </c>
      <c r="K83" s="87">
        <f t="shared" ref="K83:AA83" si="8">SUM(K30:K82)</f>
        <v>120670.02601</v>
      </c>
      <c r="L83" s="87">
        <f t="shared" si="8"/>
        <v>165792.67449</v>
      </c>
      <c r="M83" s="57">
        <f t="shared" si="8"/>
        <v>228171.05961999999</v>
      </c>
      <c r="N83" s="307">
        <f t="shared" si="8"/>
        <v>505952.26861999993</v>
      </c>
      <c r="O83" s="307">
        <f t="shared" si="8"/>
        <v>56500</v>
      </c>
      <c r="P83" s="307">
        <f t="shared" si="8"/>
        <v>562452.26861999999</v>
      </c>
      <c r="Q83" s="128">
        <f t="shared" si="8"/>
        <v>481207.42708000005</v>
      </c>
      <c r="R83" s="307">
        <f t="shared" si="8"/>
        <v>664824.18261000002</v>
      </c>
      <c r="S83" s="86">
        <f t="shared" si="8"/>
        <v>5000</v>
      </c>
      <c r="T83" s="87">
        <f t="shared" si="8"/>
        <v>0</v>
      </c>
      <c r="U83" s="170">
        <f t="shared" si="8"/>
        <v>0</v>
      </c>
      <c r="V83" s="86">
        <f t="shared" si="8"/>
        <v>269921.26763999998</v>
      </c>
      <c r="W83" s="87">
        <f t="shared" si="8"/>
        <v>20789.978940000001</v>
      </c>
      <c r="X83" s="87">
        <f t="shared" si="8"/>
        <v>2886.30078</v>
      </c>
      <c r="Y83" s="87">
        <f t="shared" si="8"/>
        <v>190578.25305999999</v>
      </c>
      <c r="Z83" s="87">
        <f t="shared" si="8"/>
        <v>34457.035640000002</v>
      </c>
      <c r="AA83" s="170">
        <f t="shared" si="8"/>
        <v>24096</v>
      </c>
      <c r="AB83" s="11" t="s">
        <v>701</v>
      </c>
      <c r="AC83" s="10" t="s">
        <v>193</v>
      </c>
    </row>
    <row r="84" spans="1:29" ht="30" outlineLevel="1" x14ac:dyDescent="0.25">
      <c r="A84" s="492" t="s">
        <v>641</v>
      </c>
      <c r="B84" s="554" t="s">
        <v>38</v>
      </c>
      <c r="C84" s="24" t="s">
        <v>251</v>
      </c>
      <c r="D84" s="494" t="s">
        <v>8</v>
      </c>
      <c r="E84" s="555" t="s">
        <v>39</v>
      </c>
      <c r="F84" s="556" t="s">
        <v>40</v>
      </c>
      <c r="G84" s="262">
        <v>17735.187600000001</v>
      </c>
      <c r="H84" s="113">
        <v>17014.405350000001</v>
      </c>
      <c r="I84" s="557">
        <v>0</v>
      </c>
      <c r="J84" s="558">
        <v>0</v>
      </c>
      <c r="K84" s="559">
        <v>0</v>
      </c>
      <c r="L84" s="559">
        <v>0</v>
      </c>
      <c r="M84" s="560">
        <v>0</v>
      </c>
      <c r="N84" s="175">
        <v>0</v>
      </c>
      <c r="O84" s="316">
        <v>0</v>
      </c>
      <c r="P84" s="312">
        <f t="shared" ref="P84:P96" si="9">N84+O84</f>
        <v>0</v>
      </c>
      <c r="Q84" s="66">
        <v>720.78224999999998</v>
      </c>
      <c r="R84" s="496">
        <v>0</v>
      </c>
      <c r="S84" s="558">
        <v>0</v>
      </c>
      <c r="T84" s="559">
        <v>0</v>
      </c>
      <c r="U84" s="561">
        <v>0</v>
      </c>
      <c r="V84" s="562">
        <v>0</v>
      </c>
      <c r="W84" s="563">
        <v>0</v>
      </c>
      <c r="X84" s="563">
        <v>0</v>
      </c>
      <c r="Y84" s="563">
        <v>0</v>
      </c>
      <c r="Z84" s="433">
        <v>0</v>
      </c>
      <c r="AA84" s="564">
        <v>0</v>
      </c>
      <c r="AB84" s="24" t="s">
        <v>492</v>
      </c>
      <c r="AC84" s="24" t="s">
        <v>399</v>
      </c>
    </row>
    <row r="85" spans="1:29" ht="25.5" outlineLevel="1" x14ac:dyDescent="0.25">
      <c r="A85" s="453" t="s">
        <v>642</v>
      </c>
      <c r="B85" s="565" t="s">
        <v>41</v>
      </c>
      <c r="C85" s="566" t="s">
        <v>250</v>
      </c>
      <c r="D85" s="567" t="s">
        <v>8</v>
      </c>
      <c r="E85" s="455" t="s">
        <v>42</v>
      </c>
      <c r="F85" s="568" t="s">
        <v>43</v>
      </c>
      <c r="G85" s="569">
        <f>104982.385+3149.47155+1989.802</f>
        <v>110121.65854999999</v>
      </c>
      <c r="H85" s="27">
        <v>3677.77925</v>
      </c>
      <c r="I85" s="550">
        <v>3742.7064</v>
      </c>
      <c r="J85" s="571">
        <v>1313.1157000000001</v>
      </c>
      <c r="K85" s="572">
        <f>15000+3686.8843</f>
        <v>18686.884300000002</v>
      </c>
      <c r="L85" s="572">
        <v>20000</v>
      </c>
      <c r="M85" s="573">
        <v>22377.95103</v>
      </c>
      <c r="N85" s="175">
        <v>62377.951029999997</v>
      </c>
      <c r="O85" s="316">
        <v>0</v>
      </c>
      <c r="P85" s="313">
        <f t="shared" si="9"/>
        <v>62377.951029999997</v>
      </c>
      <c r="Q85" s="574">
        <v>44065.928269999997</v>
      </c>
      <c r="R85" s="575">
        <v>0</v>
      </c>
      <c r="S85" s="571">
        <v>0</v>
      </c>
      <c r="T85" s="572">
        <v>0</v>
      </c>
      <c r="U85" s="576">
        <v>0</v>
      </c>
      <c r="V85" s="577">
        <v>105000</v>
      </c>
      <c r="W85" s="579">
        <v>1639.57725</v>
      </c>
      <c r="X85" s="1477">
        <v>3742.7064</v>
      </c>
      <c r="Y85" s="449">
        <v>59294.494480000001</v>
      </c>
      <c r="Z85" s="578">
        <v>44065.928269999997</v>
      </c>
      <c r="AA85" s="579">
        <v>0</v>
      </c>
      <c r="AB85" s="553" t="s">
        <v>193</v>
      </c>
      <c r="AC85" s="566" t="s">
        <v>20</v>
      </c>
    </row>
    <row r="86" spans="1:29" ht="30" outlineLevel="1" x14ac:dyDescent="0.25">
      <c r="A86" s="549" t="s">
        <v>643</v>
      </c>
      <c r="B86" s="454" t="s">
        <v>44</v>
      </c>
      <c r="C86" s="26" t="s">
        <v>261</v>
      </c>
      <c r="D86" s="455" t="s">
        <v>8</v>
      </c>
      <c r="E86" s="26" t="s">
        <v>281</v>
      </c>
      <c r="F86" s="580" t="s">
        <v>692</v>
      </c>
      <c r="G86" s="27">
        <v>24585.773000000001</v>
      </c>
      <c r="H86" s="581">
        <v>585.77300000000002</v>
      </c>
      <c r="I86" s="582">
        <v>0</v>
      </c>
      <c r="J86" s="446">
        <v>0</v>
      </c>
      <c r="K86" s="447">
        <v>12000</v>
      </c>
      <c r="L86" s="447">
        <v>0</v>
      </c>
      <c r="M86" s="583">
        <v>12000</v>
      </c>
      <c r="N86" s="175">
        <v>24000</v>
      </c>
      <c r="O86" s="316">
        <v>0</v>
      </c>
      <c r="P86" s="313">
        <f t="shared" si="9"/>
        <v>24000</v>
      </c>
      <c r="Q86" s="584">
        <v>0</v>
      </c>
      <c r="R86" s="28">
        <v>0</v>
      </c>
      <c r="S86" s="446">
        <v>0</v>
      </c>
      <c r="T86" s="447">
        <v>0</v>
      </c>
      <c r="U86" s="585">
        <v>0</v>
      </c>
      <c r="V86" s="586">
        <v>0</v>
      </c>
      <c r="W86" s="587">
        <v>0</v>
      </c>
      <c r="X86" s="588">
        <v>0</v>
      </c>
      <c r="Y86" s="588">
        <v>0</v>
      </c>
      <c r="Z86" s="587">
        <v>0</v>
      </c>
      <c r="AA86" s="589">
        <v>0</v>
      </c>
      <c r="AB86" s="553" t="s">
        <v>193</v>
      </c>
      <c r="AC86" s="26" t="s">
        <v>14</v>
      </c>
    </row>
    <row r="87" spans="1:29" ht="25.5" outlineLevel="1" x14ac:dyDescent="0.25">
      <c r="A87" s="531" t="s">
        <v>644</v>
      </c>
      <c r="B87" s="590" t="s">
        <v>45</v>
      </c>
      <c r="C87" s="591" t="s">
        <v>562</v>
      </c>
      <c r="D87" s="592" t="s">
        <v>8</v>
      </c>
      <c r="E87" s="593" t="s">
        <v>46</v>
      </c>
      <c r="F87" s="594" t="s">
        <v>47</v>
      </c>
      <c r="G87" s="595">
        <f>69390.465+1254.802+5968.67241+985.0158</f>
        <v>77598.955209999986</v>
      </c>
      <c r="H87" s="536">
        <v>71371.520969999998</v>
      </c>
      <c r="I87" s="596">
        <v>4304.871689999999</v>
      </c>
      <c r="J87" s="597">
        <v>5242.4184400000004</v>
      </c>
      <c r="K87" s="598">
        <v>985.01580000000001</v>
      </c>
      <c r="L87" s="598">
        <v>0</v>
      </c>
      <c r="M87" s="599">
        <v>0</v>
      </c>
      <c r="N87" s="600">
        <v>5242.4184400000004</v>
      </c>
      <c r="O87" s="353">
        <v>985.01580000000001</v>
      </c>
      <c r="P87" s="601">
        <f t="shared" si="9"/>
        <v>6227.4342400000005</v>
      </c>
      <c r="Q87" s="602">
        <v>0</v>
      </c>
      <c r="R87" s="603">
        <v>0</v>
      </c>
      <c r="S87" s="597">
        <v>0</v>
      </c>
      <c r="T87" s="598">
        <v>0</v>
      </c>
      <c r="U87" s="604">
        <v>0</v>
      </c>
      <c r="V87" s="605">
        <v>56094.209450000002</v>
      </c>
      <c r="W87" s="606">
        <v>49866.775209999993</v>
      </c>
      <c r="X87" s="546">
        <v>4304.871689999999</v>
      </c>
      <c r="Y87" s="546">
        <v>6227.4342399999996</v>
      </c>
      <c r="Z87" s="606">
        <v>0</v>
      </c>
      <c r="AA87" s="607">
        <v>0</v>
      </c>
      <c r="AB87" s="608" t="s">
        <v>793</v>
      </c>
      <c r="AC87" s="591" t="s">
        <v>399</v>
      </c>
    </row>
    <row r="88" spans="1:29" ht="38.25" outlineLevel="1" x14ac:dyDescent="0.25">
      <c r="A88" s="609" t="s">
        <v>645</v>
      </c>
      <c r="B88" s="610" t="s">
        <v>48</v>
      </c>
      <c r="C88" s="611" t="s">
        <v>246</v>
      </c>
      <c r="D88" s="612" t="s">
        <v>8</v>
      </c>
      <c r="E88" s="613" t="s">
        <v>49</v>
      </c>
      <c r="F88" s="614" t="s">
        <v>598</v>
      </c>
      <c r="G88" s="615">
        <v>0</v>
      </c>
      <c r="H88" s="616">
        <v>0</v>
      </c>
      <c r="I88" s="616">
        <v>0</v>
      </c>
      <c r="J88" s="618">
        <v>0</v>
      </c>
      <c r="K88" s="619">
        <v>0</v>
      </c>
      <c r="L88" s="620">
        <v>0</v>
      </c>
      <c r="M88" s="621">
        <v>0</v>
      </c>
      <c r="N88" s="622">
        <v>0</v>
      </c>
      <c r="O88" s="623">
        <v>0</v>
      </c>
      <c r="P88" s="624">
        <f t="shared" si="9"/>
        <v>0</v>
      </c>
      <c r="Q88" s="625">
        <v>0</v>
      </c>
      <c r="R88" s="624">
        <v>0</v>
      </c>
      <c r="S88" s="626">
        <v>0</v>
      </c>
      <c r="T88" s="627">
        <v>0</v>
      </c>
      <c r="U88" s="628">
        <v>0</v>
      </c>
      <c r="V88" s="629">
        <v>0</v>
      </c>
      <c r="W88" s="630">
        <v>0</v>
      </c>
      <c r="X88" s="631">
        <v>0</v>
      </c>
      <c r="Y88" s="632">
        <v>0</v>
      </c>
      <c r="Z88" s="632">
        <v>0</v>
      </c>
      <c r="AA88" s="633">
        <v>0</v>
      </c>
      <c r="AB88" s="634" t="s">
        <v>798</v>
      </c>
      <c r="AC88" s="635" t="s">
        <v>202</v>
      </c>
    </row>
    <row r="89" spans="1:29" ht="30" outlineLevel="1" x14ac:dyDescent="0.25">
      <c r="A89" s="767" t="s">
        <v>646</v>
      </c>
      <c r="B89" s="768" t="s">
        <v>52</v>
      </c>
      <c r="C89" s="769" t="s">
        <v>246</v>
      </c>
      <c r="D89" s="770" t="s">
        <v>8</v>
      </c>
      <c r="E89" s="771" t="s">
        <v>51</v>
      </c>
      <c r="F89" s="772" t="s">
        <v>599</v>
      </c>
      <c r="G89" s="789">
        <f>14599.42-14460.27</f>
        <v>139.14999999999964</v>
      </c>
      <c r="H89" s="773">
        <v>139.15</v>
      </c>
      <c r="I89" s="774">
        <v>0</v>
      </c>
      <c r="J89" s="775">
        <v>0</v>
      </c>
      <c r="K89" s="776">
        <v>0</v>
      </c>
      <c r="L89" s="776">
        <v>0</v>
      </c>
      <c r="M89" s="777">
        <v>0</v>
      </c>
      <c r="N89" s="778">
        <v>0</v>
      </c>
      <c r="O89" s="779">
        <v>0</v>
      </c>
      <c r="P89" s="779">
        <f t="shared" si="9"/>
        <v>0</v>
      </c>
      <c r="Q89" s="790">
        <v>0</v>
      </c>
      <c r="R89" s="780">
        <v>0</v>
      </c>
      <c r="S89" s="775">
        <v>0</v>
      </c>
      <c r="T89" s="776">
        <v>0</v>
      </c>
      <c r="U89" s="781">
        <v>0</v>
      </c>
      <c r="V89" s="782">
        <v>0</v>
      </c>
      <c r="W89" s="783">
        <v>0</v>
      </c>
      <c r="X89" s="784">
        <v>0</v>
      </c>
      <c r="Y89" s="784">
        <v>0</v>
      </c>
      <c r="Z89" s="783">
        <v>0</v>
      </c>
      <c r="AA89" s="785">
        <v>0</v>
      </c>
      <c r="AB89" s="769" t="s">
        <v>799</v>
      </c>
      <c r="AC89" s="769" t="s">
        <v>210</v>
      </c>
    </row>
    <row r="90" spans="1:29" ht="30" outlineLevel="1" x14ac:dyDescent="0.25">
      <c r="A90" s="636" t="s">
        <v>647</v>
      </c>
      <c r="B90" s="609" t="s">
        <v>53</v>
      </c>
      <c r="C90" s="634" t="s">
        <v>246</v>
      </c>
      <c r="D90" s="610" t="s">
        <v>54</v>
      </c>
      <c r="E90" s="611" t="s">
        <v>54</v>
      </c>
      <c r="F90" s="612" t="s">
        <v>600</v>
      </c>
      <c r="G90" s="637">
        <f>2500-2500</f>
        <v>0</v>
      </c>
      <c r="H90" s="638">
        <v>0</v>
      </c>
      <c r="I90" s="615">
        <v>0</v>
      </c>
      <c r="J90" s="639">
        <v>0</v>
      </c>
      <c r="K90" s="617">
        <v>0</v>
      </c>
      <c r="L90" s="617">
        <v>0</v>
      </c>
      <c r="M90" s="640">
        <v>0</v>
      </c>
      <c r="N90" s="641">
        <v>0</v>
      </c>
      <c r="O90" s="642">
        <v>0</v>
      </c>
      <c r="P90" s="648">
        <f t="shared" si="9"/>
        <v>0</v>
      </c>
      <c r="Q90" s="643">
        <v>0</v>
      </c>
      <c r="R90" s="622">
        <v>0</v>
      </c>
      <c r="S90" s="639">
        <v>0</v>
      </c>
      <c r="T90" s="617">
        <v>0</v>
      </c>
      <c r="U90" s="644">
        <v>0</v>
      </c>
      <c r="V90" s="645">
        <v>0</v>
      </c>
      <c r="W90" s="646">
        <v>0</v>
      </c>
      <c r="X90" s="647">
        <v>0</v>
      </c>
      <c r="Y90" s="647">
        <v>0</v>
      </c>
      <c r="Z90" s="646">
        <v>0</v>
      </c>
      <c r="AA90" s="626">
        <v>0</v>
      </c>
      <c r="AB90" s="634" t="s">
        <v>800</v>
      </c>
      <c r="AC90" s="634" t="s">
        <v>202</v>
      </c>
    </row>
    <row r="91" spans="1:29" ht="25.5" outlineLevel="1" x14ac:dyDescent="0.25">
      <c r="A91" s="492" t="s">
        <v>648</v>
      </c>
      <c r="B91" s="454" t="s">
        <v>56</v>
      </c>
      <c r="C91" s="26" t="s">
        <v>246</v>
      </c>
      <c r="D91" s="455" t="s">
        <v>8</v>
      </c>
      <c r="E91" s="649" t="s">
        <v>57</v>
      </c>
      <c r="F91" s="580" t="s">
        <v>601</v>
      </c>
      <c r="G91" s="27">
        <v>13824</v>
      </c>
      <c r="H91" s="113">
        <v>603.79</v>
      </c>
      <c r="I91" s="457">
        <v>0</v>
      </c>
      <c r="J91" s="446">
        <v>0</v>
      </c>
      <c r="K91" s="447">
        <v>0</v>
      </c>
      <c r="L91" s="447">
        <v>6000</v>
      </c>
      <c r="M91" s="445">
        <v>7220.21</v>
      </c>
      <c r="N91" s="175">
        <v>13220.21</v>
      </c>
      <c r="O91" s="316">
        <v>0</v>
      </c>
      <c r="P91" s="313">
        <f t="shared" si="9"/>
        <v>13220.21</v>
      </c>
      <c r="Q91" s="584">
        <v>0</v>
      </c>
      <c r="R91" s="28">
        <v>0</v>
      </c>
      <c r="S91" s="446">
        <v>0</v>
      </c>
      <c r="T91" s="447">
        <v>0</v>
      </c>
      <c r="U91" s="585">
        <v>0</v>
      </c>
      <c r="V91" s="586">
        <v>0</v>
      </c>
      <c r="W91" s="587">
        <v>0</v>
      </c>
      <c r="X91" s="588">
        <v>0</v>
      </c>
      <c r="Y91" s="588">
        <v>0</v>
      </c>
      <c r="Z91" s="587">
        <v>0</v>
      </c>
      <c r="AA91" s="589">
        <v>0</v>
      </c>
      <c r="AB91" s="552" t="s">
        <v>193</v>
      </c>
      <c r="AC91" s="26" t="s">
        <v>14</v>
      </c>
    </row>
    <row r="92" spans="1:29" ht="25.5" outlineLevel="1" x14ac:dyDescent="0.25">
      <c r="A92" s="384" t="s">
        <v>649</v>
      </c>
      <c r="B92" s="437" t="s">
        <v>58</v>
      </c>
      <c r="C92" s="41" t="s">
        <v>246</v>
      </c>
      <c r="D92" s="438" t="s">
        <v>8</v>
      </c>
      <c r="E92" s="985" t="s">
        <v>59</v>
      </c>
      <c r="F92" s="1390" t="s">
        <v>602</v>
      </c>
      <c r="G92" s="48">
        <v>88000</v>
      </c>
      <c r="H92" s="1391">
        <v>4516.4944000000005</v>
      </c>
      <c r="I92" s="1392">
        <v>0</v>
      </c>
      <c r="J92" s="441">
        <v>0</v>
      </c>
      <c r="K92" s="442">
        <v>0</v>
      </c>
      <c r="L92" s="442">
        <v>0</v>
      </c>
      <c r="M92" s="443">
        <v>0</v>
      </c>
      <c r="N92" s="175">
        <v>42640.177799999998</v>
      </c>
      <c r="O92" s="316">
        <v>-42640.177799999998</v>
      </c>
      <c r="P92" s="313">
        <f t="shared" si="9"/>
        <v>0</v>
      </c>
      <c r="Q92" s="1400">
        <v>83483.505600000004</v>
      </c>
      <c r="R92" s="1393">
        <v>0</v>
      </c>
      <c r="S92" s="441">
        <v>0</v>
      </c>
      <c r="T92" s="442">
        <v>0</v>
      </c>
      <c r="U92" s="1394">
        <v>0</v>
      </c>
      <c r="V92" s="1395">
        <v>0</v>
      </c>
      <c r="W92" s="1396">
        <v>0</v>
      </c>
      <c r="X92" s="1397">
        <v>0</v>
      </c>
      <c r="Y92" s="1397">
        <v>0</v>
      </c>
      <c r="Z92" s="1396">
        <v>0</v>
      </c>
      <c r="AA92" s="1398">
        <v>0</v>
      </c>
      <c r="AB92" s="1399" t="s">
        <v>875</v>
      </c>
      <c r="AC92" s="41" t="s">
        <v>14</v>
      </c>
    </row>
    <row r="93" spans="1:29" s="357" customFormat="1" ht="25.5" outlineLevel="1" x14ac:dyDescent="0.25">
      <c r="A93" s="652" t="s">
        <v>650</v>
      </c>
      <c r="B93" s="653" t="s">
        <v>61</v>
      </c>
      <c r="C93" s="654" t="s">
        <v>246</v>
      </c>
      <c r="D93" s="655" t="s">
        <v>8</v>
      </c>
      <c r="E93" s="656" t="s">
        <v>62</v>
      </c>
      <c r="F93" s="657" t="s">
        <v>63</v>
      </c>
      <c r="G93" s="658">
        <f>14292.75+381.66887+10.73</f>
        <v>14685.148869999999</v>
      </c>
      <c r="H93" s="659">
        <v>14278.718870000001</v>
      </c>
      <c r="I93" s="660">
        <v>10.73</v>
      </c>
      <c r="J93" s="661">
        <v>10.73</v>
      </c>
      <c r="K93" s="662">
        <v>0</v>
      </c>
      <c r="L93" s="662">
        <v>0</v>
      </c>
      <c r="M93" s="663">
        <v>0</v>
      </c>
      <c r="N93" s="354">
        <v>0</v>
      </c>
      <c r="O93" s="355">
        <v>10.73</v>
      </c>
      <c r="P93" s="356">
        <f>N93+O93</f>
        <v>10.73</v>
      </c>
      <c r="Q93" s="664">
        <v>0</v>
      </c>
      <c r="R93" s="665">
        <v>0</v>
      </c>
      <c r="S93" s="661">
        <v>0</v>
      </c>
      <c r="T93" s="662">
        <v>0</v>
      </c>
      <c r="U93" s="666">
        <v>395.7</v>
      </c>
      <c r="V93" s="667">
        <v>0</v>
      </c>
      <c r="W93" s="668">
        <v>0</v>
      </c>
      <c r="X93" s="669">
        <v>0</v>
      </c>
      <c r="Y93" s="669">
        <v>0</v>
      </c>
      <c r="Z93" s="668">
        <v>0</v>
      </c>
      <c r="AA93" s="670">
        <v>0</v>
      </c>
      <c r="AB93" s="671" t="s">
        <v>876</v>
      </c>
      <c r="AC93" s="654" t="s">
        <v>210</v>
      </c>
    </row>
    <row r="94" spans="1:29" ht="30" outlineLevel="1" x14ac:dyDescent="0.25">
      <c r="A94" s="492" t="s">
        <v>651</v>
      </c>
      <c r="B94" s="454" t="s">
        <v>67</v>
      </c>
      <c r="C94" s="26" t="s">
        <v>66</v>
      </c>
      <c r="D94" s="455" t="s">
        <v>64</v>
      </c>
      <c r="E94" s="649" t="s">
        <v>64</v>
      </c>
      <c r="F94" s="580" t="s">
        <v>68</v>
      </c>
      <c r="G94" s="27">
        <v>6900</v>
      </c>
      <c r="H94" s="113">
        <v>498.52</v>
      </c>
      <c r="I94" s="457">
        <v>0</v>
      </c>
      <c r="J94" s="446">
        <v>0</v>
      </c>
      <c r="K94" s="447">
        <v>0</v>
      </c>
      <c r="L94" s="447">
        <v>6401.48</v>
      </c>
      <c r="M94" s="445">
        <v>0</v>
      </c>
      <c r="N94" s="175">
        <v>6401.4800000000005</v>
      </c>
      <c r="O94" s="316">
        <v>0</v>
      </c>
      <c r="P94" s="313">
        <f t="shared" si="9"/>
        <v>6401.4800000000005</v>
      </c>
      <c r="Q94" s="576">
        <v>0</v>
      </c>
      <c r="R94" s="575">
        <v>0</v>
      </c>
      <c r="S94" s="446">
        <v>0</v>
      </c>
      <c r="T94" s="447">
        <v>0</v>
      </c>
      <c r="U94" s="585">
        <v>0</v>
      </c>
      <c r="V94" s="586">
        <v>0</v>
      </c>
      <c r="W94" s="587">
        <v>0</v>
      </c>
      <c r="X94" s="588">
        <v>0</v>
      </c>
      <c r="Y94" s="588">
        <v>0</v>
      </c>
      <c r="Z94" s="587">
        <v>0</v>
      </c>
      <c r="AA94" s="589">
        <v>0</v>
      </c>
      <c r="AB94" s="26" t="s">
        <v>470</v>
      </c>
      <c r="AC94" s="26" t="s">
        <v>14</v>
      </c>
    </row>
    <row r="95" spans="1:29" ht="25.5" outlineLevel="1" x14ac:dyDescent="0.25">
      <c r="A95" s="767" t="s">
        <v>652</v>
      </c>
      <c r="B95" s="768" t="s">
        <v>69</v>
      </c>
      <c r="C95" s="769" t="s">
        <v>66</v>
      </c>
      <c r="D95" s="770" t="s">
        <v>8</v>
      </c>
      <c r="E95" s="771" t="s">
        <v>70</v>
      </c>
      <c r="F95" s="772" t="s">
        <v>603</v>
      </c>
      <c r="G95" s="789">
        <f>69060-68948.2</f>
        <v>111.80000000000291</v>
      </c>
      <c r="H95" s="773">
        <v>111.8</v>
      </c>
      <c r="I95" s="774">
        <v>0</v>
      </c>
      <c r="J95" s="775">
        <v>0</v>
      </c>
      <c r="K95" s="776">
        <v>0</v>
      </c>
      <c r="L95" s="776">
        <v>0</v>
      </c>
      <c r="M95" s="777">
        <v>0</v>
      </c>
      <c r="N95" s="778">
        <v>0</v>
      </c>
      <c r="O95" s="779">
        <v>0</v>
      </c>
      <c r="P95" s="786">
        <f t="shared" si="9"/>
        <v>0</v>
      </c>
      <c r="Q95" s="790">
        <v>0</v>
      </c>
      <c r="R95" s="787">
        <v>0</v>
      </c>
      <c r="S95" s="775">
        <v>0</v>
      </c>
      <c r="T95" s="776">
        <v>0</v>
      </c>
      <c r="U95" s="781">
        <v>0</v>
      </c>
      <c r="V95" s="782">
        <v>0</v>
      </c>
      <c r="W95" s="783">
        <v>0</v>
      </c>
      <c r="X95" s="784">
        <v>0</v>
      </c>
      <c r="Y95" s="784">
        <v>0</v>
      </c>
      <c r="Z95" s="783">
        <v>0</v>
      </c>
      <c r="AA95" s="785">
        <v>0</v>
      </c>
      <c r="AB95" s="769" t="s">
        <v>801</v>
      </c>
      <c r="AC95" s="769" t="s">
        <v>210</v>
      </c>
    </row>
    <row r="96" spans="1:29" ht="30" outlineLevel="1" x14ac:dyDescent="0.25">
      <c r="A96" s="767" t="s">
        <v>653</v>
      </c>
      <c r="B96" s="768" t="s">
        <v>71</v>
      </c>
      <c r="C96" s="769" t="s">
        <v>66</v>
      </c>
      <c r="D96" s="770" t="s">
        <v>72</v>
      </c>
      <c r="E96" s="771" t="s">
        <v>72</v>
      </c>
      <c r="F96" s="772" t="s">
        <v>73</v>
      </c>
      <c r="G96" s="789">
        <f>1048.16-946.21</f>
        <v>101.95000000000005</v>
      </c>
      <c r="H96" s="773">
        <v>101.94999999999999</v>
      </c>
      <c r="I96" s="774">
        <v>0</v>
      </c>
      <c r="J96" s="775">
        <v>0</v>
      </c>
      <c r="K96" s="776">
        <v>0</v>
      </c>
      <c r="L96" s="776">
        <v>0</v>
      </c>
      <c r="M96" s="777">
        <v>0</v>
      </c>
      <c r="N96" s="778">
        <v>0</v>
      </c>
      <c r="O96" s="779">
        <v>0</v>
      </c>
      <c r="P96" s="786">
        <f t="shared" si="9"/>
        <v>0</v>
      </c>
      <c r="Q96" s="790">
        <v>0</v>
      </c>
      <c r="R96" s="787">
        <v>0</v>
      </c>
      <c r="S96" s="775">
        <v>0</v>
      </c>
      <c r="T96" s="776">
        <v>0</v>
      </c>
      <c r="U96" s="781">
        <v>0</v>
      </c>
      <c r="V96" s="782">
        <v>0</v>
      </c>
      <c r="W96" s="783">
        <v>0</v>
      </c>
      <c r="X96" s="784">
        <v>0</v>
      </c>
      <c r="Y96" s="784">
        <v>0</v>
      </c>
      <c r="Z96" s="783">
        <v>0</v>
      </c>
      <c r="AA96" s="785">
        <v>0</v>
      </c>
      <c r="AB96" s="769" t="s">
        <v>802</v>
      </c>
      <c r="AC96" s="769" t="s">
        <v>210</v>
      </c>
    </row>
    <row r="97" spans="1:29" ht="30" outlineLevel="1" x14ac:dyDescent="0.25">
      <c r="A97" s="767" t="s">
        <v>654</v>
      </c>
      <c r="B97" s="768" t="s">
        <v>74</v>
      </c>
      <c r="C97" s="769" t="s">
        <v>66</v>
      </c>
      <c r="D97" s="770" t="s">
        <v>8</v>
      </c>
      <c r="E97" s="771" t="s">
        <v>75</v>
      </c>
      <c r="F97" s="772" t="s">
        <v>604</v>
      </c>
      <c r="G97" s="789">
        <f>35544.96-33897.303</f>
        <v>1647.6569999999992</v>
      </c>
      <c r="H97" s="773">
        <v>1647.6570000000002</v>
      </c>
      <c r="I97" s="774">
        <v>0</v>
      </c>
      <c r="J97" s="775">
        <v>0</v>
      </c>
      <c r="K97" s="776">
        <v>0</v>
      </c>
      <c r="L97" s="776">
        <v>0</v>
      </c>
      <c r="M97" s="777">
        <v>0</v>
      </c>
      <c r="N97" s="778">
        <v>0</v>
      </c>
      <c r="O97" s="779">
        <v>0</v>
      </c>
      <c r="P97" s="786">
        <v>0</v>
      </c>
      <c r="Q97" s="790">
        <v>0</v>
      </c>
      <c r="R97" s="787">
        <v>0</v>
      </c>
      <c r="S97" s="775">
        <v>0</v>
      </c>
      <c r="T97" s="776">
        <v>0</v>
      </c>
      <c r="U97" s="781">
        <v>0</v>
      </c>
      <c r="V97" s="782">
        <v>0</v>
      </c>
      <c r="W97" s="783">
        <v>0</v>
      </c>
      <c r="X97" s="784">
        <v>0</v>
      </c>
      <c r="Y97" s="784">
        <v>0</v>
      </c>
      <c r="Z97" s="783">
        <v>0</v>
      </c>
      <c r="AA97" s="785">
        <v>0</v>
      </c>
      <c r="AB97" s="769" t="s">
        <v>803</v>
      </c>
      <c r="AC97" s="769" t="s">
        <v>210</v>
      </c>
    </row>
    <row r="98" spans="1:29" ht="25.5" outlineLevel="1" x14ac:dyDescent="0.25">
      <c r="A98" s="492" t="s">
        <v>655</v>
      </c>
      <c r="B98" s="454" t="s">
        <v>76</v>
      </c>
      <c r="C98" s="26" t="s">
        <v>66</v>
      </c>
      <c r="D98" s="455" t="s">
        <v>77</v>
      </c>
      <c r="E98" s="649" t="s">
        <v>77</v>
      </c>
      <c r="F98" s="580" t="s">
        <v>78</v>
      </c>
      <c r="G98" s="27">
        <v>3730</v>
      </c>
      <c r="H98" s="581">
        <v>101.64</v>
      </c>
      <c r="I98" s="582">
        <v>0</v>
      </c>
      <c r="J98" s="446">
        <v>0</v>
      </c>
      <c r="K98" s="447">
        <v>0</v>
      </c>
      <c r="L98" s="447">
        <v>3628.36</v>
      </c>
      <c r="M98" s="445">
        <v>0</v>
      </c>
      <c r="N98" s="175">
        <v>3628.36</v>
      </c>
      <c r="O98" s="316">
        <v>0</v>
      </c>
      <c r="P98" s="313">
        <f t="shared" ref="P98:P141" si="10">N98+O98</f>
        <v>3628.36</v>
      </c>
      <c r="Q98" s="576">
        <v>0</v>
      </c>
      <c r="R98" s="575">
        <v>0</v>
      </c>
      <c r="S98" s="446">
        <v>0</v>
      </c>
      <c r="T98" s="447">
        <v>0</v>
      </c>
      <c r="U98" s="585">
        <v>0</v>
      </c>
      <c r="V98" s="586">
        <v>0</v>
      </c>
      <c r="W98" s="587">
        <v>0</v>
      </c>
      <c r="X98" s="588">
        <v>0</v>
      </c>
      <c r="Y98" s="588">
        <v>0</v>
      </c>
      <c r="Z98" s="587">
        <v>0</v>
      </c>
      <c r="AA98" s="589">
        <v>0</v>
      </c>
      <c r="AB98" s="26" t="s">
        <v>193</v>
      </c>
      <c r="AC98" s="26" t="s">
        <v>14</v>
      </c>
    </row>
    <row r="99" spans="1:29" ht="25.5" outlineLevel="1" x14ac:dyDescent="0.25">
      <c r="A99" s="636" t="s">
        <v>656</v>
      </c>
      <c r="B99" s="609" t="s">
        <v>79</v>
      </c>
      <c r="C99" s="634" t="s">
        <v>66</v>
      </c>
      <c r="D99" s="610" t="s">
        <v>258</v>
      </c>
      <c r="E99" s="611" t="s">
        <v>258</v>
      </c>
      <c r="F99" s="612" t="s">
        <v>80</v>
      </c>
      <c r="G99" s="637">
        <f>4200-4200</f>
        <v>0</v>
      </c>
      <c r="H99" s="638">
        <v>0</v>
      </c>
      <c r="I99" s="615">
        <v>0</v>
      </c>
      <c r="J99" s="639">
        <v>0</v>
      </c>
      <c r="K99" s="617">
        <v>0</v>
      </c>
      <c r="L99" s="617">
        <v>0</v>
      </c>
      <c r="M99" s="640">
        <v>0</v>
      </c>
      <c r="N99" s="641">
        <v>0</v>
      </c>
      <c r="O99" s="642">
        <v>0</v>
      </c>
      <c r="P99" s="648">
        <f t="shared" si="10"/>
        <v>0</v>
      </c>
      <c r="Q99" s="643">
        <v>0</v>
      </c>
      <c r="R99" s="622">
        <v>0</v>
      </c>
      <c r="S99" s="639">
        <v>0</v>
      </c>
      <c r="T99" s="617">
        <v>0</v>
      </c>
      <c r="U99" s="644">
        <v>0</v>
      </c>
      <c r="V99" s="645">
        <v>0</v>
      </c>
      <c r="W99" s="646">
        <v>0</v>
      </c>
      <c r="X99" s="647">
        <v>0</v>
      </c>
      <c r="Y99" s="647">
        <v>0</v>
      </c>
      <c r="Z99" s="646">
        <v>0</v>
      </c>
      <c r="AA99" s="626">
        <v>0</v>
      </c>
      <c r="AB99" s="634" t="s">
        <v>804</v>
      </c>
      <c r="AC99" s="634" t="s">
        <v>202</v>
      </c>
    </row>
    <row r="100" spans="1:29" ht="25.5" outlineLevel="1" x14ac:dyDescent="0.25">
      <c r="A100" s="767" t="s">
        <v>657</v>
      </c>
      <c r="B100" s="768" t="s">
        <v>82</v>
      </c>
      <c r="C100" s="769" t="s">
        <v>81</v>
      </c>
      <c r="D100" s="770" t="s">
        <v>83</v>
      </c>
      <c r="E100" s="771" t="s">
        <v>83</v>
      </c>
      <c r="F100" s="772" t="s">
        <v>84</v>
      </c>
      <c r="G100" s="789">
        <f>4200-4030</f>
        <v>170</v>
      </c>
      <c r="H100" s="773">
        <v>170</v>
      </c>
      <c r="I100" s="774">
        <v>0</v>
      </c>
      <c r="J100" s="775">
        <v>0</v>
      </c>
      <c r="K100" s="776">
        <v>0</v>
      </c>
      <c r="L100" s="776">
        <v>0</v>
      </c>
      <c r="M100" s="777">
        <v>0</v>
      </c>
      <c r="N100" s="778">
        <v>0</v>
      </c>
      <c r="O100" s="779">
        <v>0</v>
      </c>
      <c r="P100" s="786">
        <f t="shared" si="10"/>
        <v>0</v>
      </c>
      <c r="Q100" s="790">
        <v>0</v>
      </c>
      <c r="R100" s="787">
        <v>0</v>
      </c>
      <c r="S100" s="775">
        <v>0</v>
      </c>
      <c r="T100" s="776">
        <v>0</v>
      </c>
      <c r="U100" s="781">
        <v>0</v>
      </c>
      <c r="V100" s="782">
        <v>0</v>
      </c>
      <c r="W100" s="783">
        <v>0</v>
      </c>
      <c r="X100" s="784">
        <v>0</v>
      </c>
      <c r="Y100" s="784">
        <v>0</v>
      </c>
      <c r="Z100" s="783">
        <v>0</v>
      </c>
      <c r="AA100" s="785">
        <v>0</v>
      </c>
      <c r="AB100" s="769" t="s">
        <v>805</v>
      </c>
      <c r="AC100" s="769" t="s">
        <v>210</v>
      </c>
    </row>
    <row r="101" spans="1:29" ht="25.5" outlineLevel="1" x14ac:dyDescent="0.25">
      <c r="A101" s="636" t="s">
        <v>658</v>
      </c>
      <c r="B101" s="609" t="s">
        <v>158</v>
      </c>
      <c r="C101" s="634" t="s">
        <v>34</v>
      </c>
      <c r="D101" s="610" t="s">
        <v>88</v>
      </c>
      <c r="E101" s="611" t="s">
        <v>88</v>
      </c>
      <c r="F101" s="612" t="s">
        <v>89</v>
      </c>
      <c r="G101" s="637">
        <f>6500-6500</f>
        <v>0</v>
      </c>
      <c r="H101" s="638">
        <v>0</v>
      </c>
      <c r="I101" s="615">
        <v>0</v>
      </c>
      <c r="J101" s="639">
        <v>0</v>
      </c>
      <c r="K101" s="617">
        <v>0</v>
      </c>
      <c r="L101" s="617">
        <v>0</v>
      </c>
      <c r="M101" s="640">
        <v>0</v>
      </c>
      <c r="N101" s="641">
        <v>0</v>
      </c>
      <c r="O101" s="642">
        <v>0</v>
      </c>
      <c r="P101" s="648">
        <f t="shared" si="10"/>
        <v>0</v>
      </c>
      <c r="Q101" s="643">
        <v>0</v>
      </c>
      <c r="R101" s="622">
        <v>0</v>
      </c>
      <c r="S101" s="639">
        <v>0</v>
      </c>
      <c r="T101" s="617">
        <v>0</v>
      </c>
      <c r="U101" s="644">
        <v>0</v>
      </c>
      <c r="V101" s="645">
        <v>0</v>
      </c>
      <c r="W101" s="646">
        <v>0</v>
      </c>
      <c r="X101" s="647">
        <v>0</v>
      </c>
      <c r="Y101" s="647">
        <v>0</v>
      </c>
      <c r="Z101" s="646">
        <v>0</v>
      </c>
      <c r="AA101" s="626">
        <v>0</v>
      </c>
      <c r="AB101" s="634" t="s">
        <v>806</v>
      </c>
      <c r="AC101" s="634" t="s">
        <v>202</v>
      </c>
    </row>
    <row r="102" spans="1:29" ht="25.5" outlineLevel="1" x14ac:dyDescent="0.25">
      <c r="A102" s="492" t="s">
        <v>659</v>
      </c>
      <c r="B102" s="454" t="s">
        <v>159</v>
      </c>
      <c r="C102" s="566" t="s">
        <v>34</v>
      </c>
      <c r="D102" s="494" t="s">
        <v>8</v>
      </c>
      <c r="E102" s="672" t="s">
        <v>90</v>
      </c>
      <c r="F102" s="673" t="s">
        <v>605</v>
      </c>
      <c r="G102" s="27">
        <v>15020.223969999999</v>
      </c>
      <c r="H102" s="581">
        <v>8027.6869399999996</v>
      </c>
      <c r="I102" s="582">
        <v>5635.9971699999996</v>
      </c>
      <c r="J102" s="446">
        <v>4980.7685899999997</v>
      </c>
      <c r="K102" s="447">
        <v>2011.7684400000001</v>
      </c>
      <c r="L102" s="447">
        <v>0</v>
      </c>
      <c r="M102" s="445">
        <v>0</v>
      </c>
      <c r="N102" s="175">
        <v>6992.5370299999995</v>
      </c>
      <c r="O102" s="316">
        <v>0</v>
      </c>
      <c r="P102" s="313">
        <f t="shared" si="10"/>
        <v>6992.5370299999995</v>
      </c>
      <c r="Q102" s="576">
        <v>0</v>
      </c>
      <c r="R102" s="575">
        <v>0</v>
      </c>
      <c r="S102" s="446">
        <v>0</v>
      </c>
      <c r="T102" s="447">
        <v>0</v>
      </c>
      <c r="U102" s="585">
        <v>0</v>
      </c>
      <c r="V102" s="586">
        <v>0</v>
      </c>
      <c r="W102" s="587">
        <v>0</v>
      </c>
      <c r="X102" s="588">
        <v>0</v>
      </c>
      <c r="Y102" s="588">
        <v>0</v>
      </c>
      <c r="Z102" s="587">
        <v>0</v>
      </c>
      <c r="AA102" s="589">
        <v>0</v>
      </c>
      <c r="AB102" s="26" t="s">
        <v>193</v>
      </c>
      <c r="AC102" s="553" t="s">
        <v>20</v>
      </c>
    </row>
    <row r="103" spans="1:29" ht="26.25" outlineLevel="1" thickBot="1" x14ac:dyDescent="0.3">
      <c r="A103" s="1402" t="s">
        <v>660</v>
      </c>
      <c r="B103" s="1403" t="s">
        <v>244</v>
      </c>
      <c r="C103" s="1404" t="s">
        <v>212</v>
      </c>
      <c r="D103" s="1404" t="s">
        <v>91</v>
      </c>
      <c r="E103" s="1404" t="s">
        <v>91</v>
      </c>
      <c r="F103" s="1405" t="s">
        <v>92</v>
      </c>
      <c r="G103" s="1406">
        <f>3500-3335.44</f>
        <v>164.55999999999995</v>
      </c>
      <c r="H103" s="1407">
        <v>164.56</v>
      </c>
      <c r="I103" s="1408">
        <v>0</v>
      </c>
      <c r="J103" s="1409">
        <v>0</v>
      </c>
      <c r="K103" s="1410">
        <v>0</v>
      </c>
      <c r="L103" s="1410">
        <v>0</v>
      </c>
      <c r="M103" s="1411">
        <v>0</v>
      </c>
      <c r="N103" s="1412">
        <v>0</v>
      </c>
      <c r="O103" s="1413">
        <v>0</v>
      </c>
      <c r="P103" s="1413">
        <f t="shared" si="10"/>
        <v>0</v>
      </c>
      <c r="Q103" s="1414">
        <v>0</v>
      </c>
      <c r="R103" s="1415">
        <v>0</v>
      </c>
      <c r="S103" s="1409">
        <v>0</v>
      </c>
      <c r="T103" s="1410">
        <v>0</v>
      </c>
      <c r="U103" s="1416">
        <v>0</v>
      </c>
      <c r="V103" s="1417">
        <v>0</v>
      </c>
      <c r="W103" s="1418">
        <v>0</v>
      </c>
      <c r="X103" s="1418">
        <v>0</v>
      </c>
      <c r="Y103" s="1418">
        <v>0</v>
      </c>
      <c r="Z103" s="1418">
        <v>0</v>
      </c>
      <c r="AA103" s="1419">
        <v>0</v>
      </c>
      <c r="AB103" s="1404" t="s">
        <v>807</v>
      </c>
      <c r="AC103" s="1404" t="s">
        <v>210</v>
      </c>
    </row>
    <row r="104" spans="1:29" ht="25.5" outlineLevel="1" x14ac:dyDescent="0.25">
      <c r="A104" s="636" t="s">
        <v>262</v>
      </c>
      <c r="B104" s="707" t="s">
        <v>197</v>
      </c>
      <c r="C104" s="708" t="s">
        <v>199</v>
      </c>
      <c r="D104" s="708" t="s">
        <v>160</v>
      </c>
      <c r="E104" s="708" t="s">
        <v>160</v>
      </c>
      <c r="F104" s="709" t="s">
        <v>161</v>
      </c>
      <c r="G104" s="710">
        <v>0</v>
      </c>
      <c r="H104" s="638">
        <v>0</v>
      </c>
      <c r="I104" s="615">
        <v>0</v>
      </c>
      <c r="J104" s="711">
        <v>0</v>
      </c>
      <c r="K104" s="712">
        <v>0</v>
      </c>
      <c r="L104" s="712">
        <v>0</v>
      </c>
      <c r="M104" s="713">
        <v>0</v>
      </c>
      <c r="N104" s="641">
        <v>1400</v>
      </c>
      <c r="O104" s="642">
        <v>-1400</v>
      </c>
      <c r="P104" s="642">
        <f t="shared" si="10"/>
        <v>0</v>
      </c>
      <c r="Q104" s="714">
        <v>0</v>
      </c>
      <c r="R104" s="715">
        <v>0</v>
      </c>
      <c r="S104" s="711">
        <v>0</v>
      </c>
      <c r="T104" s="712">
        <v>0</v>
      </c>
      <c r="U104" s="716">
        <v>0</v>
      </c>
      <c r="V104" s="717">
        <v>0</v>
      </c>
      <c r="W104" s="647">
        <v>0</v>
      </c>
      <c r="X104" s="647">
        <v>0</v>
      </c>
      <c r="Y104" s="647">
        <v>0</v>
      </c>
      <c r="Z104" s="647">
        <v>0</v>
      </c>
      <c r="AA104" s="625">
        <v>0</v>
      </c>
      <c r="AB104" s="708" t="s">
        <v>808</v>
      </c>
      <c r="AC104" s="708" t="s">
        <v>202</v>
      </c>
    </row>
    <row r="105" spans="1:29" ht="30" outlineLevel="1" x14ac:dyDescent="0.25">
      <c r="A105" s="674" t="s">
        <v>263</v>
      </c>
      <c r="B105" s="609" t="s">
        <v>197</v>
      </c>
      <c r="C105" s="634" t="s">
        <v>199</v>
      </c>
      <c r="D105" s="634" t="s">
        <v>8</v>
      </c>
      <c r="E105" s="634" t="s">
        <v>163</v>
      </c>
      <c r="F105" s="675" t="s">
        <v>606</v>
      </c>
      <c r="G105" s="676">
        <f>17000-17000</f>
        <v>0</v>
      </c>
      <c r="H105" s="638">
        <v>0</v>
      </c>
      <c r="I105" s="615">
        <v>0</v>
      </c>
      <c r="J105" s="639">
        <v>0</v>
      </c>
      <c r="K105" s="617">
        <v>0</v>
      </c>
      <c r="L105" s="617">
        <v>0</v>
      </c>
      <c r="M105" s="640">
        <v>0</v>
      </c>
      <c r="N105" s="641">
        <v>0</v>
      </c>
      <c r="O105" s="642">
        <v>0</v>
      </c>
      <c r="P105" s="648">
        <f t="shared" si="10"/>
        <v>0</v>
      </c>
      <c r="Q105" s="623">
        <v>0</v>
      </c>
      <c r="R105" s="624">
        <v>0</v>
      </c>
      <c r="S105" s="639">
        <v>0</v>
      </c>
      <c r="T105" s="617">
        <v>0</v>
      </c>
      <c r="U105" s="644">
        <v>0</v>
      </c>
      <c r="V105" s="645">
        <v>0</v>
      </c>
      <c r="W105" s="646">
        <v>0</v>
      </c>
      <c r="X105" s="647">
        <v>0</v>
      </c>
      <c r="Y105" s="647">
        <v>0</v>
      </c>
      <c r="Z105" s="646">
        <v>0</v>
      </c>
      <c r="AA105" s="626">
        <v>0</v>
      </c>
      <c r="AB105" s="634" t="s">
        <v>809</v>
      </c>
      <c r="AC105" s="634" t="s">
        <v>202</v>
      </c>
    </row>
    <row r="106" spans="1:29" ht="38.25" outlineLevel="1" x14ac:dyDescent="0.25">
      <c r="A106" s="549" t="s">
        <v>264</v>
      </c>
      <c r="B106" s="454" t="s">
        <v>197</v>
      </c>
      <c r="C106" s="26" t="s">
        <v>199</v>
      </c>
      <c r="D106" s="26" t="s">
        <v>8</v>
      </c>
      <c r="E106" s="26" t="s">
        <v>154</v>
      </c>
      <c r="F106" s="456" t="s">
        <v>607</v>
      </c>
      <c r="G106" s="677">
        <v>12100</v>
      </c>
      <c r="H106" s="581">
        <v>0</v>
      </c>
      <c r="I106" s="582">
        <v>0</v>
      </c>
      <c r="J106" s="446">
        <v>0</v>
      </c>
      <c r="K106" s="447">
        <v>0</v>
      </c>
      <c r="L106" s="447">
        <v>0</v>
      </c>
      <c r="M106" s="445">
        <v>2100</v>
      </c>
      <c r="N106" s="175">
        <v>2100</v>
      </c>
      <c r="O106" s="316">
        <v>0</v>
      </c>
      <c r="P106" s="313">
        <f t="shared" si="10"/>
        <v>2100</v>
      </c>
      <c r="Q106" s="589">
        <v>10000</v>
      </c>
      <c r="R106" s="678">
        <v>0</v>
      </c>
      <c r="S106" s="446">
        <v>0</v>
      </c>
      <c r="T106" s="447">
        <v>0</v>
      </c>
      <c r="U106" s="585">
        <v>0</v>
      </c>
      <c r="V106" s="586">
        <v>0</v>
      </c>
      <c r="W106" s="587">
        <v>0</v>
      </c>
      <c r="X106" s="588">
        <v>0</v>
      </c>
      <c r="Y106" s="588">
        <v>0</v>
      </c>
      <c r="Z106" s="587">
        <v>0</v>
      </c>
      <c r="AA106" s="589">
        <v>0</v>
      </c>
      <c r="AB106" s="26" t="s">
        <v>193</v>
      </c>
      <c r="AC106" s="26" t="s">
        <v>14</v>
      </c>
    </row>
    <row r="107" spans="1:29" ht="25.5" outlineLevel="1" x14ac:dyDescent="0.25">
      <c r="A107" s="674" t="s">
        <v>265</v>
      </c>
      <c r="B107" s="609" t="s">
        <v>197</v>
      </c>
      <c r="C107" s="634" t="s">
        <v>199</v>
      </c>
      <c r="D107" s="634" t="s">
        <v>156</v>
      </c>
      <c r="E107" s="634" t="s">
        <v>156</v>
      </c>
      <c r="F107" s="675" t="s">
        <v>608</v>
      </c>
      <c r="G107" s="676">
        <f>3950-3950</f>
        <v>0</v>
      </c>
      <c r="H107" s="638">
        <v>0</v>
      </c>
      <c r="I107" s="615">
        <v>0</v>
      </c>
      <c r="J107" s="639">
        <v>0</v>
      </c>
      <c r="K107" s="617">
        <v>0</v>
      </c>
      <c r="L107" s="617">
        <v>0</v>
      </c>
      <c r="M107" s="640">
        <v>0</v>
      </c>
      <c r="N107" s="641">
        <v>0</v>
      </c>
      <c r="O107" s="642">
        <v>0</v>
      </c>
      <c r="P107" s="648">
        <f t="shared" si="10"/>
        <v>0</v>
      </c>
      <c r="Q107" s="623">
        <v>0</v>
      </c>
      <c r="R107" s="624">
        <v>0</v>
      </c>
      <c r="S107" s="639">
        <v>0</v>
      </c>
      <c r="T107" s="617">
        <v>0</v>
      </c>
      <c r="U107" s="644">
        <v>0</v>
      </c>
      <c r="V107" s="645">
        <v>0</v>
      </c>
      <c r="W107" s="646">
        <v>0</v>
      </c>
      <c r="X107" s="647">
        <v>0</v>
      </c>
      <c r="Y107" s="647">
        <v>0</v>
      </c>
      <c r="Z107" s="646">
        <v>0</v>
      </c>
      <c r="AA107" s="626">
        <v>0</v>
      </c>
      <c r="AB107" s="634" t="s">
        <v>810</v>
      </c>
      <c r="AC107" s="634" t="s">
        <v>202</v>
      </c>
    </row>
    <row r="108" spans="1:29" ht="38.25" outlineLevel="1" x14ac:dyDescent="0.25">
      <c r="A108" s="674" t="s">
        <v>266</v>
      </c>
      <c r="B108" s="609" t="s">
        <v>197</v>
      </c>
      <c r="C108" s="634" t="s">
        <v>199</v>
      </c>
      <c r="D108" s="634" t="s">
        <v>55</v>
      </c>
      <c r="E108" s="634" t="s">
        <v>55</v>
      </c>
      <c r="F108" s="675" t="s">
        <v>609</v>
      </c>
      <c r="G108" s="676">
        <f>950-950</f>
        <v>0</v>
      </c>
      <c r="H108" s="638">
        <v>0</v>
      </c>
      <c r="I108" s="615">
        <v>0</v>
      </c>
      <c r="J108" s="639">
        <v>0</v>
      </c>
      <c r="K108" s="617">
        <v>0</v>
      </c>
      <c r="L108" s="617">
        <v>0</v>
      </c>
      <c r="M108" s="640">
        <v>0</v>
      </c>
      <c r="N108" s="641">
        <v>0</v>
      </c>
      <c r="O108" s="642">
        <v>0</v>
      </c>
      <c r="P108" s="648">
        <f t="shared" si="10"/>
        <v>0</v>
      </c>
      <c r="Q108" s="623">
        <v>0</v>
      </c>
      <c r="R108" s="624">
        <v>0</v>
      </c>
      <c r="S108" s="639">
        <v>0</v>
      </c>
      <c r="T108" s="617">
        <v>0</v>
      </c>
      <c r="U108" s="644">
        <v>0</v>
      </c>
      <c r="V108" s="645">
        <v>0</v>
      </c>
      <c r="W108" s="646">
        <v>0</v>
      </c>
      <c r="X108" s="647">
        <v>0</v>
      </c>
      <c r="Y108" s="647">
        <v>0</v>
      </c>
      <c r="Z108" s="646">
        <v>0</v>
      </c>
      <c r="AA108" s="626">
        <v>0</v>
      </c>
      <c r="AB108" s="634" t="s">
        <v>811</v>
      </c>
      <c r="AC108" s="634" t="s">
        <v>202</v>
      </c>
    </row>
    <row r="109" spans="1:29" ht="38.25" outlineLevel="1" x14ac:dyDescent="0.25">
      <c r="A109" s="549" t="s">
        <v>267</v>
      </c>
      <c r="B109" s="454" t="s">
        <v>368</v>
      </c>
      <c r="C109" s="26" t="s">
        <v>199</v>
      </c>
      <c r="D109" s="26" t="s">
        <v>8</v>
      </c>
      <c r="E109" s="26" t="s">
        <v>165</v>
      </c>
      <c r="F109" s="456" t="s">
        <v>610</v>
      </c>
      <c r="G109" s="677">
        <v>8900</v>
      </c>
      <c r="H109" s="581">
        <v>387.2</v>
      </c>
      <c r="I109" s="582">
        <v>0</v>
      </c>
      <c r="J109" s="446">
        <v>0</v>
      </c>
      <c r="K109" s="447">
        <v>0</v>
      </c>
      <c r="L109" s="447">
        <v>0</v>
      </c>
      <c r="M109" s="445">
        <v>8512.7999999999902</v>
      </c>
      <c r="N109" s="175">
        <v>8512.7999999999993</v>
      </c>
      <c r="O109" s="316">
        <v>0</v>
      </c>
      <c r="P109" s="313">
        <f t="shared" si="10"/>
        <v>8512.7999999999993</v>
      </c>
      <c r="Q109" s="679">
        <v>0</v>
      </c>
      <c r="R109" s="678">
        <v>0</v>
      </c>
      <c r="S109" s="446">
        <v>0</v>
      </c>
      <c r="T109" s="447">
        <v>0</v>
      </c>
      <c r="U109" s="585">
        <v>0</v>
      </c>
      <c r="V109" s="586">
        <v>0</v>
      </c>
      <c r="W109" s="587">
        <v>0</v>
      </c>
      <c r="X109" s="588">
        <v>0</v>
      </c>
      <c r="Y109" s="588">
        <v>0</v>
      </c>
      <c r="Z109" s="587">
        <v>0</v>
      </c>
      <c r="AA109" s="589">
        <v>0</v>
      </c>
      <c r="AB109" s="26" t="s">
        <v>742</v>
      </c>
      <c r="AC109" s="26" t="s">
        <v>14</v>
      </c>
    </row>
    <row r="110" spans="1:29" s="422" customFormat="1" ht="25.5" outlineLevel="1" x14ac:dyDescent="0.25">
      <c r="A110" s="680" t="s">
        <v>268</v>
      </c>
      <c r="B110" s="680" t="s">
        <v>525</v>
      </c>
      <c r="C110" s="681" t="s">
        <v>199</v>
      </c>
      <c r="D110" s="681" t="s">
        <v>166</v>
      </c>
      <c r="E110" s="681" t="s">
        <v>166</v>
      </c>
      <c r="F110" s="791" t="s">
        <v>611</v>
      </c>
      <c r="G110" s="682">
        <v>2361.1423100000002</v>
      </c>
      <c r="H110" s="683">
        <v>1761.14231</v>
      </c>
      <c r="I110" s="684">
        <v>551.19926000000009</v>
      </c>
      <c r="J110" s="788">
        <v>551.19925999999998</v>
      </c>
      <c r="K110" s="685">
        <v>48.800739999999998</v>
      </c>
      <c r="L110" s="685">
        <v>0</v>
      </c>
      <c r="M110" s="686">
        <v>0</v>
      </c>
      <c r="N110" s="687">
        <v>600</v>
      </c>
      <c r="O110" s="688">
        <v>0</v>
      </c>
      <c r="P110" s="689">
        <f t="shared" si="10"/>
        <v>600</v>
      </c>
      <c r="Q110" s="690">
        <v>0</v>
      </c>
      <c r="R110" s="691">
        <v>0</v>
      </c>
      <c r="S110" s="692">
        <v>0</v>
      </c>
      <c r="T110" s="685">
        <v>0</v>
      </c>
      <c r="U110" s="693">
        <v>0</v>
      </c>
      <c r="V110" s="694">
        <v>0</v>
      </c>
      <c r="W110" s="695">
        <v>0</v>
      </c>
      <c r="X110" s="696">
        <v>0</v>
      </c>
      <c r="Y110" s="696">
        <v>0</v>
      </c>
      <c r="Z110" s="697">
        <v>0</v>
      </c>
      <c r="AA110" s="698">
        <v>0</v>
      </c>
      <c r="AB110" s="681" t="s">
        <v>193</v>
      </c>
      <c r="AC110" s="681" t="s">
        <v>20</v>
      </c>
    </row>
    <row r="111" spans="1:29" ht="25.5" outlineLevel="1" x14ac:dyDescent="0.25">
      <c r="A111" s="674" t="s">
        <v>269</v>
      </c>
      <c r="B111" s="609" t="s">
        <v>197</v>
      </c>
      <c r="C111" s="634" t="s">
        <v>199</v>
      </c>
      <c r="D111" s="634" t="s">
        <v>167</v>
      </c>
      <c r="E111" s="634" t="s">
        <v>167</v>
      </c>
      <c r="F111" s="675" t="s">
        <v>612</v>
      </c>
      <c r="G111" s="676">
        <f>3450-3450</f>
        <v>0</v>
      </c>
      <c r="H111" s="638">
        <v>0</v>
      </c>
      <c r="I111" s="615">
        <v>0</v>
      </c>
      <c r="J111" s="639">
        <v>0</v>
      </c>
      <c r="K111" s="617">
        <v>0</v>
      </c>
      <c r="L111" s="617">
        <v>0</v>
      </c>
      <c r="M111" s="640">
        <v>0</v>
      </c>
      <c r="N111" s="641">
        <v>0</v>
      </c>
      <c r="O111" s="642">
        <v>0</v>
      </c>
      <c r="P111" s="648">
        <f t="shared" si="10"/>
        <v>0</v>
      </c>
      <c r="Q111" s="623">
        <v>0</v>
      </c>
      <c r="R111" s="624">
        <v>0</v>
      </c>
      <c r="S111" s="639">
        <v>0</v>
      </c>
      <c r="T111" s="617">
        <v>0</v>
      </c>
      <c r="U111" s="644">
        <v>0</v>
      </c>
      <c r="V111" s="645">
        <v>0</v>
      </c>
      <c r="W111" s="646">
        <v>0</v>
      </c>
      <c r="X111" s="647">
        <v>0</v>
      </c>
      <c r="Y111" s="647">
        <v>0</v>
      </c>
      <c r="Z111" s="646">
        <v>0</v>
      </c>
      <c r="AA111" s="626">
        <v>0</v>
      </c>
      <c r="AB111" s="634" t="s">
        <v>812</v>
      </c>
      <c r="AC111" s="634" t="s">
        <v>202</v>
      </c>
    </row>
    <row r="112" spans="1:29" ht="25.5" outlineLevel="1" x14ac:dyDescent="0.25">
      <c r="A112" s="674" t="s">
        <v>270</v>
      </c>
      <c r="B112" s="609" t="s">
        <v>197</v>
      </c>
      <c r="C112" s="634" t="s">
        <v>199</v>
      </c>
      <c r="D112" s="634" t="s">
        <v>168</v>
      </c>
      <c r="E112" s="634" t="s">
        <v>168</v>
      </c>
      <c r="F112" s="675" t="s">
        <v>169</v>
      </c>
      <c r="G112" s="676">
        <f>16000-16000</f>
        <v>0</v>
      </c>
      <c r="H112" s="638">
        <v>0</v>
      </c>
      <c r="I112" s="615">
        <v>0</v>
      </c>
      <c r="J112" s="639">
        <v>0</v>
      </c>
      <c r="K112" s="617">
        <v>0</v>
      </c>
      <c r="L112" s="617">
        <v>0</v>
      </c>
      <c r="M112" s="640">
        <v>0</v>
      </c>
      <c r="N112" s="641">
        <v>0</v>
      </c>
      <c r="O112" s="642">
        <v>0</v>
      </c>
      <c r="P112" s="648">
        <f t="shared" si="10"/>
        <v>0</v>
      </c>
      <c r="Q112" s="623">
        <v>0</v>
      </c>
      <c r="R112" s="624">
        <v>0</v>
      </c>
      <c r="S112" s="639">
        <v>0</v>
      </c>
      <c r="T112" s="617">
        <v>0</v>
      </c>
      <c r="U112" s="644">
        <v>0</v>
      </c>
      <c r="V112" s="645">
        <v>0</v>
      </c>
      <c r="W112" s="646">
        <v>0</v>
      </c>
      <c r="X112" s="647">
        <v>0</v>
      </c>
      <c r="Y112" s="647">
        <v>0</v>
      </c>
      <c r="Z112" s="646">
        <v>0</v>
      </c>
      <c r="AA112" s="626">
        <v>0</v>
      </c>
      <c r="AB112" s="634" t="s">
        <v>813</v>
      </c>
      <c r="AC112" s="634" t="s">
        <v>202</v>
      </c>
    </row>
    <row r="113" spans="1:29" ht="25.5" outlineLevel="1" x14ac:dyDescent="0.25">
      <c r="A113" s="674" t="s">
        <v>271</v>
      </c>
      <c r="B113" s="609" t="s">
        <v>197</v>
      </c>
      <c r="C113" s="634" t="s">
        <v>199</v>
      </c>
      <c r="D113" s="634" t="s">
        <v>62</v>
      </c>
      <c r="E113" s="634" t="s">
        <v>62</v>
      </c>
      <c r="F113" s="675" t="s">
        <v>170</v>
      </c>
      <c r="G113" s="676">
        <f>2000-2000</f>
        <v>0</v>
      </c>
      <c r="H113" s="638">
        <v>0</v>
      </c>
      <c r="I113" s="615">
        <v>0</v>
      </c>
      <c r="J113" s="639">
        <v>0</v>
      </c>
      <c r="K113" s="617">
        <v>0</v>
      </c>
      <c r="L113" s="617">
        <v>0</v>
      </c>
      <c r="M113" s="640">
        <v>0</v>
      </c>
      <c r="N113" s="641">
        <v>0</v>
      </c>
      <c r="O113" s="642">
        <v>0</v>
      </c>
      <c r="P113" s="648">
        <f t="shared" si="10"/>
        <v>0</v>
      </c>
      <c r="Q113" s="623">
        <v>0</v>
      </c>
      <c r="R113" s="624">
        <v>0</v>
      </c>
      <c r="S113" s="639">
        <v>0</v>
      </c>
      <c r="T113" s="617">
        <v>0</v>
      </c>
      <c r="U113" s="644">
        <v>0</v>
      </c>
      <c r="V113" s="645">
        <v>0</v>
      </c>
      <c r="W113" s="646">
        <v>0</v>
      </c>
      <c r="X113" s="647">
        <v>0</v>
      </c>
      <c r="Y113" s="647">
        <v>0</v>
      </c>
      <c r="Z113" s="646">
        <v>0</v>
      </c>
      <c r="AA113" s="626">
        <v>0</v>
      </c>
      <c r="AB113" s="634" t="s">
        <v>814</v>
      </c>
      <c r="AC113" s="634" t="s">
        <v>202</v>
      </c>
    </row>
    <row r="114" spans="1:29" ht="25.5" outlineLevel="1" x14ac:dyDescent="0.25">
      <c r="A114" s="549" t="s">
        <v>272</v>
      </c>
      <c r="B114" s="549" t="s">
        <v>369</v>
      </c>
      <c r="C114" s="26" t="s">
        <v>199</v>
      </c>
      <c r="D114" s="26" t="s">
        <v>171</v>
      </c>
      <c r="E114" s="26" t="s">
        <v>171</v>
      </c>
      <c r="F114" s="456" t="s">
        <v>172</v>
      </c>
      <c r="G114" s="699">
        <f>11718-0.2</f>
        <v>11717.8</v>
      </c>
      <c r="H114" s="581">
        <v>389.62</v>
      </c>
      <c r="I114" s="582">
        <v>0</v>
      </c>
      <c r="J114" s="446">
        <v>0</v>
      </c>
      <c r="K114" s="447">
        <v>0</v>
      </c>
      <c r="L114" s="447">
        <v>0</v>
      </c>
      <c r="M114" s="445">
        <v>11328.18</v>
      </c>
      <c r="N114" s="175">
        <v>11328.18</v>
      </c>
      <c r="O114" s="316">
        <v>0</v>
      </c>
      <c r="P114" s="313">
        <f t="shared" si="10"/>
        <v>11328.18</v>
      </c>
      <c r="Q114" s="700">
        <v>0</v>
      </c>
      <c r="R114" s="551">
        <v>0</v>
      </c>
      <c r="S114" s="446">
        <v>0</v>
      </c>
      <c r="T114" s="447">
        <v>0</v>
      </c>
      <c r="U114" s="64">
        <v>0</v>
      </c>
      <c r="V114" s="448">
        <v>0</v>
      </c>
      <c r="W114" s="449">
        <v>0</v>
      </c>
      <c r="X114" s="433">
        <v>0</v>
      </c>
      <c r="Y114" s="433">
        <v>0</v>
      </c>
      <c r="Z114" s="449">
        <v>0</v>
      </c>
      <c r="AA114" s="701">
        <v>0</v>
      </c>
      <c r="AB114" s="26" t="s">
        <v>193</v>
      </c>
      <c r="AC114" s="26" t="s">
        <v>14</v>
      </c>
    </row>
    <row r="115" spans="1:29" ht="25.5" outlineLevel="1" x14ac:dyDescent="0.25">
      <c r="A115" s="549" t="s">
        <v>273</v>
      </c>
      <c r="B115" s="549" t="s">
        <v>197</v>
      </c>
      <c r="C115" s="26" t="s">
        <v>199</v>
      </c>
      <c r="D115" s="26" t="s">
        <v>173</v>
      </c>
      <c r="E115" s="26" t="s">
        <v>173</v>
      </c>
      <c r="F115" s="456" t="s">
        <v>174</v>
      </c>
      <c r="G115" s="677">
        <v>2800</v>
      </c>
      <c r="H115" s="581">
        <v>0</v>
      </c>
      <c r="I115" s="582">
        <v>0</v>
      </c>
      <c r="J115" s="446">
        <v>0</v>
      </c>
      <c r="K115" s="447">
        <v>0</v>
      </c>
      <c r="L115" s="447">
        <v>0</v>
      </c>
      <c r="M115" s="445">
        <v>2100</v>
      </c>
      <c r="N115" s="175">
        <v>2100</v>
      </c>
      <c r="O115" s="316">
        <v>0</v>
      </c>
      <c r="P115" s="313">
        <f t="shared" si="10"/>
        <v>2100</v>
      </c>
      <c r="Q115" s="679">
        <v>0</v>
      </c>
      <c r="R115" s="678">
        <v>0</v>
      </c>
      <c r="S115" s="446">
        <v>0</v>
      </c>
      <c r="T115" s="447">
        <v>0</v>
      </c>
      <c r="U115" s="585">
        <v>700</v>
      </c>
      <c r="V115" s="586">
        <v>0</v>
      </c>
      <c r="W115" s="587">
        <v>0</v>
      </c>
      <c r="X115" s="588">
        <v>0</v>
      </c>
      <c r="Y115" s="588">
        <v>0</v>
      </c>
      <c r="Z115" s="587">
        <v>0</v>
      </c>
      <c r="AA115" s="589">
        <v>0</v>
      </c>
      <c r="AB115" s="26" t="s">
        <v>193</v>
      </c>
      <c r="AC115" s="26" t="s">
        <v>14</v>
      </c>
    </row>
    <row r="116" spans="1:29" ht="30" outlineLevel="1" x14ac:dyDescent="0.25">
      <c r="A116" s="674" t="s">
        <v>274</v>
      </c>
      <c r="B116" s="609" t="s">
        <v>197</v>
      </c>
      <c r="C116" s="634" t="s">
        <v>199</v>
      </c>
      <c r="D116" s="634" t="s">
        <v>8</v>
      </c>
      <c r="E116" s="634" t="s">
        <v>175</v>
      </c>
      <c r="F116" s="675" t="s">
        <v>613</v>
      </c>
      <c r="G116" s="676">
        <f>18000-18000</f>
        <v>0</v>
      </c>
      <c r="H116" s="638">
        <v>0</v>
      </c>
      <c r="I116" s="615">
        <v>0</v>
      </c>
      <c r="J116" s="639">
        <v>0</v>
      </c>
      <c r="K116" s="617">
        <v>0</v>
      </c>
      <c r="L116" s="617">
        <v>0</v>
      </c>
      <c r="M116" s="640">
        <v>0</v>
      </c>
      <c r="N116" s="641">
        <v>0</v>
      </c>
      <c r="O116" s="642">
        <v>0</v>
      </c>
      <c r="P116" s="648">
        <f t="shared" si="10"/>
        <v>0</v>
      </c>
      <c r="Q116" s="623">
        <v>0</v>
      </c>
      <c r="R116" s="624">
        <v>0</v>
      </c>
      <c r="S116" s="639">
        <v>0</v>
      </c>
      <c r="T116" s="617">
        <v>0</v>
      </c>
      <c r="U116" s="644">
        <v>0</v>
      </c>
      <c r="V116" s="645">
        <v>0</v>
      </c>
      <c r="W116" s="646">
        <v>0</v>
      </c>
      <c r="X116" s="647">
        <v>0</v>
      </c>
      <c r="Y116" s="647">
        <v>0</v>
      </c>
      <c r="Z116" s="646">
        <v>0</v>
      </c>
      <c r="AA116" s="626">
        <v>0</v>
      </c>
      <c r="AB116" s="634" t="s">
        <v>815</v>
      </c>
      <c r="AC116" s="634" t="s">
        <v>202</v>
      </c>
    </row>
    <row r="117" spans="1:29" ht="25.5" outlineLevel="1" x14ac:dyDescent="0.25">
      <c r="A117" s="674" t="s">
        <v>275</v>
      </c>
      <c r="B117" s="609" t="s">
        <v>197</v>
      </c>
      <c r="C117" s="634" t="s">
        <v>199</v>
      </c>
      <c r="D117" s="634" t="s">
        <v>176</v>
      </c>
      <c r="E117" s="634" t="s">
        <v>176</v>
      </c>
      <c r="F117" s="675" t="s">
        <v>177</v>
      </c>
      <c r="G117" s="676">
        <f>3000-3000</f>
        <v>0</v>
      </c>
      <c r="H117" s="638">
        <v>0</v>
      </c>
      <c r="I117" s="615">
        <v>0</v>
      </c>
      <c r="J117" s="639">
        <v>0</v>
      </c>
      <c r="K117" s="617">
        <v>0</v>
      </c>
      <c r="L117" s="617">
        <v>0</v>
      </c>
      <c r="M117" s="640">
        <v>0</v>
      </c>
      <c r="N117" s="641">
        <v>0</v>
      </c>
      <c r="O117" s="642">
        <v>0</v>
      </c>
      <c r="P117" s="648">
        <f t="shared" si="10"/>
        <v>0</v>
      </c>
      <c r="Q117" s="623">
        <v>0</v>
      </c>
      <c r="R117" s="624">
        <v>0</v>
      </c>
      <c r="S117" s="639">
        <v>0</v>
      </c>
      <c r="T117" s="617">
        <v>0</v>
      </c>
      <c r="U117" s="644">
        <v>0</v>
      </c>
      <c r="V117" s="645">
        <v>0</v>
      </c>
      <c r="W117" s="646">
        <v>0</v>
      </c>
      <c r="X117" s="647">
        <v>0</v>
      </c>
      <c r="Y117" s="647">
        <v>0</v>
      </c>
      <c r="Z117" s="646">
        <v>0</v>
      </c>
      <c r="AA117" s="626">
        <v>0</v>
      </c>
      <c r="AB117" s="634" t="s">
        <v>816</v>
      </c>
      <c r="AC117" s="634" t="s">
        <v>202</v>
      </c>
    </row>
    <row r="118" spans="1:29" ht="25.5" outlineLevel="1" x14ac:dyDescent="0.25">
      <c r="A118" s="549" t="s">
        <v>276</v>
      </c>
      <c r="B118" s="549" t="s">
        <v>197</v>
      </c>
      <c r="C118" s="26" t="s">
        <v>199</v>
      </c>
      <c r="D118" s="26" t="s">
        <v>8</v>
      </c>
      <c r="E118" s="26" t="s">
        <v>258</v>
      </c>
      <c r="F118" s="456" t="s">
        <v>614</v>
      </c>
      <c r="G118" s="677">
        <v>10000</v>
      </c>
      <c r="H118" s="581">
        <v>0</v>
      </c>
      <c r="I118" s="582">
        <v>0</v>
      </c>
      <c r="J118" s="446">
        <v>0</v>
      </c>
      <c r="K118" s="447">
        <v>0</v>
      </c>
      <c r="L118" s="447">
        <v>0</v>
      </c>
      <c r="M118" s="445">
        <v>5000</v>
      </c>
      <c r="N118" s="175">
        <v>5000</v>
      </c>
      <c r="O118" s="316">
        <v>0</v>
      </c>
      <c r="P118" s="313">
        <f t="shared" si="10"/>
        <v>5000</v>
      </c>
      <c r="Q118" s="679">
        <v>5000</v>
      </c>
      <c r="R118" s="678">
        <v>0</v>
      </c>
      <c r="S118" s="446">
        <v>0</v>
      </c>
      <c r="T118" s="447">
        <v>0</v>
      </c>
      <c r="U118" s="585">
        <v>0</v>
      </c>
      <c r="V118" s="586">
        <v>0</v>
      </c>
      <c r="W118" s="587">
        <v>0</v>
      </c>
      <c r="X118" s="588">
        <v>0</v>
      </c>
      <c r="Y118" s="588">
        <v>0</v>
      </c>
      <c r="Z118" s="587">
        <v>0</v>
      </c>
      <c r="AA118" s="589">
        <v>0</v>
      </c>
      <c r="AB118" s="26" t="s">
        <v>193</v>
      </c>
      <c r="AC118" s="26" t="s">
        <v>14</v>
      </c>
    </row>
    <row r="119" spans="1:29" ht="30" outlineLevel="1" x14ac:dyDescent="0.25">
      <c r="A119" s="674" t="s">
        <v>277</v>
      </c>
      <c r="B119" s="609" t="s">
        <v>197</v>
      </c>
      <c r="C119" s="634" t="s">
        <v>199</v>
      </c>
      <c r="D119" s="634" t="s">
        <v>85</v>
      </c>
      <c r="E119" s="634" t="s">
        <v>85</v>
      </c>
      <c r="F119" s="675" t="s">
        <v>178</v>
      </c>
      <c r="G119" s="676">
        <f>1000-1000</f>
        <v>0</v>
      </c>
      <c r="H119" s="638">
        <v>0</v>
      </c>
      <c r="I119" s="615">
        <v>0</v>
      </c>
      <c r="J119" s="639">
        <v>0</v>
      </c>
      <c r="K119" s="617">
        <v>0</v>
      </c>
      <c r="L119" s="617">
        <v>0</v>
      </c>
      <c r="M119" s="640">
        <v>0</v>
      </c>
      <c r="N119" s="641">
        <v>0</v>
      </c>
      <c r="O119" s="642">
        <v>0</v>
      </c>
      <c r="P119" s="648">
        <f t="shared" si="10"/>
        <v>0</v>
      </c>
      <c r="Q119" s="623">
        <v>0</v>
      </c>
      <c r="R119" s="624">
        <v>0</v>
      </c>
      <c r="S119" s="639">
        <v>0</v>
      </c>
      <c r="T119" s="617">
        <v>0</v>
      </c>
      <c r="U119" s="644">
        <v>0</v>
      </c>
      <c r="V119" s="645">
        <v>0</v>
      </c>
      <c r="W119" s="646">
        <v>0</v>
      </c>
      <c r="X119" s="647">
        <v>0</v>
      </c>
      <c r="Y119" s="647">
        <v>0</v>
      </c>
      <c r="Z119" s="646">
        <v>0</v>
      </c>
      <c r="AA119" s="626">
        <v>0</v>
      </c>
      <c r="AB119" s="634" t="s">
        <v>817</v>
      </c>
      <c r="AC119" s="634" t="s">
        <v>202</v>
      </c>
    </row>
    <row r="120" spans="1:29" ht="25.5" outlineLevel="1" x14ac:dyDescent="0.25">
      <c r="A120" s="674" t="s">
        <v>278</v>
      </c>
      <c r="B120" s="609" t="s">
        <v>197</v>
      </c>
      <c r="C120" s="634" t="s">
        <v>199</v>
      </c>
      <c r="D120" s="634" t="s">
        <v>8</v>
      </c>
      <c r="E120" s="634" t="s">
        <v>179</v>
      </c>
      <c r="F120" s="675" t="s">
        <v>615</v>
      </c>
      <c r="G120" s="676">
        <f>27969.15-27969.15</f>
        <v>0</v>
      </c>
      <c r="H120" s="638">
        <v>0</v>
      </c>
      <c r="I120" s="615">
        <v>0</v>
      </c>
      <c r="J120" s="639">
        <v>0</v>
      </c>
      <c r="K120" s="617">
        <v>0</v>
      </c>
      <c r="L120" s="617">
        <v>0</v>
      </c>
      <c r="M120" s="640">
        <v>0</v>
      </c>
      <c r="N120" s="641">
        <v>0</v>
      </c>
      <c r="O120" s="642">
        <v>0</v>
      </c>
      <c r="P120" s="648">
        <f t="shared" si="10"/>
        <v>0</v>
      </c>
      <c r="Q120" s="623">
        <v>0</v>
      </c>
      <c r="R120" s="624">
        <v>0</v>
      </c>
      <c r="S120" s="639">
        <v>0</v>
      </c>
      <c r="T120" s="617">
        <v>0</v>
      </c>
      <c r="U120" s="644">
        <v>0</v>
      </c>
      <c r="V120" s="645">
        <v>0</v>
      </c>
      <c r="W120" s="646">
        <v>0</v>
      </c>
      <c r="X120" s="647">
        <v>0</v>
      </c>
      <c r="Y120" s="647">
        <v>0</v>
      </c>
      <c r="Z120" s="646">
        <v>0</v>
      </c>
      <c r="AA120" s="626">
        <v>0</v>
      </c>
      <c r="AB120" s="634" t="s">
        <v>818</v>
      </c>
      <c r="AC120" s="634" t="s">
        <v>202</v>
      </c>
    </row>
    <row r="121" spans="1:29" ht="26.25" outlineLevel="1" thickBot="1" x14ac:dyDescent="0.3">
      <c r="A121" s="1117" t="s">
        <v>279</v>
      </c>
      <c r="B121" s="1420" t="s">
        <v>197</v>
      </c>
      <c r="C121" s="1118" t="s">
        <v>199</v>
      </c>
      <c r="D121" s="1118" t="s">
        <v>65</v>
      </c>
      <c r="E121" s="1118" t="s">
        <v>65</v>
      </c>
      <c r="F121" s="1421" t="s">
        <v>616</v>
      </c>
      <c r="G121" s="1121">
        <f>4500-4500</f>
        <v>0</v>
      </c>
      <c r="H121" s="1422">
        <v>0</v>
      </c>
      <c r="I121" s="1423">
        <v>0</v>
      </c>
      <c r="J121" s="1424">
        <v>0</v>
      </c>
      <c r="K121" s="1425">
        <v>0</v>
      </c>
      <c r="L121" s="1425">
        <v>0</v>
      </c>
      <c r="M121" s="1426">
        <v>0</v>
      </c>
      <c r="N121" s="1126">
        <v>0</v>
      </c>
      <c r="O121" s="1129">
        <v>0</v>
      </c>
      <c r="P121" s="1129">
        <f t="shared" si="10"/>
        <v>0</v>
      </c>
      <c r="Q121" s="1130">
        <v>0</v>
      </c>
      <c r="R121" s="1122">
        <v>0</v>
      </c>
      <c r="S121" s="1424">
        <v>0</v>
      </c>
      <c r="T121" s="1425">
        <v>0</v>
      </c>
      <c r="U121" s="1427">
        <v>0</v>
      </c>
      <c r="V121" s="1131">
        <v>0</v>
      </c>
      <c r="W121" s="1135">
        <v>0</v>
      </c>
      <c r="X121" s="1135">
        <v>0</v>
      </c>
      <c r="Y121" s="1135">
        <v>0</v>
      </c>
      <c r="Z121" s="1135">
        <v>0</v>
      </c>
      <c r="AA121" s="1133">
        <v>0</v>
      </c>
      <c r="AB121" s="1118" t="s">
        <v>819</v>
      </c>
      <c r="AC121" s="1118" t="s">
        <v>202</v>
      </c>
    </row>
    <row r="122" spans="1:29" ht="26.25" outlineLevel="1" thickBot="1" x14ac:dyDescent="0.3">
      <c r="A122" s="1428" t="s">
        <v>280</v>
      </c>
      <c r="B122" s="1428" t="s">
        <v>370</v>
      </c>
      <c r="C122" s="1116" t="s">
        <v>352</v>
      </c>
      <c r="D122" s="1116" t="s">
        <v>281</v>
      </c>
      <c r="E122" s="1429" t="s">
        <v>281</v>
      </c>
      <c r="F122" s="1430" t="s">
        <v>282</v>
      </c>
      <c r="G122" s="1431">
        <f>6837.15279+642.09951-171.74001</f>
        <v>7307.5122899999997</v>
      </c>
      <c r="H122" s="1432">
        <v>6192.3090000000011</v>
      </c>
      <c r="I122" s="1433">
        <v>473.10377999999997</v>
      </c>
      <c r="J122" s="1433">
        <v>473.10377999999997</v>
      </c>
      <c r="K122" s="1434">
        <v>0</v>
      </c>
      <c r="L122" s="1434">
        <v>0</v>
      </c>
      <c r="M122" s="1435">
        <v>0</v>
      </c>
      <c r="N122" s="1217">
        <v>644.84379000000001</v>
      </c>
      <c r="O122" s="1218">
        <v>-171.74001000000001</v>
      </c>
      <c r="P122" s="1436">
        <f t="shared" si="10"/>
        <v>473.10378000000003</v>
      </c>
      <c r="Q122" s="1437">
        <v>0</v>
      </c>
      <c r="R122" s="1438">
        <v>0</v>
      </c>
      <c r="S122" s="1433">
        <v>0</v>
      </c>
      <c r="T122" s="1434">
        <v>0</v>
      </c>
      <c r="U122" s="1439">
        <v>642.09951000000001</v>
      </c>
      <c r="V122" s="1440">
        <v>0</v>
      </c>
      <c r="W122" s="1441">
        <v>0</v>
      </c>
      <c r="X122" s="1441">
        <v>0</v>
      </c>
      <c r="Y122" s="1441">
        <v>0</v>
      </c>
      <c r="Z122" s="1441">
        <v>0</v>
      </c>
      <c r="AA122" s="1437">
        <v>0</v>
      </c>
      <c r="AB122" s="1116" t="s">
        <v>797</v>
      </c>
      <c r="AC122" s="1116" t="s">
        <v>210</v>
      </c>
    </row>
    <row r="123" spans="1:29" ht="30" outlineLevel="1" x14ac:dyDescent="0.25">
      <c r="A123" s="636" t="s">
        <v>371</v>
      </c>
      <c r="B123" s="707" t="s">
        <v>197</v>
      </c>
      <c r="C123" s="708" t="s">
        <v>415</v>
      </c>
      <c r="D123" s="708" t="s">
        <v>86</v>
      </c>
      <c r="E123" s="708" t="s">
        <v>86</v>
      </c>
      <c r="F123" s="709" t="s">
        <v>372</v>
      </c>
      <c r="G123" s="710">
        <f>950-950</f>
        <v>0</v>
      </c>
      <c r="H123" s="638">
        <v>0</v>
      </c>
      <c r="I123" s="615">
        <v>0</v>
      </c>
      <c r="J123" s="711">
        <v>0</v>
      </c>
      <c r="K123" s="712">
        <v>0</v>
      </c>
      <c r="L123" s="712">
        <v>0</v>
      </c>
      <c r="M123" s="713">
        <v>0</v>
      </c>
      <c r="N123" s="641">
        <v>0</v>
      </c>
      <c r="O123" s="642">
        <v>0</v>
      </c>
      <c r="P123" s="642">
        <f t="shared" si="10"/>
        <v>0</v>
      </c>
      <c r="Q123" s="714">
        <v>0</v>
      </c>
      <c r="R123" s="715">
        <v>0</v>
      </c>
      <c r="S123" s="711">
        <v>0</v>
      </c>
      <c r="T123" s="712">
        <v>0</v>
      </c>
      <c r="U123" s="716">
        <v>0</v>
      </c>
      <c r="V123" s="717">
        <v>0</v>
      </c>
      <c r="W123" s="647">
        <v>0</v>
      </c>
      <c r="X123" s="647">
        <v>0</v>
      </c>
      <c r="Y123" s="647">
        <v>0</v>
      </c>
      <c r="Z123" s="647">
        <v>0</v>
      </c>
      <c r="AA123" s="625">
        <v>0</v>
      </c>
      <c r="AB123" s="708" t="s">
        <v>811</v>
      </c>
      <c r="AC123" s="708" t="s">
        <v>202</v>
      </c>
    </row>
    <row r="124" spans="1:29" s="263" customFormat="1" ht="30" customHeight="1" outlineLevel="1" x14ac:dyDescent="0.25">
      <c r="A124" s="531" t="s">
        <v>373</v>
      </c>
      <c r="B124" s="531" t="s">
        <v>393</v>
      </c>
      <c r="C124" s="533" t="s">
        <v>415</v>
      </c>
      <c r="D124" s="591" t="s">
        <v>86</v>
      </c>
      <c r="E124" s="718" t="s">
        <v>86</v>
      </c>
      <c r="F124" s="719" t="s">
        <v>374</v>
      </c>
      <c r="G124" s="720">
        <f>25000+595.95909+511.9191818+128.83187-977.33603+46.94556</f>
        <v>25306.319671800004</v>
      </c>
      <c r="H124" s="721">
        <v>18151.49584</v>
      </c>
      <c r="I124" s="722">
        <v>3944.3466899999999</v>
      </c>
      <c r="J124" s="597">
        <v>3944.3466899999999</v>
      </c>
      <c r="K124" s="598">
        <v>1973.7670000000001</v>
      </c>
      <c r="L124" s="598">
        <v>0</v>
      </c>
      <c r="M124" s="599">
        <v>0</v>
      </c>
      <c r="N124" s="723">
        <v>5871.16813</v>
      </c>
      <c r="O124" s="353">
        <v>46.94556</v>
      </c>
      <c r="P124" s="601">
        <f t="shared" si="10"/>
        <v>5918.1136900000001</v>
      </c>
      <c r="Q124" s="724">
        <v>0</v>
      </c>
      <c r="R124" s="725">
        <v>0</v>
      </c>
      <c r="S124" s="538">
        <f>595.95909+511.9191818</f>
        <v>1107.8782718</v>
      </c>
      <c r="T124" s="543">
        <v>0</v>
      </c>
      <c r="U124" s="726">
        <v>128.83187000000001</v>
      </c>
      <c r="V124" s="727">
        <v>0</v>
      </c>
      <c r="W124" s="728">
        <v>0</v>
      </c>
      <c r="X124" s="728">
        <v>0</v>
      </c>
      <c r="Y124" s="728">
        <v>0</v>
      </c>
      <c r="Z124" s="728">
        <v>0</v>
      </c>
      <c r="AA124" s="729">
        <v>0</v>
      </c>
      <c r="AB124" s="533" t="s">
        <v>794</v>
      </c>
      <c r="AC124" s="533" t="s">
        <v>20</v>
      </c>
    </row>
    <row r="125" spans="1:29" ht="30" outlineLevel="1" x14ac:dyDescent="0.25">
      <c r="A125" s="492" t="s">
        <v>375</v>
      </c>
      <c r="B125" s="492" t="s">
        <v>197</v>
      </c>
      <c r="C125" s="24" t="s">
        <v>415</v>
      </c>
      <c r="D125" s="26" t="s">
        <v>8</v>
      </c>
      <c r="E125" s="730" t="s">
        <v>162</v>
      </c>
      <c r="F125" s="456" t="s">
        <v>617</v>
      </c>
      <c r="G125" s="731">
        <v>5100</v>
      </c>
      <c r="H125" s="581">
        <v>0</v>
      </c>
      <c r="I125" s="582">
        <v>0</v>
      </c>
      <c r="J125" s="446">
        <v>0</v>
      </c>
      <c r="K125" s="447">
        <v>0</v>
      </c>
      <c r="L125" s="447">
        <v>0</v>
      </c>
      <c r="M125" s="445">
        <v>0</v>
      </c>
      <c r="N125" s="175">
        <v>0</v>
      </c>
      <c r="O125" s="316">
        <v>0</v>
      </c>
      <c r="P125" s="313">
        <f t="shared" si="10"/>
        <v>0</v>
      </c>
      <c r="Q125" s="679">
        <v>5100</v>
      </c>
      <c r="R125" s="732">
        <v>0</v>
      </c>
      <c r="S125" s="430">
        <v>0</v>
      </c>
      <c r="T125" s="431">
        <v>0</v>
      </c>
      <c r="U125" s="585">
        <v>0</v>
      </c>
      <c r="V125" s="733">
        <v>0</v>
      </c>
      <c r="W125" s="588">
        <v>0</v>
      </c>
      <c r="X125" s="588">
        <v>0</v>
      </c>
      <c r="Y125" s="588">
        <v>0</v>
      </c>
      <c r="Z125" s="588">
        <v>0</v>
      </c>
      <c r="AA125" s="734">
        <v>0</v>
      </c>
      <c r="AB125" s="26" t="s">
        <v>193</v>
      </c>
      <c r="AC125" s="24" t="s">
        <v>14</v>
      </c>
    </row>
    <row r="126" spans="1:29" ht="25.5" outlineLevel="1" x14ac:dyDescent="0.25">
      <c r="A126" s="674" t="s">
        <v>376</v>
      </c>
      <c r="B126" s="609" t="s">
        <v>197</v>
      </c>
      <c r="C126" s="634" t="s">
        <v>415</v>
      </c>
      <c r="D126" s="634" t="s">
        <v>377</v>
      </c>
      <c r="E126" s="634" t="s">
        <v>377</v>
      </c>
      <c r="F126" s="675" t="s">
        <v>378</v>
      </c>
      <c r="G126" s="676">
        <f>8743.5-8743.5</f>
        <v>0</v>
      </c>
      <c r="H126" s="638">
        <v>0</v>
      </c>
      <c r="I126" s="615">
        <v>0</v>
      </c>
      <c r="J126" s="639">
        <v>0</v>
      </c>
      <c r="K126" s="617">
        <v>0</v>
      </c>
      <c r="L126" s="617">
        <v>0</v>
      </c>
      <c r="M126" s="640">
        <v>0</v>
      </c>
      <c r="N126" s="641">
        <v>0</v>
      </c>
      <c r="O126" s="642">
        <v>0</v>
      </c>
      <c r="P126" s="648">
        <f t="shared" si="10"/>
        <v>0</v>
      </c>
      <c r="Q126" s="623">
        <v>0</v>
      </c>
      <c r="R126" s="624">
        <v>0</v>
      </c>
      <c r="S126" s="639">
        <v>0</v>
      </c>
      <c r="T126" s="617">
        <v>0</v>
      </c>
      <c r="U126" s="644">
        <v>0</v>
      </c>
      <c r="V126" s="645">
        <v>0</v>
      </c>
      <c r="W126" s="646">
        <v>0</v>
      </c>
      <c r="X126" s="647">
        <v>0</v>
      </c>
      <c r="Y126" s="647">
        <v>0</v>
      </c>
      <c r="Z126" s="646">
        <v>0</v>
      </c>
      <c r="AA126" s="626">
        <v>0</v>
      </c>
      <c r="AB126" s="634" t="s">
        <v>820</v>
      </c>
      <c r="AC126" s="634" t="s">
        <v>202</v>
      </c>
    </row>
    <row r="127" spans="1:29" ht="26.25" outlineLevel="1" thickBot="1" x14ac:dyDescent="0.3">
      <c r="A127" s="1117" t="s">
        <v>379</v>
      </c>
      <c r="B127" s="1420" t="s">
        <v>197</v>
      </c>
      <c r="C127" s="1118" t="s">
        <v>415</v>
      </c>
      <c r="D127" s="1118" t="s">
        <v>348</v>
      </c>
      <c r="E127" s="1118" t="s">
        <v>348</v>
      </c>
      <c r="F127" s="1421" t="s">
        <v>380</v>
      </c>
      <c r="G127" s="1121">
        <f>2000-2000</f>
        <v>0</v>
      </c>
      <c r="H127" s="1422">
        <v>0</v>
      </c>
      <c r="I127" s="1423">
        <v>0</v>
      </c>
      <c r="J127" s="1424">
        <v>0</v>
      </c>
      <c r="K127" s="1425">
        <v>0</v>
      </c>
      <c r="L127" s="1425">
        <v>0</v>
      </c>
      <c r="M127" s="1426">
        <v>0</v>
      </c>
      <c r="N127" s="1126">
        <v>0</v>
      </c>
      <c r="O127" s="1129">
        <v>0</v>
      </c>
      <c r="P127" s="1129">
        <f t="shared" si="10"/>
        <v>0</v>
      </c>
      <c r="Q127" s="1130">
        <v>0</v>
      </c>
      <c r="R127" s="1122">
        <v>0</v>
      </c>
      <c r="S127" s="1424">
        <v>0</v>
      </c>
      <c r="T127" s="1425">
        <v>0</v>
      </c>
      <c r="U127" s="1427">
        <v>0</v>
      </c>
      <c r="V127" s="1131">
        <v>0</v>
      </c>
      <c r="W127" s="1135">
        <v>0</v>
      </c>
      <c r="X127" s="1135">
        <v>0</v>
      </c>
      <c r="Y127" s="1135">
        <v>0</v>
      </c>
      <c r="Z127" s="1135">
        <v>0</v>
      </c>
      <c r="AA127" s="1133">
        <v>0</v>
      </c>
      <c r="AB127" s="1118" t="s">
        <v>814</v>
      </c>
      <c r="AC127" s="1118" t="s">
        <v>202</v>
      </c>
    </row>
    <row r="128" spans="1:29" ht="30" outlineLevel="1" x14ac:dyDescent="0.25">
      <c r="A128" s="636" t="s">
        <v>563</v>
      </c>
      <c r="B128" s="707" t="s">
        <v>197</v>
      </c>
      <c r="C128" s="708" t="s">
        <v>684</v>
      </c>
      <c r="D128" s="708" t="s">
        <v>60</v>
      </c>
      <c r="E128" s="708" t="s">
        <v>60</v>
      </c>
      <c r="F128" s="709" t="s">
        <v>564</v>
      </c>
      <c r="G128" s="710">
        <v>0</v>
      </c>
      <c r="H128" s="638">
        <v>0</v>
      </c>
      <c r="I128" s="615">
        <v>0</v>
      </c>
      <c r="J128" s="711">
        <v>0</v>
      </c>
      <c r="K128" s="712">
        <v>0</v>
      </c>
      <c r="L128" s="712">
        <v>0</v>
      </c>
      <c r="M128" s="713">
        <v>0</v>
      </c>
      <c r="N128" s="641">
        <v>520</v>
      </c>
      <c r="O128" s="642">
        <v>-520</v>
      </c>
      <c r="P128" s="642">
        <f t="shared" si="10"/>
        <v>0</v>
      </c>
      <c r="Q128" s="714">
        <v>0</v>
      </c>
      <c r="R128" s="715">
        <v>0</v>
      </c>
      <c r="S128" s="711">
        <v>0</v>
      </c>
      <c r="T128" s="712">
        <v>0</v>
      </c>
      <c r="U128" s="716">
        <v>0</v>
      </c>
      <c r="V128" s="717">
        <v>0</v>
      </c>
      <c r="W128" s="647">
        <v>0</v>
      </c>
      <c r="X128" s="647">
        <v>0</v>
      </c>
      <c r="Y128" s="647">
        <v>0</v>
      </c>
      <c r="Z128" s="647">
        <v>0</v>
      </c>
      <c r="AA128" s="625">
        <v>0</v>
      </c>
      <c r="AB128" s="708" t="s">
        <v>821</v>
      </c>
      <c r="AC128" s="708" t="s">
        <v>202</v>
      </c>
    </row>
    <row r="129" spans="1:29" ht="25.5" outlineLevel="1" x14ac:dyDescent="0.25">
      <c r="A129" s="735" t="s">
        <v>565</v>
      </c>
      <c r="B129" s="549" t="s">
        <v>197</v>
      </c>
      <c r="C129" s="26" t="s">
        <v>684</v>
      </c>
      <c r="D129" s="452" t="s">
        <v>164</v>
      </c>
      <c r="E129" s="452" t="s">
        <v>164</v>
      </c>
      <c r="F129" s="456" t="s">
        <v>618</v>
      </c>
      <c r="G129" s="736">
        <v>1800</v>
      </c>
      <c r="H129" s="551">
        <v>0</v>
      </c>
      <c r="I129" s="737">
        <v>0</v>
      </c>
      <c r="J129" s="448">
        <v>0</v>
      </c>
      <c r="K129" s="460">
        <v>0</v>
      </c>
      <c r="L129" s="460">
        <v>1800</v>
      </c>
      <c r="M129" s="451">
        <v>0</v>
      </c>
      <c r="N129" s="278">
        <v>1800</v>
      </c>
      <c r="O129" s="279">
        <v>0</v>
      </c>
      <c r="P129" s="313">
        <f t="shared" si="10"/>
        <v>1800</v>
      </c>
      <c r="Q129" s="589">
        <v>0</v>
      </c>
      <c r="R129" s="678">
        <v>0</v>
      </c>
      <c r="S129" s="586">
        <v>0</v>
      </c>
      <c r="T129" s="739">
        <v>0</v>
      </c>
      <c r="U129" s="589">
        <v>0</v>
      </c>
      <c r="V129" s="740">
        <v>0</v>
      </c>
      <c r="W129" s="741">
        <v>0</v>
      </c>
      <c r="X129" s="742">
        <v>0</v>
      </c>
      <c r="Y129" s="742">
        <v>0</v>
      </c>
      <c r="Z129" s="741">
        <v>0</v>
      </c>
      <c r="AA129" s="585">
        <v>0</v>
      </c>
      <c r="AB129" s="264" t="s">
        <v>193</v>
      </c>
      <c r="AC129" s="26" t="s">
        <v>14</v>
      </c>
    </row>
    <row r="130" spans="1:29" ht="38.25" outlineLevel="1" x14ac:dyDescent="0.25">
      <c r="A130" s="674" t="s">
        <v>566</v>
      </c>
      <c r="B130" s="609" t="s">
        <v>197</v>
      </c>
      <c r="C130" s="634" t="s">
        <v>684</v>
      </c>
      <c r="D130" s="634" t="s">
        <v>55</v>
      </c>
      <c r="E130" s="634" t="s">
        <v>55</v>
      </c>
      <c r="F130" s="675" t="s">
        <v>619</v>
      </c>
      <c r="G130" s="676">
        <f>907-907</f>
        <v>0</v>
      </c>
      <c r="H130" s="638">
        <v>0</v>
      </c>
      <c r="I130" s="615">
        <v>0</v>
      </c>
      <c r="J130" s="639">
        <v>0</v>
      </c>
      <c r="K130" s="617">
        <v>0</v>
      </c>
      <c r="L130" s="617">
        <v>0</v>
      </c>
      <c r="M130" s="640">
        <v>0</v>
      </c>
      <c r="N130" s="641">
        <v>907</v>
      </c>
      <c r="O130" s="642">
        <v>-907</v>
      </c>
      <c r="P130" s="648">
        <f t="shared" si="10"/>
        <v>0</v>
      </c>
      <c r="Q130" s="623">
        <v>0</v>
      </c>
      <c r="R130" s="624">
        <v>0</v>
      </c>
      <c r="S130" s="639">
        <v>0</v>
      </c>
      <c r="T130" s="617">
        <v>0</v>
      </c>
      <c r="U130" s="644">
        <v>0</v>
      </c>
      <c r="V130" s="645">
        <v>0</v>
      </c>
      <c r="W130" s="646">
        <v>0</v>
      </c>
      <c r="X130" s="647">
        <v>0</v>
      </c>
      <c r="Y130" s="647">
        <v>0</v>
      </c>
      <c r="Z130" s="646">
        <v>0</v>
      </c>
      <c r="AA130" s="626">
        <v>0</v>
      </c>
      <c r="AB130" s="634" t="s">
        <v>822</v>
      </c>
      <c r="AC130" s="634" t="s">
        <v>202</v>
      </c>
    </row>
    <row r="131" spans="1:29" ht="25.5" outlineLevel="1" x14ac:dyDescent="0.25">
      <c r="A131" s="735" t="s">
        <v>567</v>
      </c>
      <c r="B131" s="549" t="s">
        <v>197</v>
      </c>
      <c r="C131" s="26" t="s">
        <v>684</v>
      </c>
      <c r="D131" s="452" t="s">
        <v>568</v>
      </c>
      <c r="E131" s="452" t="s">
        <v>568</v>
      </c>
      <c r="F131" s="456" t="s">
        <v>620</v>
      </c>
      <c r="G131" s="736">
        <v>2366</v>
      </c>
      <c r="H131" s="551">
        <v>0</v>
      </c>
      <c r="I131" s="737">
        <v>0</v>
      </c>
      <c r="J131" s="448">
        <v>0</v>
      </c>
      <c r="K131" s="460">
        <v>0</v>
      </c>
      <c r="L131" s="460">
        <v>2366</v>
      </c>
      <c r="M131" s="451">
        <v>0</v>
      </c>
      <c r="N131" s="278">
        <v>2366</v>
      </c>
      <c r="O131" s="279">
        <v>0</v>
      </c>
      <c r="P131" s="313">
        <f t="shared" si="10"/>
        <v>2366</v>
      </c>
      <c r="Q131" s="589">
        <v>0</v>
      </c>
      <c r="R131" s="678">
        <v>0</v>
      </c>
      <c r="S131" s="586">
        <v>0</v>
      </c>
      <c r="T131" s="739">
        <v>0</v>
      </c>
      <c r="U131" s="589">
        <v>0</v>
      </c>
      <c r="V131" s="740">
        <v>0</v>
      </c>
      <c r="W131" s="741">
        <v>0</v>
      </c>
      <c r="X131" s="742">
        <v>0</v>
      </c>
      <c r="Y131" s="742">
        <v>0</v>
      </c>
      <c r="Z131" s="741">
        <v>0</v>
      </c>
      <c r="AA131" s="585">
        <v>0</v>
      </c>
      <c r="AB131" s="552" t="s">
        <v>193</v>
      </c>
      <c r="AC131" s="26" t="s">
        <v>14</v>
      </c>
    </row>
    <row r="132" spans="1:29" ht="30" customHeight="1" outlineLevel="1" x14ac:dyDescent="0.25">
      <c r="A132" s="735" t="s">
        <v>569</v>
      </c>
      <c r="B132" s="549" t="s">
        <v>197</v>
      </c>
      <c r="C132" s="26" t="s">
        <v>684</v>
      </c>
      <c r="D132" s="743" t="s">
        <v>75</v>
      </c>
      <c r="E132" s="743" t="s">
        <v>75</v>
      </c>
      <c r="F132" s="456" t="s">
        <v>621</v>
      </c>
      <c r="G132" s="736">
        <v>987.68</v>
      </c>
      <c r="H132" s="551">
        <v>0</v>
      </c>
      <c r="I132" s="737">
        <v>0</v>
      </c>
      <c r="J132" s="448">
        <v>0</v>
      </c>
      <c r="K132" s="460">
        <v>0</v>
      </c>
      <c r="L132" s="460">
        <v>0</v>
      </c>
      <c r="M132" s="451">
        <v>0</v>
      </c>
      <c r="N132" s="278">
        <v>0</v>
      </c>
      <c r="O132" s="279">
        <v>0</v>
      </c>
      <c r="P132" s="313">
        <f t="shared" si="10"/>
        <v>0</v>
      </c>
      <c r="Q132" s="589">
        <v>987.68</v>
      </c>
      <c r="R132" s="678">
        <v>0</v>
      </c>
      <c r="S132" s="586">
        <v>0</v>
      </c>
      <c r="T132" s="739">
        <v>0</v>
      </c>
      <c r="U132" s="589">
        <v>0</v>
      </c>
      <c r="V132" s="740">
        <v>0</v>
      </c>
      <c r="W132" s="744">
        <v>0</v>
      </c>
      <c r="X132" s="742">
        <v>0</v>
      </c>
      <c r="Y132" s="742">
        <v>0</v>
      </c>
      <c r="Z132" s="741">
        <v>0</v>
      </c>
      <c r="AA132" s="585">
        <v>0</v>
      </c>
      <c r="AB132" s="552" t="s">
        <v>193</v>
      </c>
      <c r="AC132" s="26" t="s">
        <v>14</v>
      </c>
    </row>
    <row r="133" spans="1:29" ht="30" customHeight="1" outlineLevel="1" x14ac:dyDescent="0.25">
      <c r="A133" s="735" t="s">
        <v>570</v>
      </c>
      <c r="B133" s="549" t="s">
        <v>197</v>
      </c>
      <c r="C133" s="26" t="s">
        <v>684</v>
      </c>
      <c r="D133" s="743" t="s">
        <v>166</v>
      </c>
      <c r="E133" s="743" t="s">
        <v>166</v>
      </c>
      <c r="F133" s="456" t="s">
        <v>622</v>
      </c>
      <c r="G133" s="736">
        <v>600</v>
      </c>
      <c r="H133" s="551">
        <v>0</v>
      </c>
      <c r="I133" s="737">
        <v>0</v>
      </c>
      <c r="J133" s="448">
        <v>0</v>
      </c>
      <c r="K133" s="460">
        <v>0</v>
      </c>
      <c r="L133" s="460">
        <v>0</v>
      </c>
      <c r="M133" s="451">
        <v>0</v>
      </c>
      <c r="N133" s="278">
        <v>0</v>
      </c>
      <c r="O133" s="279">
        <v>0</v>
      </c>
      <c r="P133" s="313">
        <f t="shared" si="10"/>
        <v>0</v>
      </c>
      <c r="Q133" s="589">
        <v>600</v>
      </c>
      <c r="R133" s="678">
        <v>0</v>
      </c>
      <c r="S133" s="586">
        <v>0</v>
      </c>
      <c r="T133" s="739">
        <v>0</v>
      </c>
      <c r="U133" s="589">
        <v>0</v>
      </c>
      <c r="V133" s="740">
        <v>0</v>
      </c>
      <c r="W133" s="744">
        <v>0</v>
      </c>
      <c r="X133" s="742">
        <v>0</v>
      </c>
      <c r="Y133" s="742">
        <v>0</v>
      </c>
      <c r="Z133" s="741">
        <v>0</v>
      </c>
      <c r="AA133" s="585">
        <v>0</v>
      </c>
      <c r="AB133" s="552" t="s">
        <v>193</v>
      </c>
      <c r="AC133" s="26" t="s">
        <v>14</v>
      </c>
    </row>
    <row r="134" spans="1:29" ht="25.5" outlineLevel="1" x14ac:dyDescent="0.25">
      <c r="A134" s="735" t="s">
        <v>571</v>
      </c>
      <c r="B134" s="549" t="s">
        <v>197</v>
      </c>
      <c r="C134" s="26" t="s">
        <v>684</v>
      </c>
      <c r="D134" s="26" t="s">
        <v>8</v>
      </c>
      <c r="E134" s="452" t="s">
        <v>572</v>
      </c>
      <c r="F134" s="456" t="s">
        <v>623</v>
      </c>
      <c r="G134" s="736">
        <v>75000</v>
      </c>
      <c r="H134" s="551">
        <v>0</v>
      </c>
      <c r="I134" s="737">
        <v>0</v>
      </c>
      <c r="J134" s="448">
        <v>0</v>
      </c>
      <c r="K134" s="460">
        <v>0</v>
      </c>
      <c r="L134" s="460">
        <v>3000</v>
      </c>
      <c r="M134" s="451">
        <v>0</v>
      </c>
      <c r="N134" s="278">
        <v>3000</v>
      </c>
      <c r="O134" s="279">
        <v>0</v>
      </c>
      <c r="P134" s="313">
        <f t="shared" si="10"/>
        <v>3000</v>
      </c>
      <c r="Q134" s="589">
        <v>72000</v>
      </c>
      <c r="R134" s="678">
        <v>0</v>
      </c>
      <c r="S134" s="586">
        <v>0</v>
      </c>
      <c r="T134" s="739">
        <v>0</v>
      </c>
      <c r="U134" s="589">
        <v>0</v>
      </c>
      <c r="V134" s="740">
        <v>0</v>
      </c>
      <c r="W134" s="741">
        <v>0</v>
      </c>
      <c r="X134" s="742">
        <v>0</v>
      </c>
      <c r="Y134" s="742">
        <v>0</v>
      </c>
      <c r="Z134" s="741">
        <v>0</v>
      </c>
      <c r="AA134" s="585">
        <v>0</v>
      </c>
      <c r="AB134" s="26" t="s">
        <v>573</v>
      </c>
      <c r="AC134" s="26" t="s">
        <v>14</v>
      </c>
    </row>
    <row r="135" spans="1:29" ht="25.5" outlineLevel="1" x14ac:dyDescent="0.25">
      <c r="A135" s="735" t="s">
        <v>574</v>
      </c>
      <c r="B135" s="549" t="s">
        <v>197</v>
      </c>
      <c r="C135" s="26" t="s">
        <v>684</v>
      </c>
      <c r="D135" s="452" t="s">
        <v>576</v>
      </c>
      <c r="E135" s="452" t="s">
        <v>576</v>
      </c>
      <c r="F135" s="456" t="s">
        <v>577</v>
      </c>
      <c r="G135" s="736">
        <v>1400</v>
      </c>
      <c r="H135" s="551">
        <v>0</v>
      </c>
      <c r="I135" s="737">
        <v>0</v>
      </c>
      <c r="J135" s="448">
        <v>0</v>
      </c>
      <c r="K135" s="460">
        <v>0</v>
      </c>
      <c r="L135" s="460">
        <v>0</v>
      </c>
      <c r="M135" s="451">
        <v>0</v>
      </c>
      <c r="N135" s="278">
        <v>0</v>
      </c>
      <c r="O135" s="279">
        <v>0</v>
      </c>
      <c r="P135" s="313">
        <f t="shared" si="10"/>
        <v>0</v>
      </c>
      <c r="Q135" s="589">
        <v>1400</v>
      </c>
      <c r="R135" s="678">
        <v>0</v>
      </c>
      <c r="S135" s="586">
        <v>0</v>
      </c>
      <c r="T135" s="739">
        <v>0</v>
      </c>
      <c r="U135" s="589">
        <v>0</v>
      </c>
      <c r="V135" s="740">
        <v>0</v>
      </c>
      <c r="W135" s="744">
        <v>0</v>
      </c>
      <c r="X135" s="742">
        <v>0</v>
      </c>
      <c r="Y135" s="742">
        <v>0</v>
      </c>
      <c r="Z135" s="741">
        <v>0</v>
      </c>
      <c r="AA135" s="585">
        <v>0</v>
      </c>
      <c r="AB135" s="26" t="s">
        <v>193</v>
      </c>
      <c r="AC135" s="26" t="s">
        <v>14</v>
      </c>
    </row>
    <row r="136" spans="1:29" ht="25.5" outlineLevel="1" x14ac:dyDescent="0.25">
      <c r="A136" s="735" t="s">
        <v>575</v>
      </c>
      <c r="B136" s="549" t="s">
        <v>197</v>
      </c>
      <c r="C136" s="26" t="s">
        <v>684</v>
      </c>
      <c r="D136" s="26" t="s">
        <v>8</v>
      </c>
      <c r="E136" s="452" t="s">
        <v>624</v>
      </c>
      <c r="F136" s="456" t="s">
        <v>625</v>
      </c>
      <c r="G136" s="736">
        <v>25880</v>
      </c>
      <c r="H136" s="551">
        <v>0</v>
      </c>
      <c r="I136" s="737">
        <v>0</v>
      </c>
      <c r="J136" s="448">
        <v>0</v>
      </c>
      <c r="K136" s="460">
        <v>0</v>
      </c>
      <c r="L136" s="460">
        <v>0</v>
      </c>
      <c r="M136" s="451">
        <v>5000</v>
      </c>
      <c r="N136" s="278">
        <v>5000</v>
      </c>
      <c r="O136" s="279">
        <v>0</v>
      </c>
      <c r="P136" s="313">
        <f t="shared" si="10"/>
        <v>5000</v>
      </c>
      <c r="Q136" s="589">
        <v>20880</v>
      </c>
      <c r="R136" s="678">
        <v>0</v>
      </c>
      <c r="S136" s="586">
        <v>0</v>
      </c>
      <c r="T136" s="739">
        <v>0</v>
      </c>
      <c r="U136" s="589">
        <v>0</v>
      </c>
      <c r="V136" s="740">
        <v>0</v>
      </c>
      <c r="W136" s="744">
        <v>0</v>
      </c>
      <c r="X136" s="742">
        <v>0</v>
      </c>
      <c r="Y136" s="742">
        <v>0</v>
      </c>
      <c r="Z136" s="741">
        <v>0</v>
      </c>
      <c r="AA136" s="585">
        <v>0</v>
      </c>
      <c r="AB136" s="26" t="s">
        <v>193</v>
      </c>
      <c r="AC136" s="26" t="s">
        <v>14</v>
      </c>
    </row>
    <row r="137" spans="1:29" ht="38.25" outlineLevel="1" x14ac:dyDescent="0.25">
      <c r="A137" s="735" t="s">
        <v>578</v>
      </c>
      <c r="B137" s="549" t="s">
        <v>197</v>
      </c>
      <c r="C137" s="26" t="s">
        <v>684</v>
      </c>
      <c r="D137" s="452" t="s">
        <v>154</v>
      </c>
      <c r="E137" s="452" t="s">
        <v>154</v>
      </c>
      <c r="F137" s="456" t="s">
        <v>626</v>
      </c>
      <c r="G137" s="736">
        <v>1200</v>
      </c>
      <c r="H137" s="551">
        <v>0</v>
      </c>
      <c r="I137" s="737">
        <v>0</v>
      </c>
      <c r="J137" s="448">
        <v>0</v>
      </c>
      <c r="K137" s="460">
        <v>0</v>
      </c>
      <c r="L137" s="460">
        <v>1200</v>
      </c>
      <c r="M137" s="451">
        <v>0</v>
      </c>
      <c r="N137" s="278">
        <v>1200</v>
      </c>
      <c r="O137" s="279">
        <v>0</v>
      </c>
      <c r="P137" s="313">
        <f t="shared" si="10"/>
        <v>1200</v>
      </c>
      <c r="Q137" s="589">
        <v>0</v>
      </c>
      <c r="R137" s="678">
        <v>0</v>
      </c>
      <c r="S137" s="586">
        <v>0</v>
      </c>
      <c r="T137" s="739">
        <v>0</v>
      </c>
      <c r="U137" s="589">
        <v>0</v>
      </c>
      <c r="V137" s="740">
        <v>0</v>
      </c>
      <c r="W137" s="744">
        <v>0</v>
      </c>
      <c r="X137" s="742">
        <v>0</v>
      </c>
      <c r="Y137" s="742">
        <v>0</v>
      </c>
      <c r="Z137" s="741">
        <v>0</v>
      </c>
      <c r="AA137" s="585">
        <v>0</v>
      </c>
      <c r="AB137" s="26" t="s">
        <v>193</v>
      </c>
      <c r="AC137" s="26" t="s">
        <v>14</v>
      </c>
    </row>
    <row r="138" spans="1:29" ht="25.5" outlineLevel="1" x14ac:dyDescent="0.25">
      <c r="A138" s="735" t="s">
        <v>579</v>
      </c>
      <c r="B138" s="549" t="s">
        <v>197</v>
      </c>
      <c r="C138" s="26" t="s">
        <v>684</v>
      </c>
      <c r="D138" s="452" t="s">
        <v>50</v>
      </c>
      <c r="E138" s="730" t="s">
        <v>50</v>
      </c>
      <c r="F138" s="456" t="s">
        <v>580</v>
      </c>
      <c r="G138" s="736">
        <v>7500</v>
      </c>
      <c r="H138" s="551">
        <v>0</v>
      </c>
      <c r="I138" s="737">
        <v>0</v>
      </c>
      <c r="J138" s="448">
        <v>0</v>
      </c>
      <c r="K138" s="460">
        <v>0</v>
      </c>
      <c r="L138" s="460">
        <v>7500</v>
      </c>
      <c r="M138" s="451">
        <v>0</v>
      </c>
      <c r="N138" s="278">
        <v>7500</v>
      </c>
      <c r="O138" s="279">
        <v>0</v>
      </c>
      <c r="P138" s="313">
        <f t="shared" si="10"/>
        <v>7500</v>
      </c>
      <c r="Q138" s="589">
        <v>0</v>
      </c>
      <c r="R138" s="678">
        <v>0</v>
      </c>
      <c r="S138" s="586">
        <v>0</v>
      </c>
      <c r="T138" s="739">
        <v>0</v>
      </c>
      <c r="U138" s="589">
        <v>0</v>
      </c>
      <c r="V138" s="740">
        <v>0</v>
      </c>
      <c r="W138" s="744">
        <v>0</v>
      </c>
      <c r="X138" s="742">
        <v>0</v>
      </c>
      <c r="Y138" s="742">
        <v>0</v>
      </c>
      <c r="Z138" s="741">
        <v>0</v>
      </c>
      <c r="AA138" s="585">
        <v>0</v>
      </c>
      <c r="AB138" s="26" t="s">
        <v>193</v>
      </c>
      <c r="AC138" s="26" t="s">
        <v>14</v>
      </c>
    </row>
    <row r="139" spans="1:29" ht="27" outlineLevel="1" thickBot="1" x14ac:dyDescent="0.3">
      <c r="A139" s="746" t="s">
        <v>581</v>
      </c>
      <c r="B139" s="461" t="s">
        <v>197</v>
      </c>
      <c r="C139" s="30" t="s">
        <v>684</v>
      </c>
      <c r="D139" s="747" t="s">
        <v>155</v>
      </c>
      <c r="E139" s="747" t="s">
        <v>155</v>
      </c>
      <c r="F139" s="464" t="s">
        <v>582</v>
      </c>
      <c r="G139" s="748">
        <v>1300</v>
      </c>
      <c r="H139" s="749">
        <v>0</v>
      </c>
      <c r="I139" s="750">
        <v>0</v>
      </c>
      <c r="J139" s="472">
        <v>0</v>
      </c>
      <c r="K139" s="473">
        <v>0</v>
      </c>
      <c r="L139" s="473">
        <v>1300</v>
      </c>
      <c r="M139" s="476">
        <v>0</v>
      </c>
      <c r="N139" s="324">
        <v>1300</v>
      </c>
      <c r="O139" s="325">
        <v>0</v>
      </c>
      <c r="P139" s="181">
        <f t="shared" si="10"/>
        <v>1300</v>
      </c>
      <c r="Q139" s="753">
        <v>0</v>
      </c>
      <c r="R139" s="754">
        <v>0</v>
      </c>
      <c r="S139" s="755">
        <v>0</v>
      </c>
      <c r="T139" s="756">
        <v>0</v>
      </c>
      <c r="U139" s="753">
        <v>0</v>
      </c>
      <c r="V139" s="755">
        <v>0</v>
      </c>
      <c r="W139" s="757">
        <v>0</v>
      </c>
      <c r="X139" s="758">
        <v>0</v>
      </c>
      <c r="Y139" s="758">
        <v>0</v>
      </c>
      <c r="Z139" s="757">
        <v>0</v>
      </c>
      <c r="AA139" s="753">
        <v>0</v>
      </c>
      <c r="AB139" s="30" t="s">
        <v>193</v>
      </c>
      <c r="AC139" s="30" t="s">
        <v>14</v>
      </c>
    </row>
    <row r="140" spans="1:29" s="300" customFormat="1" ht="29.25" customHeight="1" outlineLevel="1" x14ac:dyDescent="0.25">
      <c r="A140" s="735" t="s">
        <v>743</v>
      </c>
      <c r="B140" s="492" t="s">
        <v>197</v>
      </c>
      <c r="C140" s="24" t="s">
        <v>862</v>
      </c>
      <c r="D140" s="435" t="s">
        <v>8</v>
      </c>
      <c r="E140" s="435" t="s">
        <v>744</v>
      </c>
      <c r="F140" s="495" t="s">
        <v>745</v>
      </c>
      <c r="G140" s="759">
        <v>27000</v>
      </c>
      <c r="H140" s="760">
        <v>0</v>
      </c>
      <c r="I140" s="761">
        <v>0</v>
      </c>
      <c r="J140" s="432">
        <v>0</v>
      </c>
      <c r="K140" s="450">
        <v>0</v>
      </c>
      <c r="L140" s="450">
        <v>5000</v>
      </c>
      <c r="M140" s="434">
        <v>0</v>
      </c>
      <c r="N140" s="358">
        <v>5000</v>
      </c>
      <c r="O140" s="359">
        <v>0</v>
      </c>
      <c r="P140" s="312">
        <f t="shared" si="10"/>
        <v>5000</v>
      </c>
      <c r="Q140" s="734">
        <v>22000</v>
      </c>
      <c r="R140" s="732">
        <v>0</v>
      </c>
      <c r="S140" s="733">
        <v>0</v>
      </c>
      <c r="T140" s="764">
        <v>0</v>
      </c>
      <c r="U140" s="734">
        <v>0</v>
      </c>
      <c r="V140" s="733">
        <v>0</v>
      </c>
      <c r="W140" s="764">
        <v>0</v>
      </c>
      <c r="X140" s="588">
        <v>0</v>
      </c>
      <c r="Y140" s="588">
        <v>0</v>
      </c>
      <c r="Z140" s="588">
        <v>0</v>
      </c>
      <c r="AA140" s="734">
        <v>0</v>
      </c>
      <c r="AB140" s="24" t="s">
        <v>193</v>
      </c>
      <c r="AC140" s="24" t="s">
        <v>14</v>
      </c>
    </row>
    <row r="141" spans="1:29" s="300" customFormat="1" ht="42" customHeight="1" outlineLevel="1" x14ac:dyDescent="0.25">
      <c r="A141" s="1250" t="s">
        <v>746</v>
      </c>
      <c r="B141" s="549" t="s">
        <v>748</v>
      </c>
      <c r="C141" s="26" t="s">
        <v>862</v>
      </c>
      <c r="D141" s="452" t="s">
        <v>8</v>
      </c>
      <c r="E141" s="452" t="s">
        <v>283</v>
      </c>
      <c r="F141" s="456" t="s">
        <v>747</v>
      </c>
      <c r="G141" s="736">
        <v>109750.52245999999</v>
      </c>
      <c r="H141" s="551">
        <v>0</v>
      </c>
      <c r="I141" s="737">
        <v>0</v>
      </c>
      <c r="J141" s="448">
        <v>0</v>
      </c>
      <c r="K141" s="460">
        <v>0</v>
      </c>
      <c r="L141" s="460">
        <v>21500</v>
      </c>
      <c r="M141" s="451">
        <v>21500</v>
      </c>
      <c r="N141" s="278">
        <v>43000</v>
      </c>
      <c r="O141" s="279">
        <v>0</v>
      </c>
      <c r="P141" s="313">
        <f t="shared" si="10"/>
        <v>43000</v>
      </c>
      <c r="Q141" s="589">
        <v>62031.52246</v>
      </c>
      <c r="R141" s="678">
        <v>0</v>
      </c>
      <c r="S141" s="586">
        <v>4719</v>
      </c>
      <c r="T141" s="739">
        <v>0</v>
      </c>
      <c r="U141" s="589">
        <v>0</v>
      </c>
      <c r="V141" s="586">
        <v>0</v>
      </c>
      <c r="W141" s="739">
        <v>0</v>
      </c>
      <c r="X141" s="587">
        <v>0</v>
      </c>
      <c r="Y141" s="587">
        <v>0</v>
      </c>
      <c r="Z141" s="587">
        <v>0</v>
      </c>
      <c r="AA141" s="589">
        <v>0</v>
      </c>
      <c r="AB141" s="26" t="s">
        <v>193</v>
      </c>
      <c r="AC141" s="26" t="s">
        <v>10</v>
      </c>
    </row>
    <row r="142" spans="1:29" s="260" customFormat="1" ht="12.6" customHeight="1" outlineLevel="1" thickBot="1" x14ac:dyDescent="0.3">
      <c r="A142" s="21" t="s">
        <v>211</v>
      </c>
      <c r="B142" s="341" t="s">
        <v>211</v>
      </c>
      <c r="C142" s="174" t="s">
        <v>211</v>
      </c>
      <c r="D142" s="174" t="s">
        <v>211</v>
      </c>
      <c r="E142" s="174" t="s">
        <v>211</v>
      </c>
      <c r="F142" s="119" t="s">
        <v>211</v>
      </c>
      <c r="G142" s="137" t="s">
        <v>211</v>
      </c>
      <c r="H142" s="50" t="s">
        <v>211</v>
      </c>
      <c r="I142" s="115" t="s">
        <v>211</v>
      </c>
      <c r="J142" s="115" t="s">
        <v>211</v>
      </c>
      <c r="K142" s="90" t="s">
        <v>211</v>
      </c>
      <c r="L142" s="90" t="s">
        <v>211</v>
      </c>
      <c r="M142" s="81" t="s">
        <v>211</v>
      </c>
      <c r="N142" s="81" t="s">
        <v>211</v>
      </c>
      <c r="O142" s="81" t="s">
        <v>211</v>
      </c>
      <c r="P142" s="81" t="s">
        <v>211</v>
      </c>
      <c r="Q142" s="137" t="s">
        <v>211</v>
      </c>
      <c r="R142" s="99" t="s">
        <v>211</v>
      </c>
      <c r="S142" s="127" t="s">
        <v>211</v>
      </c>
      <c r="T142" s="97" t="s">
        <v>211</v>
      </c>
      <c r="U142" s="23" t="s">
        <v>211</v>
      </c>
      <c r="V142" s="127" t="s">
        <v>211</v>
      </c>
      <c r="W142" s="102" t="s">
        <v>211</v>
      </c>
      <c r="X142" s="97" t="s">
        <v>211</v>
      </c>
      <c r="Y142" s="102" t="s">
        <v>211</v>
      </c>
      <c r="Z142" s="102" t="s">
        <v>211</v>
      </c>
      <c r="AA142" s="98" t="s">
        <v>211</v>
      </c>
      <c r="AB142" s="98" t="s">
        <v>211</v>
      </c>
      <c r="AC142" s="174" t="s">
        <v>211</v>
      </c>
    </row>
    <row r="143" spans="1:29" ht="26.25" thickBot="1" x14ac:dyDescent="0.3">
      <c r="A143" s="69" t="s">
        <v>193</v>
      </c>
      <c r="B143" s="240" t="s">
        <v>193</v>
      </c>
      <c r="C143" s="10" t="s">
        <v>193</v>
      </c>
      <c r="D143" s="297" t="s">
        <v>193</v>
      </c>
      <c r="E143" s="297" t="s">
        <v>193</v>
      </c>
      <c r="F143" s="79" t="s">
        <v>220</v>
      </c>
      <c r="G143" s="307">
        <f>SUM(G84:G142)</f>
        <v>714913.04093180003</v>
      </c>
      <c r="H143" s="307">
        <f>SUM(H84:H142)</f>
        <v>149893.21292999998</v>
      </c>
      <c r="I143" s="307">
        <f>SUM(I84:I142)</f>
        <v>18662.954989999995</v>
      </c>
      <c r="J143" s="307">
        <f t="shared" ref="J143" si="11">SUM(J84:J142)</f>
        <v>16515.682459999996</v>
      </c>
      <c r="K143" s="87">
        <f t="shared" ref="K143:AA143" si="12">SUM(K84:K142)</f>
        <v>35706.236280000005</v>
      </c>
      <c r="L143" s="87">
        <f t="shared" si="12"/>
        <v>79695.839999999997</v>
      </c>
      <c r="M143" s="57">
        <f t="shared" si="12"/>
        <v>97139.141029999984</v>
      </c>
      <c r="N143" s="307">
        <f t="shared" si="12"/>
        <v>273653.12621999998</v>
      </c>
      <c r="O143" s="307">
        <f t="shared" si="12"/>
        <v>-44596.226449999995</v>
      </c>
      <c r="P143" s="307">
        <f t="shared" si="12"/>
        <v>229056.89976999996</v>
      </c>
      <c r="Q143" s="128">
        <f t="shared" si="12"/>
        <v>328269.41858</v>
      </c>
      <c r="R143" s="307">
        <f t="shared" si="12"/>
        <v>0</v>
      </c>
      <c r="S143" s="86">
        <f t="shared" si="12"/>
        <v>5826.8782718000002</v>
      </c>
      <c r="T143" s="87">
        <f t="shared" si="12"/>
        <v>0</v>
      </c>
      <c r="U143" s="170">
        <f t="shared" si="12"/>
        <v>1866.63138</v>
      </c>
      <c r="V143" s="86">
        <f t="shared" si="12"/>
        <v>161094.20944999999</v>
      </c>
      <c r="W143" s="87">
        <f t="shared" si="12"/>
        <v>51506.352459999995</v>
      </c>
      <c r="X143" s="87">
        <f t="shared" si="12"/>
        <v>8047.5780899999991</v>
      </c>
      <c r="Y143" s="87">
        <f t="shared" si="12"/>
        <v>65521.928720000004</v>
      </c>
      <c r="Z143" s="87">
        <f t="shared" si="12"/>
        <v>44065.928269999997</v>
      </c>
      <c r="AA143" s="170">
        <f t="shared" si="12"/>
        <v>0</v>
      </c>
      <c r="AB143" s="11" t="s">
        <v>702</v>
      </c>
      <c r="AC143" s="10" t="s">
        <v>193</v>
      </c>
    </row>
    <row r="144" spans="1:29" ht="30" outlineLevel="1" x14ac:dyDescent="0.25">
      <c r="A144" s="458" t="s">
        <v>661</v>
      </c>
      <c r="B144" s="454" t="s">
        <v>93</v>
      </c>
      <c r="C144" s="24" t="s">
        <v>346</v>
      </c>
      <c r="D144" s="455" t="s">
        <v>8</v>
      </c>
      <c r="E144" s="804" t="s">
        <v>94</v>
      </c>
      <c r="F144" s="805" t="s">
        <v>95</v>
      </c>
      <c r="G144" s="806">
        <v>43778.67959</v>
      </c>
      <c r="H144" s="113">
        <v>23978.757640000003</v>
      </c>
      <c r="I144" s="557">
        <v>0</v>
      </c>
      <c r="J144" s="558">
        <v>0</v>
      </c>
      <c r="K144" s="559">
        <v>0</v>
      </c>
      <c r="L144" s="559">
        <v>500</v>
      </c>
      <c r="M144" s="560">
        <v>0</v>
      </c>
      <c r="N144" s="175">
        <v>500</v>
      </c>
      <c r="O144" s="316">
        <v>0</v>
      </c>
      <c r="P144" s="312">
        <f t="shared" ref="P144:P173" si="13">N144+O144</f>
        <v>500</v>
      </c>
      <c r="Q144" s="701">
        <v>8799.9219499999999</v>
      </c>
      <c r="R144" s="807">
        <v>10500</v>
      </c>
      <c r="S144" s="808">
        <v>0</v>
      </c>
      <c r="T144" s="809">
        <v>0</v>
      </c>
      <c r="U144" s="810">
        <v>0</v>
      </c>
      <c r="V144" s="807">
        <v>0</v>
      </c>
      <c r="W144" s="579">
        <v>0</v>
      </c>
      <c r="X144" s="460">
        <v>0</v>
      </c>
      <c r="Y144" s="563">
        <v>0</v>
      </c>
      <c r="Z144" s="578">
        <v>0</v>
      </c>
      <c r="AA144" s="579">
        <v>0</v>
      </c>
      <c r="AB144" s="26" t="s">
        <v>193</v>
      </c>
      <c r="AC144" s="811" t="s">
        <v>20</v>
      </c>
    </row>
    <row r="145" spans="1:29" ht="30" outlineLevel="1" x14ac:dyDescent="0.25">
      <c r="A145" s="458" t="s">
        <v>662</v>
      </c>
      <c r="B145" s="565" t="s">
        <v>103</v>
      </c>
      <c r="C145" s="26" t="s">
        <v>200</v>
      </c>
      <c r="D145" s="455" t="s">
        <v>8</v>
      </c>
      <c r="E145" s="651" t="s">
        <v>8</v>
      </c>
      <c r="F145" s="673" t="s">
        <v>205</v>
      </c>
      <c r="G145" s="27">
        <v>17500</v>
      </c>
      <c r="H145" s="113">
        <v>0</v>
      </c>
      <c r="I145" s="457">
        <v>0</v>
      </c>
      <c r="J145" s="446">
        <v>0</v>
      </c>
      <c r="K145" s="447">
        <v>0</v>
      </c>
      <c r="L145" s="447">
        <v>0</v>
      </c>
      <c r="M145" s="445">
        <v>0</v>
      </c>
      <c r="N145" s="175">
        <v>0</v>
      </c>
      <c r="O145" s="316">
        <v>0</v>
      </c>
      <c r="P145" s="313">
        <f t="shared" si="13"/>
        <v>0</v>
      </c>
      <c r="Q145" s="701">
        <v>5000</v>
      </c>
      <c r="R145" s="551">
        <v>12500</v>
      </c>
      <c r="S145" s="812">
        <v>0</v>
      </c>
      <c r="T145" s="813">
        <v>0</v>
      </c>
      <c r="U145" s="445">
        <v>0</v>
      </c>
      <c r="V145" s="551">
        <v>0</v>
      </c>
      <c r="W145" s="701">
        <v>0</v>
      </c>
      <c r="X145" s="460">
        <v>0</v>
      </c>
      <c r="Y145" s="433">
        <v>0</v>
      </c>
      <c r="Z145" s="449">
        <v>0</v>
      </c>
      <c r="AA145" s="701">
        <v>0</v>
      </c>
      <c r="AB145" s="814" t="s">
        <v>193</v>
      </c>
      <c r="AC145" s="26" t="s">
        <v>87</v>
      </c>
    </row>
    <row r="146" spans="1:29" ht="25.5" outlineLevel="1" x14ac:dyDescent="0.25">
      <c r="A146" s="458" t="s">
        <v>663</v>
      </c>
      <c r="B146" s="454" t="s">
        <v>107</v>
      </c>
      <c r="C146" s="26" t="s">
        <v>200</v>
      </c>
      <c r="D146" s="455" t="s">
        <v>106</v>
      </c>
      <c r="E146" s="651" t="s">
        <v>106</v>
      </c>
      <c r="F146" s="673" t="s">
        <v>358</v>
      </c>
      <c r="G146" s="27">
        <v>96.8</v>
      </c>
      <c r="H146" s="113">
        <v>0</v>
      </c>
      <c r="I146" s="457">
        <v>0</v>
      </c>
      <c r="J146" s="446">
        <v>0</v>
      </c>
      <c r="K146" s="447">
        <v>0</v>
      </c>
      <c r="L146" s="447">
        <v>0</v>
      </c>
      <c r="M146" s="445">
        <v>96.8</v>
      </c>
      <c r="N146" s="175">
        <v>96.8</v>
      </c>
      <c r="O146" s="316">
        <v>0</v>
      </c>
      <c r="P146" s="313">
        <f t="shared" si="13"/>
        <v>96.8</v>
      </c>
      <c r="Q146" s="701">
        <v>0</v>
      </c>
      <c r="R146" s="807">
        <v>0</v>
      </c>
      <c r="S146" s="812">
        <v>0</v>
      </c>
      <c r="T146" s="813">
        <v>0</v>
      </c>
      <c r="U146" s="445">
        <v>0</v>
      </c>
      <c r="V146" s="577">
        <v>0</v>
      </c>
      <c r="W146" s="579">
        <v>0</v>
      </c>
      <c r="X146" s="460">
        <v>0</v>
      </c>
      <c r="Y146" s="449">
        <v>0</v>
      </c>
      <c r="Z146" s="578">
        <v>0</v>
      </c>
      <c r="AA146" s="579">
        <v>0</v>
      </c>
      <c r="AB146" s="26" t="s">
        <v>193</v>
      </c>
      <c r="AC146" s="26" t="s">
        <v>87</v>
      </c>
    </row>
    <row r="147" spans="1:29" ht="30.75" outlineLevel="1" thickBot="1" x14ac:dyDescent="0.3">
      <c r="A147" s="461" t="s">
        <v>664</v>
      </c>
      <c r="B147" s="462" t="s">
        <v>108</v>
      </c>
      <c r="C147" s="30" t="s">
        <v>200</v>
      </c>
      <c r="D147" s="463" t="s">
        <v>100</v>
      </c>
      <c r="E147" s="815" t="s">
        <v>100</v>
      </c>
      <c r="F147" s="816" t="s">
        <v>762</v>
      </c>
      <c r="G147" s="465">
        <v>248655</v>
      </c>
      <c r="H147" s="465">
        <v>1724.069</v>
      </c>
      <c r="I147" s="466">
        <v>0</v>
      </c>
      <c r="J147" s="467">
        <v>400</v>
      </c>
      <c r="K147" s="468">
        <v>0</v>
      </c>
      <c r="L147" s="468">
        <v>0</v>
      </c>
      <c r="M147" s="469">
        <v>2000</v>
      </c>
      <c r="N147" s="143">
        <v>2400</v>
      </c>
      <c r="O147" s="207">
        <v>0</v>
      </c>
      <c r="P147" s="181">
        <f t="shared" si="13"/>
        <v>2400</v>
      </c>
      <c r="Q147" s="817">
        <v>244530.93100000001</v>
      </c>
      <c r="R147" s="749">
        <v>0</v>
      </c>
      <c r="S147" s="467">
        <v>0</v>
      </c>
      <c r="T147" s="468">
        <v>0</v>
      </c>
      <c r="U147" s="469">
        <v>0</v>
      </c>
      <c r="V147" s="472">
        <v>0</v>
      </c>
      <c r="W147" s="817">
        <v>0</v>
      </c>
      <c r="X147" s="473">
        <v>0</v>
      </c>
      <c r="Y147" s="473">
        <v>0</v>
      </c>
      <c r="Z147" s="475">
        <v>0</v>
      </c>
      <c r="AA147" s="817">
        <v>0</v>
      </c>
      <c r="AB147" s="818" t="s">
        <v>193</v>
      </c>
      <c r="AC147" s="30" t="s">
        <v>14</v>
      </c>
    </row>
    <row r="148" spans="1:29" ht="30" outlineLevel="1" x14ac:dyDescent="0.25">
      <c r="A148" s="792" t="s">
        <v>109</v>
      </c>
      <c r="B148" s="819" t="s">
        <v>206</v>
      </c>
      <c r="C148" s="811" t="s">
        <v>199</v>
      </c>
      <c r="D148" s="804" t="s">
        <v>100</v>
      </c>
      <c r="E148" s="820" t="s">
        <v>100</v>
      </c>
      <c r="F148" s="805" t="s">
        <v>110</v>
      </c>
      <c r="G148" s="806">
        <v>11500</v>
      </c>
      <c r="H148" s="113">
        <v>1546.6233299999999</v>
      </c>
      <c r="I148" s="557">
        <v>0</v>
      </c>
      <c r="J148" s="430">
        <v>0</v>
      </c>
      <c r="K148" s="431">
        <v>150</v>
      </c>
      <c r="L148" s="559">
        <v>150</v>
      </c>
      <c r="M148" s="560">
        <v>0</v>
      </c>
      <c r="N148" s="146">
        <v>300</v>
      </c>
      <c r="O148" s="348">
        <v>0</v>
      </c>
      <c r="P148" s="183">
        <f t="shared" si="13"/>
        <v>300</v>
      </c>
      <c r="Q148" s="821">
        <v>9653.3766699999996</v>
      </c>
      <c r="R148" s="822">
        <v>0</v>
      </c>
      <c r="S148" s="558">
        <v>0</v>
      </c>
      <c r="T148" s="559">
        <v>0</v>
      </c>
      <c r="U148" s="560">
        <v>0</v>
      </c>
      <c r="V148" s="822">
        <v>0</v>
      </c>
      <c r="W148" s="821">
        <v>0</v>
      </c>
      <c r="X148" s="450">
        <v>0</v>
      </c>
      <c r="Y148" s="563">
        <v>0</v>
      </c>
      <c r="Z148" s="563">
        <v>0</v>
      </c>
      <c r="AA148" s="823">
        <v>0</v>
      </c>
      <c r="AB148" s="31" t="s">
        <v>193</v>
      </c>
      <c r="AC148" s="811" t="s">
        <v>14</v>
      </c>
    </row>
    <row r="149" spans="1:29" ht="30" outlineLevel="1" x14ac:dyDescent="0.25">
      <c r="A149" s="458" t="s">
        <v>111</v>
      </c>
      <c r="B149" s="454" t="s">
        <v>207</v>
      </c>
      <c r="C149" s="26" t="s">
        <v>199</v>
      </c>
      <c r="D149" s="455" t="s">
        <v>98</v>
      </c>
      <c r="E149" s="651" t="s">
        <v>98</v>
      </c>
      <c r="F149" s="673" t="s">
        <v>196</v>
      </c>
      <c r="G149" s="27">
        <v>50410.85</v>
      </c>
      <c r="H149" s="113">
        <v>0</v>
      </c>
      <c r="I149" s="457">
        <v>0</v>
      </c>
      <c r="J149" s="446">
        <v>2830</v>
      </c>
      <c r="K149" s="447">
        <v>0</v>
      </c>
      <c r="L149" s="447">
        <v>0</v>
      </c>
      <c r="M149" s="445">
        <v>0</v>
      </c>
      <c r="N149" s="175">
        <v>2830</v>
      </c>
      <c r="O149" s="316">
        <v>0</v>
      </c>
      <c r="P149" s="313">
        <f t="shared" si="13"/>
        <v>2830</v>
      </c>
      <c r="Q149" s="701">
        <v>30410.85</v>
      </c>
      <c r="R149" s="551">
        <v>17170</v>
      </c>
      <c r="S149" s="446">
        <v>0</v>
      </c>
      <c r="T149" s="447">
        <v>0</v>
      </c>
      <c r="U149" s="445">
        <v>0</v>
      </c>
      <c r="V149" s="551">
        <v>0</v>
      </c>
      <c r="W149" s="701">
        <v>0</v>
      </c>
      <c r="X149" s="460">
        <v>0</v>
      </c>
      <c r="Y149" s="433">
        <v>0</v>
      </c>
      <c r="Z149" s="449">
        <v>0</v>
      </c>
      <c r="AA149" s="451">
        <v>0</v>
      </c>
      <c r="AB149" s="29" t="s">
        <v>193</v>
      </c>
      <c r="AC149" s="26" t="s">
        <v>10</v>
      </c>
    </row>
    <row r="150" spans="1:29" ht="25.5" outlineLevel="1" x14ac:dyDescent="0.25">
      <c r="A150" s="984" t="s">
        <v>112</v>
      </c>
      <c r="B150" s="437" t="s">
        <v>208</v>
      </c>
      <c r="C150" s="41" t="s">
        <v>199</v>
      </c>
      <c r="D150" s="438" t="s">
        <v>102</v>
      </c>
      <c r="E150" s="985" t="s">
        <v>102</v>
      </c>
      <c r="F150" s="986" t="s">
        <v>113</v>
      </c>
      <c r="G150" s="48">
        <v>8500</v>
      </c>
      <c r="H150" s="52">
        <v>347.834</v>
      </c>
      <c r="I150" s="426">
        <v>0</v>
      </c>
      <c r="J150" s="441">
        <v>0</v>
      </c>
      <c r="K150" s="442">
        <v>0</v>
      </c>
      <c r="L150" s="442">
        <v>0</v>
      </c>
      <c r="M150" s="443">
        <v>2587</v>
      </c>
      <c r="N150" s="344">
        <v>3000</v>
      </c>
      <c r="O150" s="345">
        <v>-413</v>
      </c>
      <c r="P150" s="987">
        <f t="shared" si="13"/>
        <v>2587</v>
      </c>
      <c r="Q150" s="988">
        <v>5565.1660000000002</v>
      </c>
      <c r="R150" s="511">
        <v>0</v>
      </c>
      <c r="S150" s="441">
        <v>0</v>
      </c>
      <c r="T150" s="442">
        <v>0</v>
      </c>
      <c r="U150" s="443">
        <v>0</v>
      </c>
      <c r="V150" s="511">
        <v>0</v>
      </c>
      <c r="W150" s="988">
        <v>0</v>
      </c>
      <c r="X150" s="516">
        <v>0</v>
      </c>
      <c r="Y150" s="502">
        <v>0</v>
      </c>
      <c r="Z150" s="507">
        <v>0</v>
      </c>
      <c r="AA150" s="509">
        <v>0</v>
      </c>
      <c r="AB150" s="43" t="s">
        <v>834</v>
      </c>
      <c r="AC150" s="41" t="s">
        <v>10</v>
      </c>
    </row>
    <row r="151" spans="1:29" ht="30.75" outlineLevel="1" thickBot="1" x14ac:dyDescent="0.3">
      <c r="A151" s="825" t="s">
        <v>114</v>
      </c>
      <c r="B151" s="826" t="s">
        <v>209</v>
      </c>
      <c r="C151" s="827" t="s">
        <v>199</v>
      </c>
      <c r="D151" s="828" t="s">
        <v>101</v>
      </c>
      <c r="E151" s="829" t="s">
        <v>101</v>
      </c>
      <c r="F151" s="830" t="s">
        <v>115</v>
      </c>
      <c r="G151" s="831">
        <f>11482.15372+89.0809</f>
        <v>11571.234620000001</v>
      </c>
      <c r="H151" s="831">
        <v>8225.0181200000006</v>
      </c>
      <c r="I151" s="832">
        <v>875.48689999999999</v>
      </c>
      <c r="J151" s="833">
        <v>875.48689999999999</v>
      </c>
      <c r="K151" s="834">
        <v>1470.7295999999999</v>
      </c>
      <c r="L151" s="834">
        <v>1000</v>
      </c>
      <c r="M151" s="835">
        <v>0</v>
      </c>
      <c r="N151" s="836">
        <v>3257.1356000000005</v>
      </c>
      <c r="O151" s="837">
        <v>89.0809</v>
      </c>
      <c r="P151" s="838">
        <f t="shared" si="13"/>
        <v>3346.2165000000005</v>
      </c>
      <c r="Q151" s="839">
        <v>0</v>
      </c>
      <c r="R151" s="840">
        <v>0</v>
      </c>
      <c r="S151" s="833">
        <v>0</v>
      </c>
      <c r="T151" s="834">
        <v>0</v>
      </c>
      <c r="U151" s="835">
        <v>0</v>
      </c>
      <c r="V151" s="841">
        <v>0</v>
      </c>
      <c r="W151" s="839">
        <v>0</v>
      </c>
      <c r="X151" s="842">
        <v>0</v>
      </c>
      <c r="Y151" s="843">
        <v>0</v>
      </c>
      <c r="Z151" s="843">
        <v>0</v>
      </c>
      <c r="AA151" s="844">
        <v>0</v>
      </c>
      <c r="AB151" s="845" t="s">
        <v>823</v>
      </c>
      <c r="AC151" s="827" t="s">
        <v>20</v>
      </c>
    </row>
    <row r="152" spans="1:29" ht="25.5" outlineLevel="1" x14ac:dyDescent="0.25">
      <c r="A152" s="492" t="s">
        <v>285</v>
      </c>
      <c r="B152" s="793" t="s">
        <v>313</v>
      </c>
      <c r="C152" s="24" t="s">
        <v>352</v>
      </c>
      <c r="D152" s="494" t="s">
        <v>8</v>
      </c>
      <c r="E152" s="555" t="s">
        <v>8</v>
      </c>
      <c r="F152" s="846" t="s">
        <v>286</v>
      </c>
      <c r="G152" s="113">
        <v>700</v>
      </c>
      <c r="H152" s="113">
        <v>0</v>
      </c>
      <c r="I152" s="457">
        <v>0</v>
      </c>
      <c r="J152" s="430">
        <v>0</v>
      </c>
      <c r="K152" s="431">
        <v>0</v>
      </c>
      <c r="L152" s="431">
        <v>0</v>
      </c>
      <c r="M152" s="429">
        <v>700</v>
      </c>
      <c r="N152" s="175">
        <v>700</v>
      </c>
      <c r="O152" s="316">
        <v>0</v>
      </c>
      <c r="P152" s="312">
        <f t="shared" si="13"/>
        <v>700</v>
      </c>
      <c r="Q152" s="564">
        <v>0</v>
      </c>
      <c r="R152" s="760">
        <v>0</v>
      </c>
      <c r="S152" s="430">
        <v>0</v>
      </c>
      <c r="T152" s="431">
        <v>0</v>
      </c>
      <c r="U152" s="429">
        <v>0</v>
      </c>
      <c r="V152" s="432">
        <v>0</v>
      </c>
      <c r="W152" s="564">
        <v>0</v>
      </c>
      <c r="X152" s="450">
        <v>0</v>
      </c>
      <c r="Y152" s="433">
        <v>0</v>
      </c>
      <c r="Z152" s="433">
        <v>0</v>
      </c>
      <c r="AA152" s="434">
        <v>0</v>
      </c>
      <c r="AB152" s="31" t="s">
        <v>193</v>
      </c>
      <c r="AC152" s="24" t="s">
        <v>14</v>
      </c>
    </row>
    <row r="153" spans="1:29" ht="30" outlineLevel="1" x14ac:dyDescent="0.25">
      <c r="A153" s="492" t="s">
        <v>287</v>
      </c>
      <c r="B153" s="793" t="s">
        <v>314</v>
      </c>
      <c r="C153" s="24" t="s">
        <v>352</v>
      </c>
      <c r="D153" s="494" t="s">
        <v>288</v>
      </c>
      <c r="E153" s="555" t="s">
        <v>288</v>
      </c>
      <c r="F153" s="846" t="s">
        <v>289</v>
      </c>
      <c r="G153" s="113">
        <v>266</v>
      </c>
      <c r="H153" s="113">
        <v>98.977999999999994</v>
      </c>
      <c r="I153" s="457">
        <v>0</v>
      </c>
      <c r="J153" s="430">
        <v>167.02199999999999</v>
      </c>
      <c r="K153" s="431">
        <v>0</v>
      </c>
      <c r="L153" s="431">
        <v>0</v>
      </c>
      <c r="M153" s="429">
        <v>0</v>
      </c>
      <c r="N153" s="175">
        <v>167.02199999999999</v>
      </c>
      <c r="O153" s="316">
        <v>0</v>
      </c>
      <c r="P153" s="313">
        <f t="shared" si="13"/>
        <v>167.02199999999999</v>
      </c>
      <c r="Q153" s="564">
        <v>0</v>
      </c>
      <c r="R153" s="760">
        <v>0</v>
      </c>
      <c r="S153" s="430">
        <v>0</v>
      </c>
      <c r="T153" s="447">
        <v>0</v>
      </c>
      <c r="U153" s="429">
        <v>0</v>
      </c>
      <c r="V153" s="432">
        <v>0</v>
      </c>
      <c r="W153" s="564">
        <v>0</v>
      </c>
      <c r="X153" s="460">
        <v>0</v>
      </c>
      <c r="Y153" s="433">
        <v>0</v>
      </c>
      <c r="Z153" s="433">
        <v>0</v>
      </c>
      <c r="AA153" s="434">
        <v>0</v>
      </c>
      <c r="AB153" s="25" t="s">
        <v>193</v>
      </c>
      <c r="AC153" s="24" t="s">
        <v>20</v>
      </c>
    </row>
    <row r="154" spans="1:29" ht="30.75" outlineLevel="1" thickBot="1" x14ac:dyDescent="0.3">
      <c r="A154" s="461" t="s">
        <v>290</v>
      </c>
      <c r="B154" s="462" t="s">
        <v>315</v>
      </c>
      <c r="C154" s="490" t="s">
        <v>352</v>
      </c>
      <c r="D154" s="463" t="s">
        <v>104</v>
      </c>
      <c r="E154" s="815" t="s">
        <v>104</v>
      </c>
      <c r="F154" s="816" t="s">
        <v>750</v>
      </c>
      <c r="G154" s="465">
        <v>13500</v>
      </c>
      <c r="H154" s="465">
        <v>399.3</v>
      </c>
      <c r="I154" s="466">
        <v>33</v>
      </c>
      <c r="J154" s="467">
        <v>200</v>
      </c>
      <c r="K154" s="468">
        <v>1000</v>
      </c>
      <c r="L154" s="468">
        <v>2000.6999999999998</v>
      </c>
      <c r="M154" s="469">
        <v>7900</v>
      </c>
      <c r="N154" s="144">
        <v>11100.7</v>
      </c>
      <c r="O154" s="206">
        <v>0</v>
      </c>
      <c r="P154" s="181">
        <f t="shared" si="13"/>
        <v>11100.7</v>
      </c>
      <c r="Q154" s="817">
        <v>2000</v>
      </c>
      <c r="R154" s="749">
        <v>0</v>
      </c>
      <c r="S154" s="467">
        <v>0</v>
      </c>
      <c r="T154" s="468">
        <v>0</v>
      </c>
      <c r="U154" s="469">
        <v>0</v>
      </c>
      <c r="V154" s="749">
        <v>0</v>
      </c>
      <c r="W154" s="817">
        <v>0</v>
      </c>
      <c r="X154" s="473">
        <v>0</v>
      </c>
      <c r="Y154" s="475">
        <v>0</v>
      </c>
      <c r="Z154" s="475">
        <v>0</v>
      </c>
      <c r="AA154" s="476">
        <v>0</v>
      </c>
      <c r="AB154" s="32" t="s">
        <v>193</v>
      </c>
      <c r="AC154" s="30" t="s">
        <v>14</v>
      </c>
    </row>
    <row r="155" spans="1:29" ht="26.25" outlineLevel="1" thickBot="1" x14ac:dyDescent="0.3">
      <c r="A155" s="461" t="s">
        <v>317</v>
      </c>
      <c r="B155" s="462" t="s">
        <v>347</v>
      </c>
      <c r="C155" s="490" t="s">
        <v>349</v>
      </c>
      <c r="D155" s="463" t="s">
        <v>106</v>
      </c>
      <c r="E155" s="815" t="s">
        <v>106</v>
      </c>
      <c r="F155" s="816" t="s">
        <v>318</v>
      </c>
      <c r="G155" s="465">
        <v>3000</v>
      </c>
      <c r="H155" s="465">
        <v>2163.4886299999998</v>
      </c>
      <c r="I155" s="847">
        <v>0</v>
      </c>
      <c r="J155" s="467">
        <v>836.51137000000017</v>
      </c>
      <c r="K155" s="468">
        <v>0</v>
      </c>
      <c r="L155" s="468">
        <v>0</v>
      </c>
      <c r="M155" s="469">
        <v>0</v>
      </c>
      <c r="N155" s="143">
        <v>836.51137000000017</v>
      </c>
      <c r="O155" s="207">
        <v>0</v>
      </c>
      <c r="P155" s="181">
        <f t="shared" si="13"/>
        <v>836.51137000000017</v>
      </c>
      <c r="Q155" s="817">
        <v>0</v>
      </c>
      <c r="R155" s="749">
        <v>0</v>
      </c>
      <c r="S155" s="467">
        <v>0</v>
      </c>
      <c r="T155" s="468">
        <v>0</v>
      </c>
      <c r="U155" s="469">
        <v>0</v>
      </c>
      <c r="V155" s="487">
        <v>0</v>
      </c>
      <c r="W155" s="848">
        <v>0</v>
      </c>
      <c r="X155" s="474">
        <v>0</v>
      </c>
      <c r="Y155" s="475">
        <v>0</v>
      </c>
      <c r="Z155" s="488">
        <v>0</v>
      </c>
      <c r="AA155" s="489">
        <v>0</v>
      </c>
      <c r="AB155" s="339" t="s">
        <v>193</v>
      </c>
      <c r="AC155" s="30" t="s">
        <v>14</v>
      </c>
    </row>
    <row r="156" spans="1:29" ht="30" outlineLevel="1" x14ac:dyDescent="0.25">
      <c r="A156" s="492" t="s">
        <v>359</v>
      </c>
      <c r="B156" s="793" t="s">
        <v>395</v>
      </c>
      <c r="C156" s="24" t="s">
        <v>415</v>
      </c>
      <c r="D156" s="494" t="s">
        <v>101</v>
      </c>
      <c r="E156" s="555" t="s">
        <v>101</v>
      </c>
      <c r="F156" s="846" t="s">
        <v>360</v>
      </c>
      <c r="G156" s="113">
        <v>2025.652</v>
      </c>
      <c r="H156" s="113">
        <v>243.452</v>
      </c>
      <c r="I156" s="457">
        <v>0</v>
      </c>
      <c r="J156" s="430">
        <v>1282.2</v>
      </c>
      <c r="K156" s="431">
        <v>0</v>
      </c>
      <c r="L156" s="431">
        <v>0</v>
      </c>
      <c r="M156" s="429">
        <v>500</v>
      </c>
      <c r="N156" s="175">
        <v>1782.2</v>
      </c>
      <c r="O156" s="316">
        <v>0</v>
      </c>
      <c r="P156" s="312">
        <f t="shared" si="13"/>
        <v>1782.2</v>
      </c>
      <c r="Q156" s="564">
        <v>0</v>
      </c>
      <c r="R156" s="760">
        <v>0</v>
      </c>
      <c r="S156" s="430">
        <v>0</v>
      </c>
      <c r="T156" s="431">
        <v>0</v>
      </c>
      <c r="U156" s="429">
        <v>0</v>
      </c>
      <c r="V156" s="432">
        <v>0</v>
      </c>
      <c r="W156" s="564">
        <v>0</v>
      </c>
      <c r="X156" s="450">
        <v>0</v>
      </c>
      <c r="Y156" s="433">
        <v>0</v>
      </c>
      <c r="Z156" s="433">
        <v>0</v>
      </c>
      <c r="AA156" s="434">
        <v>0</v>
      </c>
      <c r="AB156" s="25" t="s">
        <v>526</v>
      </c>
      <c r="AC156" s="24" t="s">
        <v>14</v>
      </c>
    </row>
    <row r="157" spans="1:29" ht="30" outlineLevel="1" x14ac:dyDescent="0.25">
      <c r="A157" s="549" t="s">
        <v>361</v>
      </c>
      <c r="B157" s="454" t="s">
        <v>824</v>
      </c>
      <c r="C157" s="24" t="s">
        <v>415</v>
      </c>
      <c r="D157" s="455" t="s">
        <v>96</v>
      </c>
      <c r="E157" s="651" t="s">
        <v>96</v>
      </c>
      <c r="F157" s="673" t="s">
        <v>362</v>
      </c>
      <c r="G157" s="27">
        <v>1000</v>
      </c>
      <c r="H157" s="113">
        <v>0</v>
      </c>
      <c r="I157" s="457">
        <v>0</v>
      </c>
      <c r="J157" s="446">
        <v>0</v>
      </c>
      <c r="K157" s="447">
        <v>0</v>
      </c>
      <c r="L157" s="447">
        <v>0</v>
      </c>
      <c r="M157" s="445">
        <v>1000</v>
      </c>
      <c r="N157" s="175">
        <v>1000</v>
      </c>
      <c r="O157" s="316">
        <v>0</v>
      </c>
      <c r="P157" s="313">
        <f t="shared" si="13"/>
        <v>1000</v>
      </c>
      <c r="Q157" s="701">
        <v>0</v>
      </c>
      <c r="R157" s="551">
        <v>0</v>
      </c>
      <c r="S157" s="446">
        <v>0</v>
      </c>
      <c r="T157" s="447">
        <v>0</v>
      </c>
      <c r="U157" s="445">
        <v>0</v>
      </c>
      <c r="V157" s="432">
        <v>0</v>
      </c>
      <c r="W157" s="564">
        <v>0</v>
      </c>
      <c r="X157" s="460">
        <v>0</v>
      </c>
      <c r="Y157" s="433">
        <v>0</v>
      </c>
      <c r="Z157" s="433">
        <v>0</v>
      </c>
      <c r="AA157" s="434">
        <v>0</v>
      </c>
      <c r="AB157" s="29" t="s">
        <v>193</v>
      </c>
      <c r="AC157" s="26" t="s">
        <v>14</v>
      </c>
    </row>
    <row r="158" spans="1:29" ht="25.5" outlineLevel="1" x14ac:dyDescent="0.25">
      <c r="A158" s="549" t="s">
        <v>363</v>
      </c>
      <c r="B158" s="454" t="s">
        <v>527</v>
      </c>
      <c r="C158" s="24" t="s">
        <v>415</v>
      </c>
      <c r="D158" s="455" t="s">
        <v>100</v>
      </c>
      <c r="E158" s="651" t="s">
        <v>100</v>
      </c>
      <c r="F158" s="673" t="s">
        <v>364</v>
      </c>
      <c r="G158" s="27">
        <v>600</v>
      </c>
      <c r="H158" s="113">
        <v>0</v>
      </c>
      <c r="I158" s="457">
        <v>0</v>
      </c>
      <c r="J158" s="446">
        <v>0</v>
      </c>
      <c r="K158" s="447">
        <v>0</v>
      </c>
      <c r="L158" s="447">
        <v>0</v>
      </c>
      <c r="M158" s="445">
        <v>600</v>
      </c>
      <c r="N158" s="175">
        <v>600</v>
      </c>
      <c r="O158" s="316">
        <v>0</v>
      </c>
      <c r="P158" s="313">
        <f t="shared" si="13"/>
        <v>600</v>
      </c>
      <c r="Q158" s="701">
        <v>0</v>
      </c>
      <c r="R158" s="551">
        <v>0</v>
      </c>
      <c r="S158" s="446">
        <v>0</v>
      </c>
      <c r="T158" s="447">
        <v>0</v>
      </c>
      <c r="U158" s="445">
        <v>0</v>
      </c>
      <c r="V158" s="432">
        <v>0</v>
      </c>
      <c r="W158" s="564">
        <v>0</v>
      </c>
      <c r="X158" s="460">
        <v>0</v>
      </c>
      <c r="Y158" s="433">
        <v>0</v>
      </c>
      <c r="Z158" s="433">
        <v>0</v>
      </c>
      <c r="AA158" s="434">
        <v>0</v>
      </c>
      <c r="AB158" s="25" t="s">
        <v>193</v>
      </c>
      <c r="AC158" s="26" t="s">
        <v>14</v>
      </c>
    </row>
    <row r="159" spans="1:29" ht="26.25" outlineLevel="1" thickBot="1" x14ac:dyDescent="0.3">
      <c r="A159" s="461" t="s">
        <v>365</v>
      </c>
      <c r="B159" s="462" t="s">
        <v>528</v>
      </c>
      <c r="C159" s="490" t="s">
        <v>415</v>
      </c>
      <c r="D159" s="463" t="s">
        <v>100</v>
      </c>
      <c r="E159" s="815" t="s">
        <v>100</v>
      </c>
      <c r="F159" s="816" t="s">
        <v>366</v>
      </c>
      <c r="G159" s="465">
        <v>600</v>
      </c>
      <c r="H159" s="465">
        <v>0</v>
      </c>
      <c r="I159" s="466">
        <v>0</v>
      </c>
      <c r="J159" s="467">
        <v>0</v>
      </c>
      <c r="K159" s="468">
        <v>0</v>
      </c>
      <c r="L159" s="468">
        <v>600</v>
      </c>
      <c r="M159" s="469">
        <v>0</v>
      </c>
      <c r="N159" s="144">
        <v>600</v>
      </c>
      <c r="O159" s="206">
        <v>0</v>
      </c>
      <c r="P159" s="181">
        <f t="shared" si="13"/>
        <v>600</v>
      </c>
      <c r="Q159" s="817">
        <v>0</v>
      </c>
      <c r="R159" s="749">
        <v>0</v>
      </c>
      <c r="S159" s="467">
        <v>0</v>
      </c>
      <c r="T159" s="468">
        <v>0</v>
      </c>
      <c r="U159" s="469">
        <v>0</v>
      </c>
      <c r="V159" s="487">
        <v>0</v>
      </c>
      <c r="W159" s="848">
        <v>0</v>
      </c>
      <c r="X159" s="473">
        <v>0</v>
      </c>
      <c r="Y159" s="475">
        <v>0</v>
      </c>
      <c r="Z159" s="488">
        <v>0</v>
      </c>
      <c r="AA159" s="489">
        <v>0</v>
      </c>
      <c r="AB159" s="339" t="s">
        <v>193</v>
      </c>
      <c r="AC159" s="30" t="s">
        <v>14</v>
      </c>
    </row>
    <row r="160" spans="1:29" ht="30" outlineLevel="1" x14ac:dyDescent="0.25">
      <c r="A160" s="492" t="s">
        <v>396</v>
      </c>
      <c r="B160" s="793" t="s">
        <v>529</v>
      </c>
      <c r="C160" s="493" t="s">
        <v>420</v>
      </c>
      <c r="D160" s="494" t="s">
        <v>8</v>
      </c>
      <c r="E160" s="555" t="s">
        <v>8</v>
      </c>
      <c r="F160" s="846" t="s">
        <v>480</v>
      </c>
      <c r="G160" s="113">
        <v>100</v>
      </c>
      <c r="H160" s="113">
        <v>0</v>
      </c>
      <c r="I160" s="457">
        <v>0</v>
      </c>
      <c r="J160" s="430">
        <v>100</v>
      </c>
      <c r="K160" s="431">
        <v>0</v>
      </c>
      <c r="L160" s="431">
        <v>0</v>
      </c>
      <c r="M160" s="429">
        <v>0</v>
      </c>
      <c r="N160" s="175">
        <v>100</v>
      </c>
      <c r="O160" s="316">
        <v>0</v>
      </c>
      <c r="P160" s="312">
        <f t="shared" si="13"/>
        <v>100</v>
      </c>
      <c r="Q160" s="564">
        <v>0</v>
      </c>
      <c r="R160" s="760">
        <v>0</v>
      </c>
      <c r="S160" s="430">
        <v>0</v>
      </c>
      <c r="T160" s="431">
        <v>0</v>
      </c>
      <c r="U160" s="429">
        <v>0</v>
      </c>
      <c r="V160" s="432">
        <v>0</v>
      </c>
      <c r="W160" s="564">
        <v>0</v>
      </c>
      <c r="X160" s="450">
        <v>0</v>
      </c>
      <c r="Y160" s="433">
        <v>0</v>
      </c>
      <c r="Z160" s="433">
        <v>0</v>
      </c>
      <c r="AA160" s="434">
        <v>0</v>
      </c>
      <c r="AB160" s="25" t="s">
        <v>193</v>
      </c>
      <c r="AC160" s="24" t="s">
        <v>87</v>
      </c>
    </row>
    <row r="161" spans="1:29" ht="30.75" outlineLevel="1" thickBot="1" x14ac:dyDescent="0.3">
      <c r="A161" s="402" t="s">
        <v>397</v>
      </c>
      <c r="B161" s="403" t="s">
        <v>530</v>
      </c>
      <c r="C161" s="849" t="s">
        <v>420</v>
      </c>
      <c r="D161" s="850" t="s">
        <v>99</v>
      </c>
      <c r="E161" s="851" t="s">
        <v>99</v>
      </c>
      <c r="F161" s="852" t="s">
        <v>449</v>
      </c>
      <c r="G161" s="54">
        <v>25000</v>
      </c>
      <c r="H161" s="54">
        <v>0</v>
      </c>
      <c r="I161" s="853">
        <v>0</v>
      </c>
      <c r="J161" s="408">
        <v>0</v>
      </c>
      <c r="K161" s="409">
        <v>0</v>
      </c>
      <c r="L161" s="409">
        <v>500</v>
      </c>
      <c r="M161" s="410">
        <v>0</v>
      </c>
      <c r="N161" s="411">
        <v>10000</v>
      </c>
      <c r="O161" s="412">
        <v>-9500</v>
      </c>
      <c r="P161" s="413">
        <f t="shared" si="13"/>
        <v>500</v>
      </c>
      <c r="Q161" s="854">
        <v>15000</v>
      </c>
      <c r="R161" s="855">
        <v>9500</v>
      </c>
      <c r="S161" s="408">
        <v>0</v>
      </c>
      <c r="T161" s="409">
        <v>0</v>
      </c>
      <c r="U161" s="410">
        <v>0</v>
      </c>
      <c r="V161" s="856">
        <v>0</v>
      </c>
      <c r="W161" s="857">
        <v>0</v>
      </c>
      <c r="X161" s="418">
        <v>0</v>
      </c>
      <c r="Y161" s="419">
        <v>0</v>
      </c>
      <c r="Z161" s="858">
        <v>0</v>
      </c>
      <c r="AA161" s="411">
        <v>0</v>
      </c>
      <c r="AB161" s="268" t="s">
        <v>825</v>
      </c>
      <c r="AC161" s="404" t="s">
        <v>14</v>
      </c>
    </row>
    <row r="162" spans="1:29" s="139" customFormat="1" ht="30" outlineLevel="1" x14ac:dyDescent="0.25">
      <c r="A162" s="859" t="s">
        <v>463</v>
      </c>
      <c r="B162" s="860" t="s">
        <v>531</v>
      </c>
      <c r="C162" s="493" t="s">
        <v>469</v>
      </c>
      <c r="D162" s="494" t="s">
        <v>288</v>
      </c>
      <c r="E162" s="494" t="s">
        <v>288</v>
      </c>
      <c r="F162" s="861" t="s">
        <v>464</v>
      </c>
      <c r="G162" s="862">
        <v>65000</v>
      </c>
      <c r="H162" s="862">
        <v>0</v>
      </c>
      <c r="I162" s="863">
        <v>0</v>
      </c>
      <c r="J162" s="797">
        <v>0</v>
      </c>
      <c r="K162" s="864">
        <v>0</v>
      </c>
      <c r="L162" s="864">
        <v>2500</v>
      </c>
      <c r="M162" s="865">
        <v>2500</v>
      </c>
      <c r="N162" s="147">
        <v>5000</v>
      </c>
      <c r="O162" s="213">
        <v>0</v>
      </c>
      <c r="P162" s="186">
        <f t="shared" si="13"/>
        <v>5000</v>
      </c>
      <c r="Q162" s="866">
        <v>60000</v>
      </c>
      <c r="R162" s="796">
        <v>0</v>
      </c>
      <c r="S162" s="797">
        <v>0</v>
      </c>
      <c r="T162" s="864">
        <v>0</v>
      </c>
      <c r="U162" s="865">
        <v>0</v>
      </c>
      <c r="V162" s="733">
        <v>0</v>
      </c>
      <c r="W162" s="734">
        <v>0</v>
      </c>
      <c r="X162" s="764">
        <v>0</v>
      </c>
      <c r="Y162" s="588">
        <v>0</v>
      </c>
      <c r="Z162" s="588">
        <v>0</v>
      </c>
      <c r="AA162" s="801">
        <v>0</v>
      </c>
      <c r="AB162" s="867" t="s">
        <v>193</v>
      </c>
      <c r="AC162" s="868" t="s">
        <v>14</v>
      </c>
    </row>
    <row r="163" spans="1:29" s="139" customFormat="1" ht="30" outlineLevel="1" x14ac:dyDescent="0.25">
      <c r="A163" s="869" t="s">
        <v>465</v>
      </c>
      <c r="B163" s="870" t="s">
        <v>532</v>
      </c>
      <c r="C163" s="871" t="s">
        <v>469</v>
      </c>
      <c r="D163" s="455" t="s">
        <v>100</v>
      </c>
      <c r="E163" s="455" t="s">
        <v>100</v>
      </c>
      <c r="F163" s="872" t="s">
        <v>466</v>
      </c>
      <c r="G163" s="873">
        <v>10000</v>
      </c>
      <c r="H163" s="873">
        <v>0</v>
      </c>
      <c r="I163" s="874">
        <v>0</v>
      </c>
      <c r="J163" s="740">
        <v>0</v>
      </c>
      <c r="K163" s="744">
        <v>200</v>
      </c>
      <c r="L163" s="744">
        <v>0</v>
      </c>
      <c r="M163" s="875">
        <v>0</v>
      </c>
      <c r="N163" s="148">
        <v>200</v>
      </c>
      <c r="O163" s="214">
        <v>0</v>
      </c>
      <c r="P163" s="187">
        <f t="shared" si="13"/>
        <v>200</v>
      </c>
      <c r="Q163" s="585">
        <v>9800</v>
      </c>
      <c r="R163" s="876">
        <v>0</v>
      </c>
      <c r="S163" s="740">
        <v>0</v>
      </c>
      <c r="T163" s="744">
        <v>0</v>
      </c>
      <c r="U163" s="875">
        <v>0</v>
      </c>
      <c r="V163" s="586">
        <v>0</v>
      </c>
      <c r="W163" s="589">
        <v>0</v>
      </c>
      <c r="X163" s="739">
        <v>0</v>
      </c>
      <c r="Y163" s="588">
        <v>0</v>
      </c>
      <c r="Z163" s="587">
        <v>0</v>
      </c>
      <c r="AA163" s="877">
        <v>0</v>
      </c>
      <c r="AB163" s="878" t="s">
        <v>193</v>
      </c>
      <c r="AC163" s="879" t="s">
        <v>14</v>
      </c>
    </row>
    <row r="164" spans="1:29" s="139" customFormat="1" ht="30.75" outlineLevel="1" thickBot="1" x14ac:dyDescent="0.3">
      <c r="A164" s="880" t="s">
        <v>467</v>
      </c>
      <c r="B164" s="881" t="s">
        <v>533</v>
      </c>
      <c r="C164" s="882" t="s">
        <v>469</v>
      </c>
      <c r="D164" s="478" t="s">
        <v>105</v>
      </c>
      <c r="E164" s="478" t="s">
        <v>105</v>
      </c>
      <c r="F164" s="883" t="s">
        <v>468</v>
      </c>
      <c r="G164" s="884">
        <v>2000</v>
      </c>
      <c r="H164" s="885">
        <v>0</v>
      </c>
      <c r="I164" s="886">
        <v>0</v>
      </c>
      <c r="J164" s="887">
        <v>0</v>
      </c>
      <c r="K164" s="888">
        <v>0</v>
      </c>
      <c r="L164" s="888">
        <v>0</v>
      </c>
      <c r="M164" s="889">
        <v>2000</v>
      </c>
      <c r="N164" s="158">
        <v>2000</v>
      </c>
      <c r="O164" s="215">
        <v>0</v>
      </c>
      <c r="P164" s="188">
        <f t="shared" si="13"/>
        <v>2000</v>
      </c>
      <c r="Q164" s="890">
        <v>0</v>
      </c>
      <c r="R164" s="891">
        <v>0</v>
      </c>
      <c r="S164" s="887">
        <v>0</v>
      </c>
      <c r="T164" s="888">
        <v>0</v>
      </c>
      <c r="U164" s="889">
        <v>0</v>
      </c>
      <c r="V164" s="892">
        <v>0</v>
      </c>
      <c r="W164" s="893">
        <v>0</v>
      </c>
      <c r="X164" s="756">
        <v>0</v>
      </c>
      <c r="Y164" s="894">
        <v>0</v>
      </c>
      <c r="Z164" s="758">
        <v>0</v>
      </c>
      <c r="AA164" s="895">
        <v>0</v>
      </c>
      <c r="AB164" s="896" t="s">
        <v>193</v>
      </c>
      <c r="AC164" s="897" t="s">
        <v>87</v>
      </c>
    </row>
    <row r="165" spans="1:29" s="139" customFormat="1" ht="30" outlineLevel="1" x14ac:dyDescent="0.25">
      <c r="A165" s="898" t="s">
        <v>477</v>
      </c>
      <c r="B165" s="899" t="s">
        <v>503</v>
      </c>
      <c r="C165" s="900" t="s">
        <v>507</v>
      </c>
      <c r="D165" s="804" t="s">
        <v>129</v>
      </c>
      <c r="E165" s="804" t="s">
        <v>129</v>
      </c>
      <c r="F165" s="901" t="s">
        <v>496</v>
      </c>
      <c r="G165" s="902">
        <f>948.49932+552.88516</f>
        <v>1501.3844800000002</v>
      </c>
      <c r="H165" s="862">
        <v>552.88516000000004</v>
      </c>
      <c r="I165" s="903">
        <v>0</v>
      </c>
      <c r="J165" s="904">
        <v>948.4993199999999</v>
      </c>
      <c r="K165" s="798">
        <v>0</v>
      </c>
      <c r="L165" s="798">
        <v>0</v>
      </c>
      <c r="M165" s="905">
        <v>0</v>
      </c>
      <c r="N165" s="147">
        <v>948.4993199999999</v>
      </c>
      <c r="O165" s="213">
        <v>0</v>
      </c>
      <c r="P165" s="186">
        <f t="shared" si="13"/>
        <v>948.4993199999999</v>
      </c>
      <c r="Q165" s="799">
        <v>0</v>
      </c>
      <c r="R165" s="906">
        <v>0</v>
      </c>
      <c r="S165" s="904">
        <v>0</v>
      </c>
      <c r="T165" s="798">
        <v>0</v>
      </c>
      <c r="U165" s="907">
        <v>0</v>
      </c>
      <c r="V165" s="908">
        <v>0</v>
      </c>
      <c r="W165" s="909">
        <v>0</v>
      </c>
      <c r="X165" s="764">
        <v>0</v>
      </c>
      <c r="Y165" s="910">
        <v>0</v>
      </c>
      <c r="Z165" s="910">
        <v>0</v>
      </c>
      <c r="AA165" s="911">
        <v>0</v>
      </c>
      <c r="AB165" s="912" t="s">
        <v>193</v>
      </c>
      <c r="AC165" s="802" t="s">
        <v>20</v>
      </c>
    </row>
    <row r="166" spans="1:29" s="139" customFormat="1" ht="30" outlineLevel="1" x14ac:dyDescent="0.25">
      <c r="A166" s="859" t="s">
        <v>589</v>
      </c>
      <c r="B166" s="860" t="s">
        <v>826</v>
      </c>
      <c r="C166" s="913" t="s">
        <v>725</v>
      </c>
      <c r="D166" s="494" t="s">
        <v>105</v>
      </c>
      <c r="E166" s="494" t="s">
        <v>105</v>
      </c>
      <c r="F166" s="861" t="s">
        <v>590</v>
      </c>
      <c r="G166" s="862">
        <v>2695.194</v>
      </c>
      <c r="H166" s="862">
        <v>0</v>
      </c>
      <c r="I166" s="863">
        <v>0</v>
      </c>
      <c r="J166" s="797">
        <v>1289.203</v>
      </c>
      <c r="K166" s="864">
        <f>G166-J166</f>
        <v>1405.991</v>
      </c>
      <c r="L166" s="864">
        <v>0</v>
      </c>
      <c r="M166" s="865">
        <v>0</v>
      </c>
      <c r="N166" s="147">
        <v>2695.194</v>
      </c>
      <c r="O166" s="213">
        <v>0</v>
      </c>
      <c r="P166" s="186">
        <f t="shared" si="13"/>
        <v>2695.194</v>
      </c>
      <c r="Q166" s="866">
        <v>0</v>
      </c>
      <c r="R166" s="796">
        <v>0</v>
      </c>
      <c r="S166" s="797">
        <v>0</v>
      </c>
      <c r="T166" s="864">
        <v>0</v>
      </c>
      <c r="U166" s="865">
        <v>0</v>
      </c>
      <c r="V166" s="733">
        <v>0</v>
      </c>
      <c r="W166" s="734">
        <v>0</v>
      </c>
      <c r="X166" s="739">
        <v>0</v>
      </c>
      <c r="Y166" s="588">
        <v>0</v>
      </c>
      <c r="Z166" s="588">
        <v>0</v>
      </c>
      <c r="AA166" s="801">
        <v>0</v>
      </c>
      <c r="AB166" s="25" t="s">
        <v>193</v>
      </c>
      <c r="AC166" s="868" t="s">
        <v>20</v>
      </c>
    </row>
    <row r="167" spans="1:29" s="139" customFormat="1" ht="30" outlineLevel="1" x14ac:dyDescent="0.25">
      <c r="A167" s="915" t="s">
        <v>591</v>
      </c>
      <c r="B167" s="916" t="s">
        <v>751</v>
      </c>
      <c r="C167" s="917" t="s">
        <v>725</v>
      </c>
      <c r="D167" s="918" t="s">
        <v>8</v>
      </c>
      <c r="E167" s="918" t="s">
        <v>8</v>
      </c>
      <c r="F167" s="919" t="s">
        <v>592</v>
      </c>
      <c r="G167" s="920">
        <v>9900</v>
      </c>
      <c r="H167" s="920">
        <v>0</v>
      </c>
      <c r="I167" s="921">
        <v>9900</v>
      </c>
      <c r="J167" s="922">
        <v>9900</v>
      </c>
      <c r="K167" s="923">
        <v>0</v>
      </c>
      <c r="L167" s="923">
        <v>0</v>
      </c>
      <c r="M167" s="924">
        <v>0</v>
      </c>
      <c r="N167" s="326">
        <v>9900</v>
      </c>
      <c r="O167" s="210">
        <v>0</v>
      </c>
      <c r="P167" s="327">
        <f t="shared" si="13"/>
        <v>9900</v>
      </c>
      <c r="Q167" s="704">
        <v>0</v>
      </c>
      <c r="R167" s="925">
        <v>0</v>
      </c>
      <c r="S167" s="922">
        <v>0</v>
      </c>
      <c r="T167" s="923">
        <v>0</v>
      </c>
      <c r="U167" s="924">
        <v>0</v>
      </c>
      <c r="V167" s="705">
        <v>0</v>
      </c>
      <c r="W167" s="703">
        <v>0</v>
      </c>
      <c r="X167" s="926">
        <v>0</v>
      </c>
      <c r="Y167" s="706">
        <v>0</v>
      </c>
      <c r="Z167" s="706">
        <v>0</v>
      </c>
      <c r="AA167" s="927">
        <v>0</v>
      </c>
      <c r="AB167" s="702" t="s">
        <v>193</v>
      </c>
      <c r="AC167" s="928" t="s">
        <v>210</v>
      </c>
    </row>
    <row r="168" spans="1:29" s="139" customFormat="1" ht="33.75" customHeight="1" outlineLevel="1" x14ac:dyDescent="0.25">
      <c r="A168" s="869" t="s">
        <v>593</v>
      </c>
      <c r="B168" s="870" t="s">
        <v>197</v>
      </c>
      <c r="C168" s="929" t="s">
        <v>725</v>
      </c>
      <c r="D168" s="455" t="s">
        <v>594</v>
      </c>
      <c r="E168" s="455" t="s">
        <v>94</v>
      </c>
      <c r="F168" s="872" t="s">
        <v>595</v>
      </c>
      <c r="G168" s="873">
        <v>2000</v>
      </c>
      <c r="H168" s="873">
        <v>0</v>
      </c>
      <c r="I168" s="874">
        <v>0</v>
      </c>
      <c r="J168" s="740">
        <v>0</v>
      </c>
      <c r="K168" s="744"/>
      <c r="L168" s="744">
        <v>0</v>
      </c>
      <c r="M168" s="875">
        <v>2000</v>
      </c>
      <c r="N168" s="148">
        <v>2000</v>
      </c>
      <c r="O168" s="214">
        <v>0</v>
      </c>
      <c r="P168" s="187">
        <f t="shared" si="13"/>
        <v>2000</v>
      </c>
      <c r="Q168" s="585">
        <v>0</v>
      </c>
      <c r="R168" s="876">
        <v>0</v>
      </c>
      <c r="S168" s="740">
        <v>0</v>
      </c>
      <c r="T168" s="744">
        <v>0</v>
      </c>
      <c r="U168" s="875">
        <v>0</v>
      </c>
      <c r="V168" s="586">
        <v>0</v>
      </c>
      <c r="W168" s="589">
        <v>0</v>
      </c>
      <c r="X168" s="739">
        <v>0</v>
      </c>
      <c r="Y168" s="588">
        <v>0</v>
      </c>
      <c r="Z168" s="587">
        <v>0</v>
      </c>
      <c r="AA168" s="877">
        <v>0</v>
      </c>
      <c r="AB168" s="29" t="s">
        <v>193</v>
      </c>
      <c r="AC168" s="879" t="s">
        <v>14</v>
      </c>
    </row>
    <row r="169" spans="1:29" s="139" customFormat="1" ht="30.75" outlineLevel="1" thickBot="1" x14ac:dyDescent="0.3">
      <c r="A169" s="880" t="s">
        <v>596</v>
      </c>
      <c r="B169" s="881" t="s">
        <v>197</v>
      </c>
      <c r="C169" s="989" t="s">
        <v>725</v>
      </c>
      <c r="D169" s="478" t="s">
        <v>316</v>
      </c>
      <c r="E169" s="478" t="s">
        <v>316</v>
      </c>
      <c r="F169" s="883" t="s">
        <v>597</v>
      </c>
      <c r="G169" s="884">
        <v>15000</v>
      </c>
      <c r="H169" s="884">
        <v>0</v>
      </c>
      <c r="I169" s="886">
        <v>0</v>
      </c>
      <c r="J169" s="887">
        <v>0</v>
      </c>
      <c r="K169" s="888">
        <v>2500</v>
      </c>
      <c r="L169" s="888">
        <v>0</v>
      </c>
      <c r="M169" s="889">
        <v>2500</v>
      </c>
      <c r="N169" s="158">
        <v>5000</v>
      </c>
      <c r="O169" s="215">
        <v>0</v>
      </c>
      <c r="P169" s="188">
        <f t="shared" si="13"/>
        <v>5000</v>
      </c>
      <c r="Q169" s="890">
        <v>10000</v>
      </c>
      <c r="R169" s="891">
        <v>0</v>
      </c>
      <c r="S169" s="887">
        <v>0</v>
      </c>
      <c r="T169" s="888">
        <v>0</v>
      </c>
      <c r="U169" s="889">
        <v>0</v>
      </c>
      <c r="V169" s="892">
        <v>0</v>
      </c>
      <c r="W169" s="893">
        <v>0</v>
      </c>
      <c r="X169" s="756">
        <v>0</v>
      </c>
      <c r="Y169" s="758">
        <v>0</v>
      </c>
      <c r="Z169" s="758">
        <v>0</v>
      </c>
      <c r="AA169" s="895">
        <v>0</v>
      </c>
      <c r="AB169" s="339" t="s">
        <v>193</v>
      </c>
      <c r="AC169" s="897" t="s">
        <v>14</v>
      </c>
    </row>
    <row r="170" spans="1:29" s="139" customFormat="1" ht="25.5" outlineLevel="1" x14ac:dyDescent="0.25">
      <c r="A170" s="930" t="s">
        <v>835</v>
      </c>
      <c r="B170" s="931" t="s">
        <v>197</v>
      </c>
      <c r="C170" s="932" t="s">
        <v>193</v>
      </c>
      <c r="D170" s="947" t="s">
        <v>316</v>
      </c>
      <c r="E170" s="947" t="s">
        <v>316</v>
      </c>
      <c r="F170" s="933" t="s">
        <v>827</v>
      </c>
      <c r="G170" s="105">
        <v>1800</v>
      </c>
      <c r="H170" s="105">
        <v>0</v>
      </c>
      <c r="I170" s="934"/>
      <c r="J170" s="935">
        <v>0</v>
      </c>
      <c r="K170" s="106">
        <v>0</v>
      </c>
      <c r="L170" s="106">
        <v>1800</v>
      </c>
      <c r="M170" s="111">
        <v>0</v>
      </c>
      <c r="N170" s="936">
        <v>0</v>
      </c>
      <c r="O170" s="937">
        <v>1800</v>
      </c>
      <c r="P170" s="937">
        <f t="shared" si="13"/>
        <v>1800</v>
      </c>
      <c r="Q170" s="63">
        <v>0</v>
      </c>
      <c r="R170" s="939">
        <v>0</v>
      </c>
      <c r="S170" s="935">
        <v>0</v>
      </c>
      <c r="T170" s="106">
        <v>0</v>
      </c>
      <c r="U170" s="63">
        <v>0</v>
      </c>
      <c r="V170" s="940">
        <v>0</v>
      </c>
      <c r="W170" s="941">
        <v>0</v>
      </c>
      <c r="X170" s="990"/>
      <c r="Y170" s="943">
        <v>0</v>
      </c>
      <c r="Z170" s="943">
        <v>0</v>
      </c>
      <c r="AA170" s="936">
        <v>0</v>
      </c>
      <c r="AB170" s="35" t="s">
        <v>828</v>
      </c>
      <c r="AC170" s="944" t="s">
        <v>14</v>
      </c>
    </row>
    <row r="171" spans="1:29" s="139" customFormat="1" ht="25.5" outlineLevel="1" x14ac:dyDescent="0.25">
      <c r="A171" s="945" t="s">
        <v>836</v>
      </c>
      <c r="B171" s="946" t="s">
        <v>197</v>
      </c>
      <c r="C171" s="932" t="s">
        <v>193</v>
      </c>
      <c r="D171" s="947" t="s">
        <v>102</v>
      </c>
      <c r="E171" s="947" t="s">
        <v>102</v>
      </c>
      <c r="F171" s="933" t="s">
        <v>837</v>
      </c>
      <c r="G171" s="49">
        <v>413</v>
      </c>
      <c r="H171" s="49">
        <v>0</v>
      </c>
      <c r="I171" s="948"/>
      <c r="J171" s="108">
        <v>0</v>
      </c>
      <c r="K171" s="109">
        <v>63</v>
      </c>
      <c r="L171" s="109">
        <v>350</v>
      </c>
      <c r="M171" s="110">
        <v>0</v>
      </c>
      <c r="N171" s="949">
        <v>0</v>
      </c>
      <c r="O171" s="950">
        <v>413</v>
      </c>
      <c r="P171" s="951">
        <f t="shared" si="13"/>
        <v>413</v>
      </c>
      <c r="Q171" s="107">
        <v>0</v>
      </c>
      <c r="R171" s="67">
        <v>0</v>
      </c>
      <c r="S171" s="108">
        <v>0</v>
      </c>
      <c r="T171" s="109">
        <v>0</v>
      </c>
      <c r="U171" s="107">
        <v>0</v>
      </c>
      <c r="V171" s="952">
        <v>0</v>
      </c>
      <c r="W171" s="953">
        <v>0</v>
      </c>
      <c r="X171" s="954"/>
      <c r="Y171" s="955">
        <v>0</v>
      </c>
      <c r="Z171" s="955">
        <v>0</v>
      </c>
      <c r="AA171" s="949">
        <v>0</v>
      </c>
      <c r="AB171" s="35" t="s">
        <v>838</v>
      </c>
      <c r="AC171" s="42" t="s">
        <v>14</v>
      </c>
    </row>
    <row r="172" spans="1:29" s="139" customFormat="1" outlineLevel="1" x14ac:dyDescent="0.25">
      <c r="A172" s="956" t="s">
        <v>839</v>
      </c>
      <c r="B172" s="957" t="s">
        <v>197</v>
      </c>
      <c r="C172" s="958" t="s">
        <v>193</v>
      </c>
      <c r="D172" s="959" t="s">
        <v>97</v>
      </c>
      <c r="E172" s="959" t="s">
        <v>97</v>
      </c>
      <c r="F172" s="960" t="s">
        <v>829</v>
      </c>
      <c r="G172" s="160">
        <v>1200</v>
      </c>
      <c r="H172" s="160">
        <v>0</v>
      </c>
      <c r="I172" s="961"/>
      <c r="J172" s="962">
        <v>0</v>
      </c>
      <c r="K172" s="287">
        <v>0</v>
      </c>
      <c r="L172" s="287">
        <v>1200</v>
      </c>
      <c r="M172" s="963">
        <v>0</v>
      </c>
      <c r="N172" s="964">
        <v>0</v>
      </c>
      <c r="O172" s="938">
        <v>1200</v>
      </c>
      <c r="P172" s="938">
        <f t="shared" si="13"/>
        <v>1200</v>
      </c>
      <c r="Q172" s="61">
        <v>0</v>
      </c>
      <c r="R172" s="62">
        <v>0</v>
      </c>
      <c r="S172" s="962">
        <v>0</v>
      </c>
      <c r="T172" s="287">
        <v>0</v>
      </c>
      <c r="U172" s="61">
        <v>0</v>
      </c>
      <c r="V172" s="965">
        <v>0</v>
      </c>
      <c r="W172" s="966">
        <v>0</v>
      </c>
      <c r="X172" s="942"/>
      <c r="Y172" s="967">
        <v>0</v>
      </c>
      <c r="Z172" s="967">
        <v>0</v>
      </c>
      <c r="AA172" s="964">
        <v>0</v>
      </c>
      <c r="AB172" s="36" t="s">
        <v>830</v>
      </c>
      <c r="AC172" s="968" t="s">
        <v>14</v>
      </c>
    </row>
    <row r="173" spans="1:29" s="139" customFormat="1" ht="30" outlineLevel="1" x14ac:dyDescent="0.25">
      <c r="A173" s="969" t="s">
        <v>840</v>
      </c>
      <c r="B173" s="970" t="s">
        <v>197</v>
      </c>
      <c r="C173" s="971" t="s">
        <v>193</v>
      </c>
      <c r="D173" s="972" t="s">
        <v>831</v>
      </c>
      <c r="E173" s="972" t="s">
        <v>831</v>
      </c>
      <c r="F173" s="973" t="s">
        <v>832</v>
      </c>
      <c r="G173" s="803">
        <v>7000</v>
      </c>
      <c r="H173" s="803">
        <v>0</v>
      </c>
      <c r="I173" s="974"/>
      <c r="J173" s="975">
        <v>0</v>
      </c>
      <c r="K173" s="286">
        <v>100</v>
      </c>
      <c r="L173" s="286">
        <v>0</v>
      </c>
      <c r="M173" s="976">
        <v>0</v>
      </c>
      <c r="N173" s="977">
        <v>0</v>
      </c>
      <c r="O173" s="978">
        <v>100</v>
      </c>
      <c r="P173" s="978">
        <f t="shared" si="13"/>
        <v>100</v>
      </c>
      <c r="Q173" s="979">
        <v>6900</v>
      </c>
      <c r="R173" s="104">
        <v>0</v>
      </c>
      <c r="S173" s="975">
        <v>0</v>
      </c>
      <c r="T173" s="286">
        <v>0</v>
      </c>
      <c r="U173" s="979">
        <v>0</v>
      </c>
      <c r="V173" s="980">
        <v>0</v>
      </c>
      <c r="W173" s="981">
        <v>0</v>
      </c>
      <c r="X173" s="982"/>
      <c r="Y173" s="942">
        <v>0</v>
      </c>
      <c r="Z173" s="983">
        <v>0</v>
      </c>
      <c r="AA173" s="977">
        <v>0</v>
      </c>
      <c r="AB173" s="37" t="s">
        <v>833</v>
      </c>
      <c r="AC173" s="330" t="s">
        <v>14</v>
      </c>
    </row>
    <row r="174" spans="1:29" s="260" customFormat="1" ht="12.6" customHeight="1" outlineLevel="1" thickBot="1" x14ac:dyDescent="0.3">
      <c r="A174" s="15" t="s">
        <v>211</v>
      </c>
      <c r="B174" s="14" t="s">
        <v>211</v>
      </c>
      <c r="C174" s="12" t="s">
        <v>211</v>
      </c>
      <c r="D174" s="304" t="s">
        <v>211</v>
      </c>
      <c r="E174" s="304" t="s">
        <v>211</v>
      </c>
      <c r="F174" s="56" t="s">
        <v>211</v>
      </c>
      <c r="G174" s="152" t="s">
        <v>211</v>
      </c>
      <c r="H174" s="152" t="s">
        <v>211</v>
      </c>
      <c r="I174" s="288" t="s">
        <v>211</v>
      </c>
      <c r="J174" s="121" t="s">
        <v>211</v>
      </c>
      <c r="K174" s="89" t="s">
        <v>211</v>
      </c>
      <c r="L174" s="89" t="s">
        <v>211</v>
      </c>
      <c r="M174" s="171" t="s">
        <v>211</v>
      </c>
      <c r="N174" s="171" t="s">
        <v>211</v>
      </c>
      <c r="O174" s="171" t="s">
        <v>211</v>
      </c>
      <c r="P174" s="171" t="s">
        <v>211</v>
      </c>
      <c r="Q174" s="122" t="s">
        <v>211</v>
      </c>
      <c r="R174" s="92" t="s">
        <v>211</v>
      </c>
      <c r="S174" s="121" t="s">
        <v>211</v>
      </c>
      <c r="T174" s="89" t="s">
        <v>211</v>
      </c>
      <c r="U174" s="96" t="s">
        <v>211</v>
      </c>
      <c r="V174" s="121" t="s">
        <v>211</v>
      </c>
      <c r="W174" s="95" t="s">
        <v>211</v>
      </c>
      <c r="X174" s="89" t="s">
        <v>211</v>
      </c>
      <c r="Y174" s="93" t="s">
        <v>211</v>
      </c>
      <c r="Z174" s="100" t="s">
        <v>211</v>
      </c>
      <c r="AA174" s="171" t="s">
        <v>211</v>
      </c>
      <c r="AB174" s="171" t="s">
        <v>211</v>
      </c>
      <c r="AC174" s="53" t="s">
        <v>211</v>
      </c>
    </row>
    <row r="175" spans="1:29" ht="16.5" thickBot="1" x14ac:dyDescent="0.3">
      <c r="A175" s="69" t="s">
        <v>193</v>
      </c>
      <c r="B175" s="240" t="s">
        <v>193</v>
      </c>
      <c r="C175" s="10" t="s">
        <v>193</v>
      </c>
      <c r="D175" s="297" t="s">
        <v>193</v>
      </c>
      <c r="E175" s="297" t="s">
        <v>193</v>
      </c>
      <c r="F175" s="79" t="s">
        <v>219</v>
      </c>
      <c r="G175" s="307">
        <f t="shared" ref="G175:AA175" si="14">SUM(G144:G174)</f>
        <v>557313.79469000001</v>
      </c>
      <c r="H175" s="307">
        <f t="shared" si="14"/>
        <v>39280.405879999998</v>
      </c>
      <c r="I175" s="307">
        <f t="shared" si="14"/>
        <v>10808.4869</v>
      </c>
      <c r="J175" s="86">
        <f t="shared" si="14"/>
        <v>18828.922590000002</v>
      </c>
      <c r="K175" s="87">
        <f t="shared" si="14"/>
        <v>6889.7205999999996</v>
      </c>
      <c r="L175" s="87">
        <f t="shared" si="14"/>
        <v>10600.7</v>
      </c>
      <c r="M175" s="57">
        <f t="shared" si="14"/>
        <v>24383.8</v>
      </c>
      <c r="N175" s="307">
        <f t="shared" si="14"/>
        <v>67014.062290000002</v>
      </c>
      <c r="O175" s="307">
        <f t="shared" si="14"/>
        <v>-6310.9190999999992</v>
      </c>
      <c r="P175" s="307">
        <f t="shared" si="14"/>
        <v>60703.143190000003</v>
      </c>
      <c r="Q175" s="128">
        <f t="shared" si="14"/>
        <v>407660.24562</v>
      </c>
      <c r="R175" s="307">
        <f t="shared" si="14"/>
        <v>49670</v>
      </c>
      <c r="S175" s="86">
        <f t="shared" si="14"/>
        <v>0</v>
      </c>
      <c r="T175" s="87">
        <f t="shared" si="14"/>
        <v>0</v>
      </c>
      <c r="U175" s="170">
        <f t="shared" si="14"/>
        <v>0</v>
      </c>
      <c r="V175" s="86">
        <f t="shared" si="14"/>
        <v>0</v>
      </c>
      <c r="W175" s="87">
        <f t="shared" si="14"/>
        <v>0</v>
      </c>
      <c r="X175" s="87">
        <f t="shared" si="14"/>
        <v>0</v>
      </c>
      <c r="Y175" s="87">
        <f t="shared" si="14"/>
        <v>0</v>
      </c>
      <c r="Z175" s="87">
        <f t="shared" si="14"/>
        <v>0</v>
      </c>
      <c r="AA175" s="170">
        <f t="shared" si="14"/>
        <v>0</v>
      </c>
      <c r="AB175" s="11" t="s">
        <v>703</v>
      </c>
      <c r="AC175" s="177" t="s">
        <v>193</v>
      </c>
    </row>
    <row r="176" spans="1:29" ht="75.75" customHeight="1" outlineLevel="1" x14ac:dyDescent="0.25">
      <c r="A176" s="549" t="s">
        <v>665</v>
      </c>
      <c r="B176" s="454" t="s">
        <v>116</v>
      </c>
      <c r="C176" s="26" t="s">
        <v>249</v>
      </c>
      <c r="D176" s="455" t="s">
        <v>117</v>
      </c>
      <c r="E176" s="651" t="s">
        <v>117</v>
      </c>
      <c r="F176" s="993" t="s">
        <v>118</v>
      </c>
      <c r="G176" s="27">
        <v>360000</v>
      </c>
      <c r="H176" s="1140">
        <v>7804.0595499999999</v>
      </c>
      <c r="I176" s="1141">
        <v>0</v>
      </c>
      <c r="J176" s="558">
        <v>0</v>
      </c>
      <c r="K176" s="1142">
        <v>30000</v>
      </c>
      <c r="L176" s="559">
        <v>30000</v>
      </c>
      <c r="M176" s="1143">
        <v>94625</v>
      </c>
      <c r="N176" s="198">
        <v>154625</v>
      </c>
      <c r="O176" s="316">
        <v>0</v>
      </c>
      <c r="P176" s="313">
        <f t="shared" ref="P176:P186" si="15">N176+O176</f>
        <v>154625</v>
      </c>
      <c r="Q176" s="65">
        <f>197570.94+0.00045</f>
        <v>197570.94044999999</v>
      </c>
      <c r="R176" s="823">
        <v>0</v>
      </c>
      <c r="S176" s="446">
        <v>0</v>
      </c>
      <c r="T176" s="447">
        <v>0</v>
      </c>
      <c r="U176" s="64">
        <v>0</v>
      </c>
      <c r="V176" s="562">
        <f>270000-7804.05955</f>
        <v>262195.94044999999</v>
      </c>
      <c r="W176" s="1144">
        <v>0</v>
      </c>
      <c r="X176" s="1145">
        <v>0</v>
      </c>
      <c r="Y176" s="563">
        <v>154625</v>
      </c>
      <c r="Z176" s="563">
        <v>107570.94045000001</v>
      </c>
      <c r="AA176" s="823">
        <v>0</v>
      </c>
      <c r="AB176" s="1146" t="s">
        <v>767</v>
      </c>
      <c r="AC176" s="811" t="s">
        <v>10</v>
      </c>
    </row>
    <row r="177" spans="1:29" ht="30" outlineLevel="1" x14ac:dyDescent="0.25">
      <c r="A177" s="549" t="s">
        <v>666</v>
      </c>
      <c r="B177" s="565" t="s">
        <v>119</v>
      </c>
      <c r="C177" s="566" t="s">
        <v>120</v>
      </c>
      <c r="D177" s="567" t="s">
        <v>121</v>
      </c>
      <c r="E177" s="1147" t="s">
        <v>121</v>
      </c>
      <c r="F177" s="1148" t="s">
        <v>122</v>
      </c>
      <c r="G177" s="569">
        <v>86727</v>
      </c>
      <c r="H177" s="27">
        <v>0</v>
      </c>
      <c r="I177" s="1149">
        <v>0</v>
      </c>
      <c r="J177" s="571">
        <v>0</v>
      </c>
      <c r="K177" s="572">
        <v>0</v>
      </c>
      <c r="L177" s="572">
        <v>0</v>
      </c>
      <c r="M177" s="573">
        <v>71647.25</v>
      </c>
      <c r="N177" s="175">
        <v>71647.25</v>
      </c>
      <c r="O177" s="316">
        <v>0</v>
      </c>
      <c r="P177" s="313">
        <f t="shared" si="15"/>
        <v>71647.25</v>
      </c>
      <c r="Q177" s="28">
        <v>0</v>
      </c>
      <c r="R177" s="445">
        <v>0</v>
      </c>
      <c r="S177" s="446">
        <v>0</v>
      </c>
      <c r="T177" s="447">
        <v>0</v>
      </c>
      <c r="U177" s="64">
        <v>15079.75</v>
      </c>
      <c r="V177" s="448">
        <v>0</v>
      </c>
      <c r="W177" s="1150">
        <v>0</v>
      </c>
      <c r="X177" s="460">
        <v>0</v>
      </c>
      <c r="Y177" s="433">
        <v>0</v>
      </c>
      <c r="Z177" s="449">
        <v>0</v>
      </c>
      <c r="AA177" s="451">
        <v>0</v>
      </c>
      <c r="AB177" s="26" t="s">
        <v>398</v>
      </c>
      <c r="AC177" s="26" t="s">
        <v>399</v>
      </c>
    </row>
    <row r="178" spans="1:29" ht="26.25" outlineLevel="1" thickBot="1" x14ac:dyDescent="0.3">
      <c r="A178" s="402" t="s">
        <v>667</v>
      </c>
      <c r="B178" s="403" t="s">
        <v>124</v>
      </c>
      <c r="C178" s="404" t="s">
        <v>248</v>
      </c>
      <c r="D178" s="850" t="s">
        <v>123</v>
      </c>
      <c r="E178" s="851" t="s">
        <v>123</v>
      </c>
      <c r="F178" s="405" t="s">
        <v>125</v>
      </c>
      <c r="G178" s="406">
        <v>64134.499000000003</v>
      </c>
      <c r="H178" s="406">
        <v>51668.417599999993</v>
      </c>
      <c r="I178" s="407">
        <v>0</v>
      </c>
      <c r="J178" s="408">
        <v>0</v>
      </c>
      <c r="K178" s="409">
        <v>0</v>
      </c>
      <c r="L178" s="409">
        <v>0</v>
      </c>
      <c r="M178" s="410">
        <v>0</v>
      </c>
      <c r="N178" s="420">
        <v>0</v>
      </c>
      <c r="O178" s="413">
        <v>0</v>
      </c>
      <c r="P178" s="413">
        <f t="shared" si="15"/>
        <v>0</v>
      </c>
      <c r="Q178" s="414">
        <v>0</v>
      </c>
      <c r="R178" s="410">
        <v>0</v>
      </c>
      <c r="S178" s="408">
        <v>0</v>
      </c>
      <c r="T178" s="409">
        <v>0</v>
      </c>
      <c r="U178" s="415">
        <v>12466.081399999999</v>
      </c>
      <c r="V178" s="416">
        <v>0</v>
      </c>
      <c r="W178" s="417">
        <v>0</v>
      </c>
      <c r="X178" s="418">
        <v>0</v>
      </c>
      <c r="Y178" s="419">
        <v>0</v>
      </c>
      <c r="Z178" s="419">
        <v>0</v>
      </c>
      <c r="AA178" s="420">
        <v>0</v>
      </c>
      <c r="AB178" s="404" t="s">
        <v>766</v>
      </c>
      <c r="AC178" s="421" t="s">
        <v>399</v>
      </c>
    </row>
    <row r="179" spans="1:29" ht="30" outlineLevel="1" x14ac:dyDescent="0.25">
      <c r="A179" s="492" t="s">
        <v>423</v>
      </c>
      <c r="B179" s="793" t="s">
        <v>424</v>
      </c>
      <c r="C179" s="913" t="s">
        <v>459</v>
      </c>
      <c r="D179" s="494" t="s">
        <v>126</v>
      </c>
      <c r="E179" s="494" t="s">
        <v>126</v>
      </c>
      <c r="F179" s="992" t="s">
        <v>425</v>
      </c>
      <c r="G179" s="1151">
        <v>587000</v>
      </c>
      <c r="H179" s="113">
        <v>30000</v>
      </c>
      <c r="I179" s="457">
        <v>5076.0452299999997</v>
      </c>
      <c r="J179" s="430">
        <v>15000</v>
      </c>
      <c r="K179" s="431">
        <v>33000</v>
      </c>
      <c r="L179" s="431">
        <v>70000</v>
      </c>
      <c r="M179" s="429">
        <v>102000</v>
      </c>
      <c r="N179" s="175">
        <v>220000</v>
      </c>
      <c r="O179" s="316">
        <v>0</v>
      </c>
      <c r="P179" s="312">
        <f t="shared" si="15"/>
        <v>220000</v>
      </c>
      <c r="Q179" s="496">
        <v>337000</v>
      </c>
      <c r="R179" s="429">
        <v>0</v>
      </c>
      <c r="S179" s="430">
        <v>0</v>
      </c>
      <c r="T179" s="431">
        <v>0</v>
      </c>
      <c r="U179" s="66">
        <v>0</v>
      </c>
      <c r="V179" s="432">
        <v>587000</v>
      </c>
      <c r="W179" s="1152">
        <v>30000</v>
      </c>
      <c r="X179" s="450">
        <v>5076.0452299999997</v>
      </c>
      <c r="Y179" s="433">
        <v>220000</v>
      </c>
      <c r="Z179" s="433">
        <v>337000</v>
      </c>
      <c r="AA179" s="434">
        <v>0</v>
      </c>
      <c r="AB179" s="24" t="s">
        <v>193</v>
      </c>
      <c r="AC179" s="24" t="s">
        <v>20</v>
      </c>
    </row>
    <row r="180" spans="1:29" ht="66.75" customHeight="1" outlineLevel="1" x14ac:dyDescent="0.25">
      <c r="A180" s="549" t="s">
        <v>426</v>
      </c>
      <c r="B180" s="454" t="s">
        <v>427</v>
      </c>
      <c r="C180" s="913" t="s">
        <v>459</v>
      </c>
      <c r="D180" s="455" t="s">
        <v>121</v>
      </c>
      <c r="E180" s="455" t="s">
        <v>121</v>
      </c>
      <c r="F180" s="993" t="s">
        <v>428</v>
      </c>
      <c r="G180" s="570">
        <v>350335</v>
      </c>
      <c r="H180" s="113">
        <v>13001.042460000001</v>
      </c>
      <c r="I180" s="457">
        <v>0</v>
      </c>
      <c r="J180" s="446">
        <v>0</v>
      </c>
      <c r="K180" s="447">
        <v>60310</v>
      </c>
      <c r="L180" s="447">
        <v>0</v>
      </c>
      <c r="M180" s="583">
        <f>139690-0.00246</f>
        <v>139689.99754000001</v>
      </c>
      <c r="N180" s="317">
        <v>199999.99754000001</v>
      </c>
      <c r="O180" s="218">
        <v>0</v>
      </c>
      <c r="P180" s="312">
        <f t="shared" si="15"/>
        <v>199999.99754000001</v>
      </c>
      <c r="Q180" s="28">
        <v>137333.96</v>
      </c>
      <c r="R180" s="445">
        <v>0</v>
      </c>
      <c r="S180" s="446">
        <v>0</v>
      </c>
      <c r="T180" s="447">
        <v>0</v>
      </c>
      <c r="U180" s="64">
        <v>0</v>
      </c>
      <c r="V180" s="1153">
        <v>350335</v>
      </c>
      <c r="W180" s="1150">
        <v>13001.042460000001</v>
      </c>
      <c r="X180" s="460">
        <v>0</v>
      </c>
      <c r="Y180" s="433">
        <f>200000-0.00246</f>
        <v>199999.99754000001</v>
      </c>
      <c r="Z180" s="449">
        <f>137333.96</f>
        <v>137333.96</v>
      </c>
      <c r="AA180" s="451">
        <v>0</v>
      </c>
      <c r="AB180" s="1154" t="s">
        <v>193</v>
      </c>
      <c r="AC180" s="26" t="s">
        <v>20</v>
      </c>
    </row>
    <row r="181" spans="1:29" ht="71.25" customHeight="1" outlineLevel="1" x14ac:dyDescent="0.25">
      <c r="A181" s="549" t="s">
        <v>429</v>
      </c>
      <c r="B181" s="454" t="s">
        <v>438</v>
      </c>
      <c r="C181" s="913" t="s">
        <v>459</v>
      </c>
      <c r="D181" s="455" t="s">
        <v>121</v>
      </c>
      <c r="E181" s="455" t="s">
        <v>121</v>
      </c>
      <c r="F181" s="993" t="s">
        <v>430</v>
      </c>
      <c r="G181" s="570">
        <v>128408</v>
      </c>
      <c r="H181" s="113">
        <v>0</v>
      </c>
      <c r="I181" s="457">
        <v>0</v>
      </c>
      <c r="J181" s="446">
        <v>0</v>
      </c>
      <c r="K181" s="447">
        <v>0</v>
      </c>
      <c r="L181" s="447">
        <v>0</v>
      </c>
      <c r="M181" s="583">
        <v>0</v>
      </c>
      <c r="N181" s="175">
        <v>0</v>
      </c>
      <c r="O181" s="316">
        <v>0</v>
      </c>
      <c r="P181" s="312">
        <f t="shared" si="15"/>
        <v>0</v>
      </c>
      <c r="Q181" s="28">
        <v>65000</v>
      </c>
      <c r="R181" s="1155">
        <v>63408</v>
      </c>
      <c r="S181" s="446">
        <v>0</v>
      </c>
      <c r="T181" s="447">
        <v>0</v>
      </c>
      <c r="U181" s="64">
        <v>0</v>
      </c>
      <c r="V181" s="1153">
        <v>128408</v>
      </c>
      <c r="W181" s="1150">
        <v>0</v>
      </c>
      <c r="X181" s="460">
        <v>0</v>
      </c>
      <c r="Y181" s="433">
        <v>0</v>
      </c>
      <c r="Z181" s="460">
        <v>65000</v>
      </c>
      <c r="AA181" s="1156">
        <v>63408</v>
      </c>
      <c r="AB181" s="26" t="s">
        <v>853</v>
      </c>
      <c r="AC181" s="26" t="s">
        <v>14</v>
      </c>
    </row>
    <row r="182" spans="1:29" ht="38.25" customHeight="1" outlineLevel="1" x14ac:dyDescent="0.25">
      <c r="A182" s="549" t="s">
        <v>432</v>
      </c>
      <c r="B182" s="454" t="s">
        <v>197</v>
      </c>
      <c r="C182" s="929" t="s">
        <v>459</v>
      </c>
      <c r="D182" s="455" t="s">
        <v>431</v>
      </c>
      <c r="E182" s="455" t="s">
        <v>431</v>
      </c>
      <c r="F182" s="993" t="s">
        <v>433</v>
      </c>
      <c r="G182" s="570">
        <v>40000</v>
      </c>
      <c r="H182" s="113">
        <v>0</v>
      </c>
      <c r="I182" s="457">
        <v>0</v>
      </c>
      <c r="J182" s="446">
        <v>0</v>
      </c>
      <c r="K182" s="447">
        <v>350</v>
      </c>
      <c r="L182" s="447">
        <v>0</v>
      </c>
      <c r="M182" s="583">
        <v>500</v>
      </c>
      <c r="N182" s="317">
        <v>850</v>
      </c>
      <c r="O182" s="316">
        <v>0</v>
      </c>
      <c r="P182" s="312">
        <f t="shared" si="15"/>
        <v>850</v>
      </c>
      <c r="Q182" s="28">
        <v>19575</v>
      </c>
      <c r="R182" s="445">
        <v>19575</v>
      </c>
      <c r="S182" s="446">
        <v>0</v>
      </c>
      <c r="T182" s="447">
        <v>0</v>
      </c>
      <c r="U182" s="64">
        <v>0</v>
      </c>
      <c r="V182" s="1153">
        <v>40000</v>
      </c>
      <c r="W182" s="1150">
        <v>0</v>
      </c>
      <c r="X182" s="460">
        <v>0</v>
      </c>
      <c r="Y182" s="433">
        <v>850</v>
      </c>
      <c r="Z182" s="1155">
        <v>19575</v>
      </c>
      <c r="AA182" s="445">
        <v>19575</v>
      </c>
      <c r="AB182" s="26" t="s">
        <v>193</v>
      </c>
      <c r="AC182" s="26" t="s">
        <v>14</v>
      </c>
    </row>
    <row r="183" spans="1:29" ht="41.25" customHeight="1" outlineLevel="1" x14ac:dyDescent="0.25">
      <c r="A183" s="549" t="s">
        <v>434</v>
      </c>
      <c r="B183" s="454" t="s">
        <v>197</v>
      </c>
      <c r="C183" s="929" t="s">
        <v>459</v>
      </c>
      <c r="D183" s="455" t="s">
        <v>431</v>
      </c>
      <c r="E183" s="455" t="s">
        <v>431</v>
      </c>
      <c r="F183" s="993" t="s">
        <v>435</v>
      </c>
      <c r="G183" s="570">
        <v>30000</v>
      </c>
      <c r="H183" s="113">
        <v>0</v>
      </c>
      <c r="I183" s="457">
        <v>0</v>
      </c>
      <c r="J183" s="446">
        <v>0</v>
      </c>
      <c r="K183" s="447">
        <v>0</v>
      </c>
      <c r="L183" s="447">
        <v>0</v>
      </c>
      <c r="M183" s="583">
        <v>30000</v>
      </c>
      <c r="N183" s="299">
        <v>30000</v>
      </c>
      <c r="O183" s="316">
        <v>0</v>
      </c>
      <c r="P183" s="312">
        <f t="shared" si="15"/>
        <v>30000</v>
      </c>
      <c r="Q183" s="28">
        <v>0</v>
      </c>
      <c r="R183" s="445">
        <v>0</v>
      </c>
      <c r="S183" s="446">
        <v>0</v>
      </c>
      <c r="T183" s="447">
        <v>0</v>
      </c>
      <c r="U183" s="64">
        <v>0</v>
      </c>
      <c r="V183" s="1153">
        <v>30000</v>
      </c>
      <c r="W183" s="1150">
        <v>0</v>
      </c>
      <c r="X183" s="460">
        <v>0</v>
      </c>
      <c r="Y183" s="433">
        <v>30000</v>
      </c>
      <c r="Z183" s="1155">
        <v>0</v>
      </c>
      <c r="AA183" s="445">
        <v>0</v>
      </c>
      <c r="AB183" s="26" t="s">
        <v>193</v>
      </c>
      <c r="AC183" s="26" t="s">
        <v>14</v>
      </c>
    </row>
    <row r="184" spans="1:29" ht="48.75" customHeight="1" outlineLevel="1" thickBot="1" x14ac:dyDescent="0.3">
      <c r="A184" s="461" t="s">
        <v>436</v>
      </c>
      <c r="B184" s="462" t="s">
        <v>688</v>
      </c>
      <c r="C184" s="1157" t="s">
        <v>459</v>
      </c>
      <c r="D184" s="463" t="s">
        <v>437</v>
      </c>
      <c r="E184" s="463" t="s">
        <v>437</v>
      </c>
      <c r="F184" s="996" t="s">
        <v>497</v>
      </c>
      <c r="G184" s="1158">
        <v>465333</v>
      </c>
      <c r="H184" s="465">
        <v>7893.8282900000004</v>
      </c>
      <c r="I184" s="847">
        <v>3885.6860200000001</v>
      </c>
      <c r="J184" s="467">
        <v>7000</v>
      </c>
      <c r="K184" s="468">
        <v>27608</v>
      </c>
      <c r="L184" s="468">
        <v>34481</v>
      </c>
      <c r="M184" s="1159">
        <v>31783</v>
      </c>
      <c r="N184" s="265">
        <v>100872</v>
      </c>
      <c r="O184" s="401">
        <v>0</v>
      </c>
      <c r="P184" s="181">
        <f t="shared" si="15"/>
        <v>100872</v>
      </c>
      <c r="Q184" s="470">
        <v>230330</v>
      </c>
      <c r="R184" s="476">
        <v>31234.171709999999</v>
      </c>
      <c r="S184" s="467">
        <v>0</v>
      </c>
      <c r="T184" s="468">
        <v>95003</v>
      </c>
      <c r="U184" s="469">
        <v>0</v>
      </c>
      <c r="V184" s="1160">
        <v>370330</v>
      </c>
      <c r="W184" s="1161">
        <v>7893.8282900000004</v>
      </c>
      <c r="X184" s="473">
        <v>3885.6860200000001</v>
      </c>
      <c r="Y184" s="475">
        <v>100872</v>
      </c>
      <c r="Z184" s="475">
        <v>230330</v>
      </c>
      <c r="AA184" s="476">
        <v>31234.171709999999</v>
      </c>
      <c r="AB184" s="30" t="s">
        <v>193</v>
      </c>
      <c r="AC184" s="30" t="s">
        <v>20</v>
      </c>
    </row>
    <row r="185" spans="1:29" ht="53.25" customHeight="1" outlineLevel="1" thickBot="1" x14ac:dyDescent="0.3">
      <c r="A185" s="1163" t="s">
        <v>475</v>
      </c>
      <c r="B185" s="1164" t="s">
        <v>749</v>
      </c>
      <c r="C185" s="490" t="s">
        <v>484</v>
      </c>
      <c r="D185" s="478" t="s">
        <v>117</v>
      </c>
      <c r="E185" s="478" t="s">
        <v>117</v>
      </c>
      <c r="F185" s="997" t="s">
        <v>476</v>
      </c>
      <c r="G185" s="1165">
        <v>155000</v>
      </c>
      <c r="H185" s="1166">
        <v>0</v>
      </c>
      <c r="I185" s="1167">
        <v>0</v>
      </c>
      <c r="J185" s="485">
        <v>0</v>
      </c>
      <c r="K185" s="486">
        <v>2300</v>
      </c>
      <c r="L185" s="486">
        <v>21160</v>
      </c>
      <c r="M185" s="1168">
        <v>0</v>
      </c>
      <c r="N185" s="144">
        <v>23460</v>
      </c>
      <c r="O185" s="206">
        <v>0</v>
      </c>
      <c r="P185" s="347">
        <f t="shared" si="15"/>
        <v>23460</v>
      </c>
      <c r="Q185" s="233">
        <f>92700+38840</f>
        <v>131540</v>
      </c>
      <c r="R185" s="233">
        <v>0</v>
      </c>
      <c r="S185" s="485">
        <v>0</v>
      </c>
      <c r="T185" s="486">
        <v>0</v>
      </c>
      <c r="U185" s="484">
        <v>0</v>
      </c>
      <c r="V185" s="487">
        <v>23460</v>
      </c>
      <c r="W185" s="1169">
        <v>0</v>
      </c>
      <c r="X185" s="474">
        <v>0</v>
      </c>
      <c r="Y185" s="488">
        <v>23460</v>
      </c>
      <c r="Z185" s="488">
        <v>0</v>
      </c>
      <c r="AA185" s="489">
        <v>0</v>
      </c>
      <c r="AB185" s="339" t="s">
        <v>854</v>
      </c>
      <c r="AC185" s="490" t="s">
        <v>14</v>
      </c>
    </row>
    <row r="186" spans="1:29" ht="30" outlineLevel="1" x14ac:dyDescent="0.25">
      <c r="A186" s="492" t="s">
        <v>541</v>
      </c>
      <c r="B186" s="793" t="s">
        <v>197</v>
      </c>
      <c r="C186" s="25" t="s">
        <v>548</v>
      </c>
      <c r="D186" s="494" t="s">
        <v>431</v>
      </c>
      <c r="E186" s="494" t="s">
        <v>431</v>
      </c>
      <c r="F186" s="992" t="s">
        <v>542</v>
      </c>
      <c r="G186" s="1151">
        <v>25000</v>
      </c>
      <c r="H186" s="1140">
        <v>0</v>
      </c>
      <c r="I186" s="1170">
        <v>0</v>
      </c>
      <c r="J186" s="430">
        <v>0</v>
      </c>
      <c r="K186" s="431">
        <v>532.9</v>
      </c>
      <c r="L186" s="431">
        <v>0</v>
      </c>
      <c r="M186" s="429">
        <v>436.9</v>
      </c>
      <c r="N186" s="175">
        <v>969.79999999999927</v>
      </c>
      <c r="O186" s="316">
        <v>0</v>
      </c>
      <c r="P186" s="312">
        <f t="shared" si="15"/>
        <v>969.79999999999927</v>
      </c>
      <c r="Q186" s="66">
        <v>10049.049999999999</v>
      </c>
      <c r="R186" s="496">
        <v>13981.15</v>
      </c>
      <c r="S186" s="430">
        <v>0</v>
      </c>
      <c r="T186" s="431">
        <v>0</v>
      </c>
      <c r="U186" s="66">
        <v>0</v>
      </c>
      <c r="V186" s="432">
        <v>25000</v>
      </c>
      <c r="W186" s="1152">
        <v>0</v>
      </c>
      <c r="X186" s="450">
        <v>0</v>
      </c>
      <c r="Y186" s="433">
        <v>969.8</v>
      </c>
      <c r="Z186" s="433">
        <v>10049.049999999999</v>
      </c>
      <c r="AA186" s="434">
        <v>13981.15</v>
      </c>
      <c r="AB186" s="25" t="s">
        <v>193</v>
      </c>
      <c r="AC186" s="303" t="s">
        <v>14</v>
      </c>
    </row>
    <row r="187" spans="1:29" s="260" customFormat="1" ht="12.6" customHeight="1" outlineLevel="1" thickBot="1" x14ac:dyDescent="0.3">
      <c r="A187" s="21" t="s">
        <v>211</v>
      </c>
      <c r="B187" s="22" t="s">
        <v>211</v>
      </c>
      <c r="C187" s="151" t="s">
        <v>211</v>
      </c>
      <c r="D187" s="301" t="s">
        <v>211</v>
      </c>
      <c r="E187" s="301" t="s">
        <v>211</v>
      </c>
      <c r="F187" s="84" t="s">
        <v>211</v>
      </c>
      <c r="G187" s="195" t="s">
        <v>211</v>
      </c>
      <c r="H187" s="152" t="s">
        <v>211</v>
      </c>
      <c r="I187" s="288" t="s">
        <v>211</v>
      </c>
      <c r="J187" s="115" t="s">
        <v>211</v>
      </c>
      <c r="K187" s="90" t="s">
        <v>211</v>
      </c>
      <c r="L187" s="90" t="s">
        <v>211</v>
      </c>
      <c r="M187" s="81" t="s">
        <v>211</v>
      </c>
      <c r="N187" s="81" t="s">
        <v>211</v>
      </c>
      <c r="O187" s="81" t="s">
        <v>211</v>
      </c>
      <c r="P187" s="81" t="s">
        <v>211</v>
      </c>
      <c r="Q187" s="81" t="s">
        <v>211</v>
      </c>
      <c r="R187" s="50" t="s">
        <v>211</v>
      </c>
      <c r="S187" s="115" t="s">
        <v>211</v>
      </c>
      <c r="T187" s="90" t="s">
        <v>211</v>
      </c>
      <c r="U187" s="88" t="s">
        <v>211</v>
      </c>
      <c r="V187" s="115" t="s">
        <v>211</v>
      </c>
      <c r="W187" s="90" t="s">
        <v>211</v>
      </c>
      <c r="X187" s="91" t="s">
        <v>211</v>
      </c>
      <c r="Y187" s="91" t="s">
        <v>211</v>
      </c>
      <c r="Z187" s="93" t="s">
        <v>211</v>
      </c>
      <c r="AA187" s="81" t="s">
        <v>211</v>
      </c>
      <c r="AB187" s="81" t="s">
        <v>211</v>
      </c>
      <c r="AC187" s="124" t="s">
        <v>211</v>
      </c>
    </row>
    <row r="188" spans="1:29" ht="26.25" thickBot="1" x14ac:dyDescent="0.3">
      <c r="A188" s="69" t="s">
        <v>193</v>
      </c>
      <c r="B188" s="240" t="s">
        <v>193</v>
      </c>
      <c r="C188" s="10" t="s">
        <v>193</v>
      </c>
      <c r="D188" s="297" t="s">
        <v>193</v>
      </c>
      <c r="E188" s="297" t="s">
        <v>193</v>
      </c>
      <c r="F188" s="79" t="s">
        <v>218</v>
      </c>
      <c r="G188" s="307">
        <f>SUM(G176:G187)</f>
        <v>2291937.4989999998</v>
      </c>
      <c r="H188" s="307">
        <f>SUM(H176:H187)</f>
        <v>110367.34789999999</v>
      </c>
      <c r="I188" s="307">
        <f>SUM(I176:I187)</f>
        <v>8961.7312500000007</v>
      </c>
      <c r="J188" s="86">
        <f t="shared" ref="J188:AA188" si="16">SUM(J176:J187)</f>
        <v>22000</v>
      </c>
      <c r="K188" s="87">
        <f t="shared" si="16"/>
        <v>154100.9</v>
      </c>
      <c r="L188" s="87">
        <f t="shared" si="16"/>
        <v>155641</v>
      </c>
      <c r="M188" s="57">
        <f t="shared" si="16"/>
        <v>470682.14754000003</v>
      </c>
      <c r="N188" s="307">
        <f t="shared" si="16"/>
        <v>802424.04754000006</v>
      </c>
      <c r="O188" s="307">
        <f t="shared" si="16"/>
        <v>0</v>
      </c>
      <c r="P188" s="307">
        <f t="shared" si="16"/>
        <v>802424.04754000006</v>
      </c>
      <c r="Q188" s="128">
        <f t="shared" si="16"/>
        <v>1128398.9504500001</v>
      </c>
      <c r="R188" s="307">
        <f t="shared" si="16"/>
        <v>128198.32170999999</v>
      </c>
      <c r="S188" s="86">
        <f t="shared" si="16"/>
        <v>0</v>
      </c>
      <c r="T188" s="87">
        <f t="shared" si="16"/>
        <v>95003</v>
      </c>
      <c r="U188" s="170">
        <f t="shared" si="16"/>
        <v>27545.831399999999</v>
      </c>
      <c r="V188" s="86">
        <f t="shared" si="16"/>
        <v>1816728.9404500001</v>
      </c>
      <c r="W188" s="87">
        <f t="shared" si="16"/>
        <v>50894.870749999995</v>
      </c>
      <c r="X188" s="87">
        <f t="shared" si="16"/>
        <v>8961.7312500000007</v>
      </c>
      <c r="Y188" s="87">
        <f t="shared" si="16"/>
        <v>730776.79754000006</v>
      </c>
      <c r="Z188" s="87">
        <f t="shared" si="16"/>
        <v>906858.95045</v>
      </c>
      <c r="AA188" s="170">
        <f t="shared" si="16"/>
        <v>128198.32170999999</v>
      </c>
      <c r="AB188" s="11" t="s">
        <v>704</v>
      </c>
      <c r="AC188" s="10" t="s">
        <v>193</v>
      </c>
    </row>
    <row r="189" spans="1:29" ht="30" outlineLevel="1" x14ac:dyDescent="0.25">
      <c r="A189" s="792" t="s">
        <v>668</v>
      </c>
      <c r="B189" s="793" t="s">
        <v>127</v>
      </c>
      <c r="C189" s="24" t="s">
        <v>247</v>
      </c>
      <c r="D189" s="494" t="s">
        <v>8</v>
      </c>
      <c r="E189" s="555" t="s">
        <v>8</v>
      </c>
      <c r="F189" s="794" t="s">
        <v>128</v>
      </c>
      <c r="G189" s="113">
        <v>3978</v>
      </c>
      <c r="H189" s="113">
        <v>2047</v>
      </c>
      <c r="I189" s="457">
        <v>0</v>
      </c>
      <c r="J189" s="558">
        <v>0</v>
      </c>
      <c r="K189" s="559">
        <v>0</v>
      </c>
      <c r="L189" s="559">
        <v>1931</v>
      </c>
      <c r="M189" s="560">
        <v>0</v>
      </c>
      <c r="N189" s="175">
        <v>1931</v>
      </c>
      <c r="O189" s="316">
        <v>0</v>
      </c>
      <c r="P189" s="312">
        <f>N189+O189</f>
        <v>1931</v>
      </c>
      <c r="Q189" s="795">
        <v>0</v>
      </c>
      <c r="R189" s="796">
        <v>0</v>
      </c>
      <c r="S189" s="797">
        <v>0</v>
      </c>
      <c r="T189" s="798">
        <v>0</v>
      </c>
      <c r="U189" s="799">
        <v>0</v>
      </c>
      <c r="V189" s="733">
        <v>0</v>
      </c>
      <c r="W189" s="800">
        <v>0</v>
      </c>
      <c r="X189" s="800">
        <v>0</v>
      </c>
      <c r="Y189" s="800">
        <v>0</v>
      </c>
      <c r="Z189" s="588">
        <v>0</v>
      </c>
      <c r="AA189" s="801">
        <v>0</v>
      </c>
      <c r="AB189" s="555" t="s">
        <v>450</v>
      </c>
      <c r="AC189" s="802" t="s">
        <v>20</v>
      </c>
    </row>
    <row r="190" spans="1:29" s="260" customFormat="1" ht="12.6" customHeight="1" outlineLevel="1" thickBot="1" x14ac:dyDescent="0.3">
      <c r="A190" s="21" t="s">
        <v>211</v>
      </c>
      <c r="B190" s="22" t="s">
        <v>211</v>
      </c>
      <c r="C190" s="174" t="s">
        <v>211</v>
      </c>
      <c r="D190" s="301" t="s">
        <v>211</v>
      </c>
      <c r="E190" s="301" t="s">
        <v>211</v>
      </c>
      <c r="F190" s="46" t="s">
        <v>211</v>
      </c>
      <c r="G190" s="153" t="s">
        <v>211</v>
      </c>
      <c r="H190" s="152" t="s">
        <v>211</v>
      </c>
      <c r="I190" s="288" t="s">
        <v>211</v>
      </c>
      <c r="J190" s="121" t="s">
        <v>211</v>
      </c>
      <c r="K190" s="89" t="s">
        <v>211</v>
      </c>
      <c r="L190" s="89" t="s">
        <v>211</v>
      </c>
      <c r="M190" s="171" t="s">
        <v>211</v>
      </c>
      <c r="N190" s="171" t="s">
        <v>211</v>
      </c>
      <c r="O190" s="171" t="s">
        <v>211</v>
      </c>
      <c r="P190" s="171" t="s">
        <v>211</v>
      </c>
      <c r="Q190" s="171" t="s">
        <v>211</v>
      </c>
      <c r="R190" s="99" t="s">
        <v>211</v>
      </c>
      <c r="S190" s="127" t="s">
        <v>211</v>
      </c>
      <c r="T190" s="97" t="s">
        <v>211</v>
      </c>
      <c r="U190" s="23" t="s">
        <v>211</v>
      </c>
      <c r="V190" s="127" t="s">
        <v>211</v>
      </c>
      <c r="W190" s="97" t="s">
        <v>211</v>
      </c>
      <c r="X190" s="280" t="s">
        <v>211</v>
      </c>
      <c r="Y190" s="280" t="s">
        <v>211</v>
      </c>
      <c r="Z190" s="102" t="s">
        <v>211</v>
      </c>
      <c r="AA190" s="98" t="s">
        <v>211</v>
      </c>
      <c r="AB190" s="98" t="s">
        <v>211</v>
      </c>
      <c r="AC190" s="168" t="s">
        <v>211</v>
      </c>
    </row>
    <row r="191" spans="1:29" ht="16.5" thickBot="1" x14ac:dyDescent="0.3">
      <c r="A191" s="69" t="s">
        <v>193</v>
      </c>
      <c r="B191" s="240" t="s">
        <v>193</v>
      </c>
      <c r="C191" s="10" t="s">
        <v>193</v>
      </c>
      <c r="D191" s="297" t="s">
        <v>193</v>
      </c>
      <c r="E191" s="297" t="s">
        <v>193</v>
      </c>
      <c r="F191" s="79" t="s">
        <v>505</v>
      </c>
      <c r="G191" s="307">
        <f>SUM(G189:G190)</f>
        <v>3978</v>
      </c>
      <c r="H191" s="307">
        <f t="shared" ref="H191:AA191" si="17">SUM(H189:H190)</f>
        <v>2047</v>
      </c>
      <c r="I191" s="307">
        <f t="shared" si="17"/>
        <v>0</v>
      </c>
      <c r="J191" s="86">
        <f t="shared" si="17"/>
        <v>0</v>
      </c>
      <c r="K191" s="87">
        <f t="shared" si="17"/>
        <v>0</v>
      </c>
      <c r="L191" s="87">
        <f t="shared" si="17"/>
        <v>1931</v>
      </c>
      <c r="M191" s="57">
        <f t="shared" si="17"/>
        <v>0</v>
      </c>
      <c r="N191" s="307">
        <f t="shared" si="17"/>
        <v>1931</v>
      </c>
      <c r="O191" s="307">
        <f t="shared" si="17"/>
        <v>0</v>
      </c>
      <c r="P191" s="307">
        <f t="shared" si="17"/>
        <v>1931</v>
      </c>
      <c r="Q191" s="128">
        <f t="shared" si="17"/>
        <v>0</v>
      </c>
      <c r="R191" s="307">
        <f t="shared" si="17"/>
        <v>0</v>
      </c>
      <c r="S191" s="86">
        <f t="shared" si="17"/>
        <v>0</v>
      </c>
      <c r="T191" s="87">
        <f t="shared" si="17"/>
        <v>0</v>
      </c>
      <c r="U191" s="170">
        <f t="shared" si="17"/>
        <v>0</v>
      </c>
      <c r="V191" s="86">
        <f t="shared" si="17"/>
        <v>0</v>
      </c>
      <c r="W191" s="87">
        <f t="shared" si="17"/>
        <v>0</v>
      </c>
      <c r="X191" s="87">
        <f t="shared" si="17"/>
        <v>0</v>
      </c>
      <c r="Y191" s="87">
        <f t="shared" si="17"/>
        <v>0</v>
      </c>
      <c r="Z191" s="87">
        <f t="shared" si="17"/>
        <v>0</v>
      </c>
      <c r="AA191" s="170">
        <f t="shared" si="17"/>
        <v>0</v>
      </c>
      <c r="AB191" s="11" t="s">
        <v>705</v>
      </c>
      <c r="AC191" s="10" t="s">
        <v>193</v>
      </c>
    </row>
    <row r="192" spans="1:29" ht="30.75" outlineLevel="1" thickBot="1" x14ac:dyDescent="0.3">
      <c r="A192" s="461" t="s">
        <v>385</v>
      </c>
      <c r="B192" s="462" t="s">
        <v>418</v>
      </c>
      <c r="C192" s="882" t="s">
        <v>420</v>
      </c>
      <c r="D192" s="463" t="s">
        <v>130</v>
      </c>
      <c r="E192" s="463" t="s">
        <v>130</v>
      </c>
      <c r="F192" s="1361" t="s">
        <v>384</v>
      </c>
      <c r="G192" s="465">
        <v>1362.8</v>
      </c>
      <c r="H192" s="480">
        <v>622.79999999999995</v>
      </c>
      <c r="I192" s="524">
        <v>0</v>
      </c>
      <c r="J192" s="481">
        <v>0</v>
      </c>
      <c r="K192" s="1362">
        <v>740</v>
      </c>
      <c r="L192" s="482">
        <v>0</v>
      </c>
      <c r="M192" s="526">
        <v>0</v>
      </c>
      <c r="N192" s="144">
        <v>740</v>
      </c>
      <c r="O192" s="206">
        <v>0</v>
      </c>
      <c r="P192" s="347">
        <f>N192+O192</f>
        <v>740</v>
      </c>
      <c r="Q192" s="471">
        <v>0</v>
      </c>
      <c r="R192" s="470">
        <v>0</v>
      </c>
      <c r="S192" s="467">
        <v>0</v>
      </c>
      <c r="T192" s="468">
        <v>0</v>
      </c>
      <c r="U192" s="471">
        <v>0</v>
      </c>
      <c r="V192" s="472">
        <v>0</v>
      </c>
      <c r="W192" s="528">
        <v>0</v>
      </c>
      <c r="X192" s="528">
        <v>0</v>
      </c>
      <c r="Y192" s="528">
        <v>0</v>
      </c>
      <c r="Z192" s="488">
        <v>0</v>
      </c>
      <c r="AA192" s="476">
        <v>0</v>
      </c>
      <c r="AB192" s="1050" t="s">
        <v>193</v>
      </c>
      <c r="AC192" s="32" t="s">
        <v>20</v>
      </c>
    </row>
    <row r="193" spans="1:29" s="300" customFormat="1" outlineLevel="1" x14ac:dyDescent="0.25">
      <c r="A193" s="1363" t="s">
        <v>863</v>
      </c>
      <c r="B193" s="1364" t="s">
        <v>877</v>
      </c>
      <c r="C193" s="1365" t="s">
        <v>864</v>
      </c>
      <c r="D193" s="1366" t="s">
        <v>8</v>
      </c>
      <c r="E193" s="1366" t="s">
        <v>197</v>
      </c>
      <c r="F193" s="1367" t="s">
        <v>865</v>
      </c>
      <c r="G193" s="45">
        <v>34227.1</v>
      </c>
      <c r="H193" s="45">
        <v>0</v>
      </c>
      <c r="I193" s="1368"/>
      <c r="J193" s="1369">
        <v>0</v>
      </c>
      <c r="K193" s="1370">
        <v>0</v>
      </c>
      <c r="L193" s="1371">
        <v>0</v>
      </c>
      <c r="M193" s="1372">
        <v>0</v>
      </c>
      <c r="N193" s="1373">
        <v>0</v>
      </c>
      <c r="O193" s="1374">
        <v>0</v>
      </c>
      <c r="P193" s="1374">
        <v>0</v>
      </c>
      <c r="Q193" s="1374">
        <f>864+288</f>
        <v>1152</v>
      </c>
      <c r="R193" s="1375">
        <v>0</v>
      </c>
      <c r="S193" s="1369">
        <v>0</v>
      </c>
      <c r="T193" s="1371">
        <v>0</v>
      </c>
      <c r="U193" s="1389">
        <v>33075.1</v>
      </c>
      <c r="V193" s="1376">
        <v>0</v>
      </c>
      <c r="W193" s="1377">
        <v>0</v>
      </c>
      <c r="X193" s="1377"/>
      <c r="Y193" s="1377">
        <v>0</v>
      </c>
      <c r="Z193" s="1378">
        <v>0</v>
      </c>
      <c r="AA193" s="1373">
        <v>0</v>
      </c>
      <c r="AB193" s="180" t="s">
        <v>866</v>
      </c>
      <c r="AC193" s="38" t="s">
        <v>14</v>
      </c>
    </row>
    <row r="194" spans="1:29" s="300" customFormat="1" outlineLevel="1" x14ac:dyDescent="0.25">
      <c r="A194" s="1379" t="s">
        <v>867</v>
      </c>
      <c r="B194" s="1380" t="s">
        <v>878</v>
      </c>
      <c r="C194" s="1381" t="s">
        <v>864</v>
      </c>
      <c r="D194" s="959" t="s">
        <v>8</v>
      </c>
      <c r="E194" s="959" t="s">
        <v>197</v>
      </c>
      <c r="F194" s="960" t="s">
        <v>868</v>
      </c>
      <c r="G194" s="44">
        <v>69742.3</v>
      </c>
      <c r="H194" s="44">
        <v>0</v>
      </c>
      <c r="I194" s="1382"/>
      <c r="J194" s="1383">
        <v>0</v>
      </c>
      <c r="K194" s="1384">
        <v>0</v>
      </c>
      <c r="L194" s="1385">
        <v>0</v>
      </c>
      <c r="M194" s="112">
        <v>0</v>
      </c>
      <c r="N194" s="1386">
        <v>0</v>
      </c>
      <c r="O194" s="951">
        <v>0</v>
      </c>
      <c r="P194" s="951">
        <v>0</v>
      </c>
      <c r="Q194" s="951">
        <f>1755+585</f>
        <v>2340</v>
      </c>
      <c r="R194" s="58">
        <v>0</v>
      </c>
      <c r="S194" s="1383">
        <v>0</v>
      </c>
      <c r="T194" s="1385">
        <v>0</v>
      </c>
      <c r="U194" s="68">
        <v>67402.3</v>
      </c>
      <c r="V194" s="1387">
        <v>0</v>
      </c>
      <c r="W194" s="954">
        <v>0</v>
      </c>
      <c r="X194" s="954"/>
      <c r="Y194" s="954">
        <v>0</v>
      </c>
      <c r="Z194" s="1388">
        <v>0</v>
      </c>
      <c r="AA194" s="1386">
        <v>0</v>
      </c>
      <c r="AB194" s="117" t="s">
        <v>866</v>
      </c>
      <c r="AC194" s="36" t="s">
        <v>14</v>
      </c>
    </row>
    <row r="195" spans="1:29" s="300" customFormat="1" outlineLevel="1" x14ac:dyDescent="0.25">
      <c r="A195" s="1379" t="s">
        <v>869</v>
      </c>
      <c r="B195" s="1380" t="s">
        <v>879</v>
      </c>
      <c r="C195" s="1381" t="s">
        <v>864</v>
      </c>
      <c r="D195" s="959" t="s">
        <v>8</v>
      </c>
      <c r="E195" s="959" t="s">
        <v>197</v>
      </c>
      <c r="F195" s="960" t="s">
        <v>870</v>
      </c>
      <c r="G195" s="44">
        <v>55048.1</v>
      </c>
      <c r="H195" s="44">
        <v>0</v>
      </c>
      <c r="I195" s="1382"/>
      <c r="J195" s="1383">
        <v>0</v>
      </c>
      <c r="K195" s="1384">
        <v>0</v>
      </c>
      <c r="L195" s="1385">
        <v>0</v>
      </c>
      <c r="M195" s="112">
        <v>0</v>
      </c>
      <c r="N195" s="1386">
        <v>0</v>
      </c>
      <c r="O195" s="951">
        <v>0</v>
      </c>
      <c r="P195" s="951">
        <v>0</v>
      </c>
      <c r="Q195" s="951">
        <f>1377+459</f>
        <v>1836</v>
      </c>
      <c r="R195" s="58">
        <v>0</v>
      </c>
      <c r="S195" s="1383">
        <v>0</v>
      </c>
      <c r="T195" s="1385">
        <v>0</v>
      </c>
      <c r="U195" s="68">
        <v>53212.1</v>
      </c>
      <c r="V195" s="1387">
        <v>0</v>
      </c>
      <c r="W195" s="954">
        <v>0</v>
      </c>
      <c r="X195" s="954"/>
      <c r="Y195" s="954">
        <v>0</v>
      </c>
      <c r="Z195" s="1388">
        <v>0</v>
      </c>
      <c r="AA195" s="1386">
        <v>0</v>
      </c>
      <c r="AB195" s="117" t="s">
        <v>866</v>
      </c>
      <c r="AC195" s="36" t="s">
        <v>14</v>
      </c>
    </row>
    <row r="196" spans="1:29" s="300" customFormat="1" outlineLevel="1" x14ac:dyDescent="0.25">
      <c r="A196" s="1379" t="s">
        <v>871</v>
      </c>
      <c r="B196" s="1380" t="s">
        <v>880</v>
      </c>
      <c r="C196" s="1381" t="s">
        <v>864</v>
      </c>
      <c r="D196" s="959" t="s">
        <v>8</v>
      </c>
      <c r="E196" s="959" t="s">
        <v>197</v>
      </c>
      <c r="F196" s="960" t="s">
        <v>872</v>
      </c>
      <c r="G196" s="44">
        <v>5646.4</v>
      </c>
      <c r="H196" s="44">
        <v>0</v>
      </c>
      <c r="I196" s="1382"/>
      <c r="J196" s="1383">
        <v>0</v>
      </c>
      <c r="K196" s="1384">
        <v>0</v>
      </c>
      <c r="L196" s="1385">
        <v>0</v>
      </c>
      <c r="M196" s="112">
        <v>0</v>
      </c>
      <c r="N196" s="1386">
        <v>0</v>
      </c>
      <c r="O196" s="951">
        <v>0</v>
      </c>
      <c r="P196" s="951">
        <v>0</v>
      </c>
      <c r="Q196" s="951">
        <f>135+45</f>
        <v>180</v>
      </c>
      <c r="R196" s="58">
        <v>0</v>
      </c>
      <c r="S196" s="1383">
        <v>0</v>
      </c>
      <c r="T196" s="1385">
        <v>0</v>
      </c>
      <c r="U196" s="68">
        <v>5466.4</v>
      </c>
      <c r="V196" s="1387">
        <v>0</v>
      </c>
      <c r="W196" s="954">
        <v>0</v>
      </c>
      <c r="X196" s="954"/>
      <c r="Y196" s="954">
        <v>0</v>
      </c>
      <c r="Z196" s="1388">
        <v>0</v>
      </c>
      <c r="AA196" s="1386">
        <v>0</v>
      </c>
      <c r="AB196" s="117" t="s">
        <v>866</v>
      </c>
      <c r="AC196" s="36" t="s">
        <v>14</v>
      </c>
    </row>
    <row r="197" spans="1:29" s="300" customFormat="1" outlineLevel="1" x14ac:dyDescent="0.25">
      <c r="A197" s="1379" t="s">
        <v>873</v>
      </c>
      <c r="B197" s="1380" t="s">
        <v>881</v>
      </c>
      <c r="C197" s="1381" t="s">
        <v>864</v>
      </c>
      <c r="D197" s="959" t="s">
        <v>8</v>
      </c>
      <c r="E197" s="959" t="s">
        <v>197</v>
      </c>
      <c r="F197" s="960" t="s">
        <v>874</v>
      </c>
      <c r="G197" s="44">
        <v>16673.3</v>
      </c>
      <c r="H197" s="44">
        <v>0</v>
      </c>
      <c r="I197" s="1382"/>
      <c r="J197" s="1383">
        <v>0</v>
      </c>
      <c r="K197" s="1384">
        <v>0</v>
      </c>
      <c r="L197" s="1385">
        <v>0</v>
      </c>
      <c r="M197" s="112">
        <v>0</v>
      </c>
      <c r="N197" s="1386">
        <v>0</v>
      </c>
      <c r="O197" s="951">
        <v>0</v>
      </c>
      <c r="P197" s="951">
        <v>0</v>
      </c>
      <c r="Q197" s="951">
        <f>405+135</f>
        <v>540</v>
      </c>
      <c r="R197" s="58">
        <v>0</v>
      </c>
      <c r="S197" s="1383">
        <v>0</v>
      </c>
      <c r="T197" s="1385">
        <v>0</v>
      </c>
      <c r="U197" s="68">
        <v>16133.3</v>
      </c>
      <c r="V197" s="1387">
        <v>0</v>
      </c>
      <c r="W197" s="954">
        <v>0</v>
      </c>
      <c r="X197" s="954"/>
      <c r="Y197" s="954">
        <v>0</v>
      </c>
      <c r="Z197" s="1388">
        <v>0</v>
      </c>
      <c r="AA197" s="1386">
        <v>0</v>
      </c>
      <c r="AB197" s="117" t="s">
        <v>866</v>
      </c>
      <c r="AC197" s="36" t="s">
        <v>14</v>
      </c>
    </row>
    <row r="198" spans="1:29" s="260" customFormat="1" ht="12.6" customHeight="1" outlineLevel="1" thickBot="1" x14ac:dyDescent="0.3">
      <c r="A198" s="15" t="s">
        <v>211</v>
      </c>
      <c r="B198" s="14" t="s">
        <v>211</v>
      </c>
      <c r="C198" s="168" t="s">
        <v>211</v>
      </c>
      <c r="D198" s="304" t="s">
        <v>211</v>
      </c>
      <c r="E198" s="304" t="s">
        <v>211</v>
      </c>
      <c r="F198" s="56" t="s">
        <v>211</v>
      </c>
      <c r="G198" s="152" t="s">
        <v>211</v>
      </c>
      <c r="H198" s="152" t="s">
        <v>211</v>
      </c>
      <c r="I198" s="288" t="s">
        <v>211</v>
      </c>
      <c r="J198" s="121" t="s">
        <v>211</v>
      </c>
      <c r="K198" s="89" t="s">
        <v>211</v>
      </c>
      <c r="L198" s="89" t="s">
        <v>211</v>
      </c>
      <c r="M198" s="171" t="s">
        <v>211</v>
      </c>
      <c r="N198" s="171" t="s">
        <v>211</v>
      </c>
      <c r="O198" s="171" t="s">
        <v>211</v>
      </c>
      <c r="P198" s="171" t="s">
        <v>211</v>
      </c>
      <c r="Q198" s="96" t="s">
        <v>211</v>
      </c>
      <c r="R198" s="92" t="s">
        <v>211</v>
      </c>
      <c r="S198" s="121" t="s">
        <v>211</v>
      </c>
      <c r="T198" s="89" t="s">
        <v>211</v>
      </c>
      <c r="U198" s="96" t="s">
        <v>211</v>
      </c>
      <c r="V198" s="121" t="s">
        <v>211</v>
      </c>
      <c r="W198" s="89" t="s">
        <v>211</v>
      </c>
      <c r="X198" s="380" t="s">
        <v>211</v>
      </c>
      <c r="Y198" s="380" t="s">
        <v>211</v>
      </c>
      <c r="Z198" s="100" t="s">
        <v>211</v>
      </c>
      <c r="AA198" s="171" t="s">
        <v>211</v>
      </c>
      <c r="AB198" s="92" t="s">
        <v>211</v>
      </c>
      <c r="AC198" s="151" t="s">
        <v>211</v>
      </c>
    </row>
    <row r="199" spans="1:29" ht="16.5" thickBot="1" x14ac:dyDescent="0.3">
      <c r="A199" s="69" t="s">
        <v>193</v>
      </c>
      <c r="B199" s="240" t="s">
        <v>193</v>
      </c>
      <c r="C199" s="10" t="s">
        <v>193</v>
      </c>
      <c r="D199" s="297" t="s">
        <v>193</v>
      </c>
      <c r="E199" s="297" t="s">
        <v>193</v>
      </c>
      <c r="F199" s="79" t="s">
        <v>217</v>
      </c>
      <c r="G199" s="307">
        <f>SUM(G192:G198)</f>
        <v>182700</v>
      </c>
      <c r="H199" s="307">
        <f t="shared" ref="H199:AA199" si="18">SUM(H192:H198)</f>
        <v>622.79999999999995</v>
      </c>
      <c r="I199" s="307">
        <f t="shared" si="18"/>
        <v>0</v>
      </c>
      <c r="J199" s="86">
        <f t="shared" si="18"/>
        <v>0</v>
      </c>
      <c r="K199" s="87">
        <f t="shared" si="18"/>
        <v>740</v>
      </c>
      <c r="L199" s="87">
        <f t="shared" si="18"/>
        <v>0</v>
      </c>
      <c r="M199" s="57">
        <f t="shared" si="18"/>
        <v>0</v>
      </c>
      <c r="N199" s="307">
        <f t="shared" si="18"/>
        <v>740</v>
      </c>
      <c r="O199" s="307">
        <f t="shared" si="18"/>
        <v>0</v>
      </c>
      <c r="P199" s="307">
        <f t="shared" si="18"/>
        <v>740</v>
      </c>
      <c r="Q199" s="128">
        <f t="shared" si="18"/>
        <v>6048</v>
      </c>
      <c r="R199" s="307">
        <f t="shared" si="18"/>
        <v>0</v>
      </c>
      <c r="S199" s="86">
        <f t="shared" si="18"/>
        <v>0</v>
      </c>
      <c r="T199" s="87">
        <f t="shared" si="18"/>
        <v>0</v>
      </c>
      <c r="U199" s="170">
        <f t="shared" si="18"/>
        <v>175289.19999999998</v>
      </c>
      <c r="V199" s="86">
        <f t="shared" si="18"/>
        <v>0</v>
      </c>
      <c r="W199" s="87">
        <f t="shared" si="18"/>
        <v>0</v>
      </c>
      <c r="X199" s="87">
        <f t="shared" si="18"/>
        <v>0</v>
      </c>
      <c r="Y199" s="87">
        <f t="shared" si="18"/>
        <v>0</v>
      </c>
      <c r="Z199" s="87">
        <f t="shared" si="18"/>
        <v>0</v>
      </c>
      <c r="AA199" s="170">
        <f t="shared" si="18"/>
        <v>0</v>
      </c>
      <c r="AB199" s="11" t="s">
        <v>705</v>
      </c>
      <c r="AC199" s="10" t="s">
        <v>193</v>
      </c>
    </row>
    <row r="200" spans="1:29" ht="30" outlineLevel="1" x14ac:dyDescent="0.25">
      <c r="A200" s="292" t="s">
        <v>669</v>
      </c>
      <c r="B200" s="295" t="s">
        <v>131</v>
      </c>
      <c r="C200" s="303" t="s">
        <v>246</v>
      </c>
      <c r="D200" s="293" t="s">
        <v>8</v>
      </c>
      <c r="E200" s="7" t="s">
        <v>8</v>
      </c>
      <c r="F200" s="51" t="s">
        <v>319</v>
      </c>
      <c r="G200" s="308">
        <v>8610.36</v>
      </c>
      <c r="H200" s="308">
        <v>5759.6</v>
      </c>
      <c r="I200" s="318">
        <v>358.16</v>
      </c>
      <c r="J200" s="120">
        <v>358.16</v>
      </c>
      <c r="K200" s="169">
        <v>375.1</v>
      </c>
      <c r="L200" s="169">
        <v>2117.5</v>
      </c>
      <c r="M200" s="20">
        <v>0</v>
      </c>
      <c r="N200" s="175">
        <v>2850.76</v>
      </c>
      <c r="O200" s="316">
        <v>0</v>
      </c>
      <c r="P200" s="312">
        <f>N200+O200</f>
        <v>2850.76</v>
      </c>
      <c r="Q200" s="3">
        <v>0</v>
      </c>
      <c r="R200" s="2">
        <v>0</v>
      </c>
      <c r="S200" s="310">
        <v>0</v>
      </c>
      <c r="T200" s="302">
        <v>0</v>
      </c>
      <c r="U200" s="150">
        <v>0</v>
      </c>
      <c r="V200" s="164">
        <v>0</v>
      </c>
      <c r="W200" s="172">
        <v>0</v>
      </c>
      <c r="X200" s="172">
        <v>0</v>
      </c>
      <c r="Y200" s="172">
        <v>0</v>
      </c>
      <c r="Z200" s="282">
        <v>0</v>
      </c>
      <c r="AA200" s="142">
        <v>0</v>
      </c>
      <c r="AB200" s="220" t="s">
        <v>193</v>
      </c>
      <c r="AC200" s="303" t="s">
        <v>20</v>
      </c>
    </row>
    <row r="201" spans="1:29" s="260" customFormat="1" ht="12.6" customHeight="1" outlineLevel="1" thickBot="1" x14ac:dyDescent="0.3">
      <c r="A201" s="21" t="s">
        <v>211</v>
      </c>
      <c r="B201" s="22" t="s">
        <v>211</v>
      </c>
      <c r="C201" s="174" t="s">
        <v>211</v>
      </c>
      <c r="D201" s="301" t="s">
        <v>211</v>
      </c>
      <c r="E201" s="301" t="s">
        <v>211</v>
      </c>
      <c r="F201" s="46" t="s">
        <v>211</v>
      </c>
      <c r="G201" s="153" t="s">
        <v>211</v>
      </c>
      <c r="H201" s="153" t="s">
        <v>211</v>
      </c>
      <c r="I201" s="379" t="s">
        <v>211</v>
      </c>
      <c r="J201" s="115" t="s">
        <v>211</v>
      </c>
      <c r="K201" s="90" t="s">
        <v>211</v>
      </c>
      <c r="L201" s="90" t="s">
        <v>211</v>
      </c>
      <c r="M201" s="81" t="s">
        <v>211</v>
      </c>
      <c r="N201" s="81" t="s">
        <v>211</v>
      </c>
      <c r="O201" s="81" t="s">
        <v>211</v>
      </c>
      <c r="P201" s="81" t="s">
        <v>211</v>
      </c>
      <c r="Q201" s="116" t="s">
        <v>211</v>
      </c>
      <c r="R201" s="50" t="s">
        <v>211</v>
      </c>
      <c r="S201" s="115" t="s">
        <v>211</v>
      </c>
      <c r="T201" s="90" t="s">
        <v>211</v>
      </c>
      <c r="U201" s="88" t="s">
        <v>211</v>
      </c>
      <c r="V201" s="115" t="s">
        <v>211</v>
      </c>
      <c r="W201" s="90" t="s">
        <v>211</v>
      </c>
      <c r="X201" s="90" t="s">
        <v>211</v>
      </c>
      <c r="Y201" s="90" t="s">
        <v>211</v>
      </c>
      <c r="Z201" s="93" t="s">
        <v>211</v>
      </c>
      <c r="AA201" s="81" t="s">
        <v>211</v>
      </c>
      <c r="AB201" s="81" t="s">
        <v>211</v>
      </c>
      <c r="AC201" s="151" t="s">
        <v>211</v>
      </c>
    </row>
    <row r="202" spans="1:29" ht="32.25" thickBot="1" x14ac:dyDescent="0.3">
      <c r="A202" s="69" t="s">
        <v>193</v>
      </c>
      <c r="B202" s="240" t="s">
        <v>193</v>
      </c>
      <c r="C202" s="10" t="s">
        <v>193</v>
      </c>
      <c r="D202" s="297" t="s">
        <v>193</v>
      </c>
      <c r="E202" s="297" t="s">
        <v>193</v>
      </c>
      <c r="F202" s="79" t="s">
        <v>216</v>
      </c>
      <c r="G202" s="307">
        <f>SUM(G200:G201)</f>
        <v>8610.36</v>
      </c>
      <c r="H202" s="307">
        <f>SUM(H200:H201)</f>
        <v>5759.6</v>
      </c>
      <c r="I202" s="307">
        <f>SUM(I200:I201)</f>
        <v>358.16</v>
      </c>
      <c r="J202" s="86">
        <f t="shared" ref="J202:AA202" si="19">SUM(J200:J201)</f>
        <v>358.16</v>
      </c>
      <c r="K202" s="87">
        <f t="shared" si="19"/>
        <v>375.1</v>
      </c>
      <c r="L202" s="87">
        <f t="shared" si="19"/>
        <v>2117.5</v>
      </c>
      <c r="M202" s="57">
        <f t="shared" si="19"/>
        <v>0</v>
      </c>
      <c r="N202" s="307">
        <f t="shared" si="19"/>
        <v>2850.76</v>
      </c>
      <c r="O202" s="307">
        <f t="shared" si="19"/>
        <v>0</v>
      </c>
      <c r="P202" s="307">
        <f t="shared" si="19"/>
        <v>2850.76</v>
      </c>
      <c r="Q202" s="128">
        <f t="shared" si="19"/>
        <v>0</v>
      </c>
      <c r="R202" s="307">
        <f t="shared" si="19"/>
        <v>0</v>
      </c>
      <c r="S202" s="86">
        <f t="shared" si="19"/>
        <v>0</v>
      </c>
      <c r="T202" s="87">
        <f t="shared" si="19"/>
        <v>0</v>
      </c>
      <c r="U202" s="170">
        <f t="shared" si="19"/>
        <v>0</v>
      </c>
      <c r="V202" s="86">
        <f t="shared" si="19"/>
        <v>0</v>
      </c>
      <c r="W202" s="87">
        <f t="shared" si="19"/>
        <v>0</v>
      </c>
      <c r="X202" s="87">
        <f t="shared" si="19"/>
        <v>0</v>
      </c>
      <c r="Y202" s="87">
        <f t="shared" si="19"/>
        <v>0</v>
      </c>
      <c r="Z202" s="87">
        <f t="shared" si="19"/>
        <v>0</v>
      </c>
      <c r="AA202" s="170">
        <f t="shared" si="19"/>
        <v>0</v>
      </c>
      <c r="AB202" s="11" t="s">
        <v>706</v>
      </c>
      <c r="AC202" s="10" t="s">
        <v>193</v>
      </c>
    </row>
    <row r="203" spans="1:29" ht="30" outlineLevel="1" x14ac:dyDescent="0.25">
      <c r="A203" s="869" t="s">
        <v>670</v>
      </c>
      <c r="B203" s="991" t="s">
        <v>133</v>
      </c>
      <c r="C203" s="24" t="s">
        <v>246</v>
      </c>
      <c r="D203" s="794" t="s">
        <v>134</v>
      </c>
      <c r="E203" s="794" t="s">
        <v>134</v>
      </c>
      <c r="F203" s="794" t="s">
        <v>135</v>
      </c>
      <c r="G203" s="862">
        <v>7900</v>
      </c>
      <c r="H203" s="862">
        <v>0</v>
      </c>
      <c r="I203" s="863">
        <v>0</v>
      </c>
      <c r="J203" s="558">
        <v>0</v>
      </c>
      <c r="K203" s="559">
        <v>3000</v>
      </c>
      <c r="L203" s="559">
        <v>0</v>
      </c>
      <c r="M203" s="560">
        <v>4900</v>
      </c>
      <c r="N203" s="175">
        <v>7900</v>
      </c>
      <c r="O203" s="316">
        <v>0</v>
      </c>
      <c r="P203" s="312">
        <f t="shared" ref="P203:P231" si="20">N203+O203</f>
        <v>7900</v>
      </c>
      <c r="Q203" s="866">
        <v>0</v>
      </c>
      <c r="R203" s="796">
        <v>0</v>
      </c>
      <c r="S203" s="797">
        <v>0</v>
      </c>
      <c r="T203" s="864">
        <v>0</v>
      </c>
      <c r="U203" s="866">
        <v>0</v>
      </c>
      <c r="V203" s="733">
        <v>0</v>
      </c>
      <c r="W203" s="764">
        <v>0</v>
      </c>
      <c r="X203" s="764">
        <v>0</v>
      </c>
      <c r="Y203" s="764">
        <v>0</v>
      </c>
      <c r="Z203" s="588">
        <v>0</v>
      </c>
      <c r="AA203" s="801">
        <v>0</v>
      </c>
      <c r="AB203" s="811" t="s">
        <v>193</v>
      </c>
      <c r="AC203" s="879" t="s">
        <v>14</v>
      </c>
    </row>
    <row r="204" spans="1:29" ht="25.5" outlineLevel="1" x14ac:dyDescent="0.25">
      <c r="A204" s="869" t="s">
        <v>671</v>
      </c>
      <c r="B204" s="991" t="s">
        <v>137</v>
      </c>
      <c r="C204" s="24" t="s">
        <v>245</v>
      </c>
      <c r="D204" s="992" t="s">
        <v>241</v>
      </c>
      <c r="E204" s="992" t="s">
        <v>241</v>
      </c>
      <c r="F204" s="992" t="s">
        <v>138</v>
      </c>
      <c r="G204" s="862">
        <v>14000</v>
      </c>
      <c r="H204" s="862">
        <v>0</v>
      </c>
      <c r="I204" s="863">
        <v>0</v>
      </c>
      <c r="J204" s="430">
        <v>0</v>
      </c>
      <c r="K204" s="431">
        <v>0</v>
      </c>
      <c r="L204" s="431">
        <v>0</v>
      </c>
      <c r="M204" s="429">
        <v>7000</v>
      </c>
      <c r="N204" s="175">
        <v>7000</v>
      </c>
      <c r="O204" s="316">
        <v>0</v>
      </c>
      <c r="P204" s="313">
        <f t="shared" si="20"/>
        <v>7000</v>
      </c>
      <c r="Q204" s="866">
        <v>7000</v>
      </c>
      <c r="R204" s="796">
        <v>0</v>
      </c>
      <c r="S204" s="797">
        <v>0</v>
      </c>
      <c r="T204" s="864">
        <v>0</v>
      </c>
      <c r="U204" s="866">
        <v>0</v>
      </c>
      <c r="V204" s="733">
        <v>0</v>
      </c>
      <c r="W204" s="764">
        <v>0</v>
      </c>
      <c r="X204" s="764">
        <v>0</v>
      </c>
      <c r="Y204" s="764">
        <v>0</v>
      </c>
      <c r="Z204" s="588">
        <v>0</v>
      </c>
      <c r="AA204" s="801">
        <v>0</v>
      </c>
      <c r="AB204" s="26" t="s">
        <v>193</v>
      </c>
      <c r="AC204" s="879" t="s">
        <v>14</v>
      </c>
    </row>
    <row r="205" spans="1:29" ht="30" outlineLevel="1" x14ac:dyDescent="0.25">
      <c r="A205" s="869" t="s">
        <v>672</v>
      </c>
      <c r="B205" s="991" t="s">
        <v>140</v>
      </c>
      <c r="C205" s="24" t="s">
        <v>245</v>
      </c>
      <c r="D205" s="992" t="s">
        <v>237</v>
      </c>
      <c r="E205" s="992" t="s">
        <v>237</v>
      </c>
      <c r="F205" s="993" t="s">
        <v>387</v>
      </c>
      <c r="G205" s="862">
        <v>2500</v>
      </c>
      <c r="H205" s="862">
        <v>2192.41275</v>
      </c>
      <c r="I205" s="863">
        <v>0</v>
      </c>
      <c r="J205" s="430">
        <v>0</v>
      </c>
      <c r="K205" s="431">
        <v>307.58724999999998</v>
      </c>
      <c r="L205" s="431">
        <v>0</v>
      </c>
      <c r="M205" s="429">
        <v>0</v>
      </c>
      <c r="N205" s="175">
        <v>307.58725000000004</v>
      </c>
      <c r="O205" s="316">
        <v>0</v>
      </c>
      <c r="P205" s="313">
        <f t="shared" si="20"/>
        <v>307.58725000000004</v>
      </c>
      <c r="Q205" s="866">
        <v>0</v>
      </c>
      <c r="R205" s="796">
        <v>0</v>
      </c>
      <c r="S205" s="797">
        <v>0</v>
      </c>
      <c r="T205" s="864">
        <v>0</v>
      </c>
      <c r="U205" s="866">
        <v>0</v>
      </c>
      <c r="V205" s="733">
        <v>0</v>
      </c>
      <c r="W205" s="764">
        <v>0</v>
      </c>
      <c r="X205" s="764">
        <v>0</v>
      </c>
      <c r="Y205" s="764">
        <v>0</v>
      </c>
      <c r="Z205" s="588">
        <v>0</v>
      </c>
      <c r="AA205" s="801">
        <v>0</v>
      </c>
      <c r="AB205" s="24" t="s">
        <v>193</v>
      </c>
      <c r="AC205" s="879" t="s">
        <v>20</v>
      </c>
    </row>
    <row r="206" spans="1:29" ht="30.75" outlineLevel="1" thickBot="1" x14ac:dyDescent="0.3">
      <c r="A206" s="994" t="s">
        <v>673</v>
      </c>
      <c r="B206" s="995" t="s">
        <v>183</v>
      </c>
      <c r="C206" s="490" t="s">
        <v>200</v>
      </c>
      <c r="D206" s="996" t="s">
        <v>136</v>
      </c>
      <c r="E206" s="997" t="s">
        <v>136</v>
      </c>
      <c r="F206" s="997" t="s">
        <v>540</v>
      </c>
      <c r="G206" s="884">
        <v>3500</v>
      </c>
      <c r="H206" s="885">
        <v>1725</v>
      </c>
      <c r="I206" s="886">
        <v>0</v>
      </c>
      <c r="J206" s="485">
        <v>0</v>
      </c>
      <c r="K206" s="486">
        <v>1775</v>
      </c>
      <c r="L206" s="486">
        <v>0</v>
      </c>
      <c r="M206" s="484">
        <v>0</v>
      </c>
      <c r="N206" s="144">
        <v>1775</v>
      </c>
      <c r="O206" s="206">
        <v>0</v>
      </c>
      <c r="P206" s="181">
        <f t="shared" si="20"/>
        <v>1775</v>
      </c>
      <c r="Q206" s="890">
        <v>0</v>
      </c>
      <c r="R206" s="891">
        <v>0</v>
      </c>
      <c r="S206" s="887">
        <v>0</v>
      </c>
      <c r="T206" s="888">
        <v>0</v>
      </c>
      <c r="U206" s="890">
        <v>0</v>
      </c>
      <c r="V206" s="892">
        <v>0</v>
      </c>
      <c r="W206" s="998">
        <v>0</v>
      </c>
      <c r="X206" s="998">
        <v>0</v>
      </c>
      <c r="Y206" s="756">
        <v>0</v>
      </c>
      <c r="Z206" s="758">
        <v>0</v>
      </c>
      <c r="AA206" s="895">
        <v>0</v>
      </c>
      <c r="AB206" s="233"/>
      <c r="AC206" s="30" t="s">
        <v>399</v>
      </c>
    </row>
    <row r="207" spans="1:29" ht="25.5" outlineLevel="1" x14ac:dyDescent="0.25">
      <c r="A207" s="859" t="s">
        <v>190</v>
      </c>
      <c r="B207" s="869" t="s">
        <v>197</v>
      </c>
      <c r="C207" s="26" t="s">
        <v>199</v>
      </c>
      <c r="D207" s="993" t="s">
        <v>242</v>
      </c>
      <c r="E207" s="993" t="s">
        <v>242</v>
      </c>
      <c r="F207" s="993" t="s">
        <v>388</v>
      </c>
      <c r="G207" s="873">
        <v>5000</v>
      </c>
      <c r="H207" s="862">
        <v>0</v>
      </c>
      <c r="I207" s="863">
        <v>0</v>
      </c>
      <c r="J207" s="446">
        <v>0</v>
      </c>
      <c r="K207" s="447">
        <v>0</v>
      </c>
      <c r="L207" s="447">
        <v>0</v>
      </c>
      <c r="M207" s="445">
        <v>5000</v>
      </c>
      <c r="N207" s="175">
        <v>5000</v>
      </c>
      <c r="O207" s="316">
        <v>0</v>
      </c>
      <c r="P207" s="313">
        <f t="shared" si="20"/>
        <v>5000</v>
      </c>
      <c r="Q207" s="589">
        <v>0</v>
      </c>
      <c r="R207" s="678">
        <v>0</v>
      </c>
      <c r="S207" s="740">
        <v>0</v>
      </c>
      <c r="T207" s="744">
        <v>0</v>
      </c>
      <c r="U207" s="585">
        <v>0</v>
      </c>
      <c r="V207" s="586">
        <v>0</v>
      </c>
      <c r="W207" s="739">
        <v>0</v>
      </c>
      <c r="X207" s="764">
        <v>0</v>
      </c>
      <c r="Y207" s="764">
        <v>0</v>
      </c>
      <c r="Z207" s="587">
        <v>0</v>
      </c>
      <c r="AA207" s="877">
        <v>0</v>
      </c>
      <c r="AB207" s="811" t="s">
        <v>193</v>
      </c>
      <c r="AC207" s="879" t="s">
        <v>14</v>
      </c>
    </row>
    <row r="208" spans="1:29" ht="26.25" outlineLevel="1" thickBot="1" x14ac:dyDescent="0.3">
      <c r="A208" s="994" t="s">
        <v>191</v>
      </c>
      <c r="B208" s="994" t="s">
        <v>197</v>
      </c>
      <c r="C208" s="30" t="s">
        <v>199</v>
      </c>
      <c r="D208" s="996" t="s">
        <v>240</v>
      </c>
      <c r="E208" s="996" t="s">
        <v>240</v>
      </c>
      <c r="F208" s="996" t="s">
        <v>186</v>
      </c>
      <c r="G208" s="885">
        <v>4421.5320000000002</v>
      </c>
      <c r="H208" s="885">
        <v>0</v>
      </c>
      <c r="I208" s="999">
        <v>0</v>
      </c>
      <c r="J208" s="467">
        <v>0</v>
      </c>
      <c r="K208" s="468">
        <v>0</v>
      </c>
      <c r="L208" s="468">
        <v>3500</v>
      </c>
      <c r="M208" s="469">
        <v>0</v>
      </c>
      <c r="N208" s="143">
        <v>3500</v>
      </c>
      <c r="O208" s="207">
        <v>0</v>
      </c>
      <c r="P208" s="181">
        <f t="shared" si="20"/>
        <v>3500</v>
      </c>
      <c r="Q208" s="753">
        <v>0</v>
      </c>
      <c r="R208" s="754">
        <v>0</v>
      </c>
      <c r="S208" s="1000">
        <v>0</v>
      </c>
      <c r="T208" s="1001">
        <v>0</v>
      </c>
      <c r="U208" s="1002">
        <v>921.53200000000004</v>
      </c>
      <c r="V208" s="755">
        <v>0</v>
      </c>
      <c r="W208" s="756">
        <v>0</v>
      </c>
      <c r="X208" s="756">
        <v>0</v>
      </c>
      <c r="Y208" s="756">
        <v>0</v>
      </c>
      <c r="Z208" s="757">
        <v>0</v>
      </c>
      <c r="AA208" s="1003">
        <v>0</v>
      </c>
      <c r="AB208" s="30" t="s">
        <v>193</v>
      </c>
      <c r="AC208" s="1004" t="s">
        <v>20</v>
      </c>
    </row>
    <row r="209" spans="1:29" ht="25.5" outlineLevel="1" x14ac:dyDescent="0.25">
      <c r="A209" s="859" t="s">
        <v>224</v>
      </c>
      <c r="B209" s="859" t="s">
        <v>197</v>
      </c>
      <c r="C209" s="24" t="s">
        <v>284</v>
      </c>
      <c r="D209" s="992" t="s">
        <v>139</v>
      </c>
      <c r="E209" s="992" t="s">
        <v>139</v>
      </c>
      <c r="F209" s="1005" t="s">
        <v>184</v>
      </c>
      <c r="G209" s="862">
        <v>2869</v>
      </c>
      <c r="H209" s="862">
        <v>0</v>
      </c>
      <c r="I209" s="863">
        <v>0</v>
      </c>
      <c r="J209" s="430">
        <v>0</v>
      </c>
      <c r="K209" s="431">
        <v>0</v>
      </c>
      <c r="L209" s="431">
        <v>0</v>
      </c>
      <c r="M209" s="429">
        <v>2869</v>
      </c>
      <c r="N209" s="198">
        <v>2869</v>
      </c>
      <c r="O209" s="316">
        <v>0</v>
      </c>
      <c r="P209" s="312">
        <f t="shared" si="20"/>
        <v>2869</v>
      </c>
      <c r="Q209" s="1006">
        <v>0</v>
      </c>
      <c r="R209" s="732">
        <v>0</v>
      </c>
      <c r="S209" s="797">
        <v>0</v>
      </c>
      <c r="T209" s="864">
        <v>0</v>
      </c>
      <c r="U209" s="866">
        <v>0</v>
      </c>
      <c r="V209" s="733">
        <v>0</v>
      </c>
      <c r="W209" s="764">
        <v>0</v>
      </c>
      <c r="X209" s="764">
        <v>0</v>
      </c>
      <c r="Y209" s="764">
        <v>0</v>
      </c>
      <c r="Z209" s="588">
        <v>0</v>
      </c>
      <c r="AA209" s="801">
        <v>0</v>
      </c>
      <c r="AB209" s="811" t="s">
        <v>193</v>
      </c>
      <c r="AC209" s="24" t="s">
        <v>14</v>
      </c>
    </row>
    <row r="210" spans="1:29" ht="25.5" outlineLevel="1" x14ac:dyDescent="0.25">
      <c r="A210" s="869" t="s">
        <v>225</v>
      </c>
      <c r="B210" s="859" t="s">
        <v>197</v>
      </c>
      <c r="C210" s="26" t="s">
        <v>284</v>
      </c>
      <c r="D210" s="993" t="s">
        <v>143</v>
      </c>
      <c r="E210" s="993" t="s">
        <v>143</v>
      </c>
      <c r="F210" s="1007" t="s">
        <v>226</v>
      </c>
      <c r="G210" s="873">
        <v>600</v>
      </c>
      <c r="H210" s="862">
        <v>0</v>
      </c>
      <c r="I210" s="863">
        <v>0</v>
      </c>
      <c r="J210" s="446">
        <v>0</v>
      </c>
      <c r="K210" s="447">
        <v>0</v>
      </c>
      <c r="L210" s="447">
        <v>0</v>
      </c>
      <c r="M210" s="445">
        <v>600</v>
      </c>
      <c r="N210" s="299">
        <v>600</v>
      </c>
      <c r="O210" s="316">
        <v>0</v>
      </c>
      <c r="P210" s="313">
        <f t="shared" si="20"/>
        <v>600</v>
      </c>
      <c r="Q210" s="679">
        <v>0</v>
      </c>
      <c r="R210" s="678">
        <v>0</v>
      </c>
      <c r="S210" s="740">
        <v>0</v>
      </c>
      <c r="T210" s="744">
        <v>0</v>
      </c>
      <c r="U210" s="585">
        <v>0</v>
      </c>
      <c r="V210" s="586">
        <v>0</v>
      </c>
      <c r="W210" s="739">
        <v>0</v>
      </c>
      <c r="X210" s="764">
        <v>0</v>
      </c>
      <c r="Y210" s="764">
        <v>0</v>
      </c>
      <c r="Z210" s="587">
        <v>0</v>
      </c>
      <c r="AA210" s="877">
        <v>0</v>
      </c>
      <c r="AB210" s="26" t="s">
        <v>193</v>
      </c>
      <c r="AC210" s="26" t="s">
        <v>14</v>
      </c>
    </row>
    <row r="211" spans="1:29" ht="25.5" outlineLevel="1" x14ac:dyDescent="0.25">
      <c r="A211" s="869" t="s">
        <v>227</v>
      </c>
      <c r="B211" s="859" t="s">
        <v>197</v>
      </c>
      <c r="C211" s="26" t="s">
        <v>284</v>
      </c>
      <c r="D211" s="993" t="s">
        <v>243</v>
      </c>
      <c r="E211" s="993" t="s">
        <v>243</v>
      </c>
      <c r="F211" s="1007" t="s">
        <v>228</v>
      </c>
      <c r="G211" s="873">
        <v>12000</v>
      </c>
      <c r="H211" s="862">
        <v>0</v>
      </c>
      <c r="I211" s="863">
        <v>0</v>
      </c>
      <c r="J211" s="446">
        <v>0</v>
      </c>
      <c r="K211" s="447">
        <v>0</v>
      </c>
      <c r="L211" s="447">
        <v>0</v>
      </c>
      <c r="M211" s="445">
        <v>0</v>
      </c>
      <c r="N211" s="299">
        <v>0</v>
      </c>
      <c r="O211" s="316">
        <v>0</v>
      </c>
      <c r="P211" s="313">
        <f t="shared" si="20"/>
        <v>0</v>
      </c>
      <c r="Q211" s="679">
        <v>12000</v>
      </c>
      <c r="R211" s="678">
        <v>0</v>
      </c>
      <c r="S211" s="740">
        <v>0</v>
      </c>
      <c r="T211" s="744">
        <v>0</v>
      </c>
      <c r="U211" s="585">
        <v>0</v>
      </c>
      <c r="V211" s="586">
        <v>0</v>
      </c>
      <c r="W211" s="739">
        <v>0</v>
      </c>
      <c r="X211" s="764">
        <v>0</v>
      </c>
      <c r="Y211" s="764">
        <v>0</v>
      </c>
      <c r="Z211" s="587">
        <v>0</v>
      </c>
      <c r="AA211" s="877">
        <v>0</v>
      </c>
      <c r="AB211" s="26" t="s">
        <v>193</v>
      </c>
      <c r="AC211" s="26" t="s">
        <v>14</v>
      </c>
    </row>
    <row r="212" spans="1:29" ht="25.5" outlineLevel="1" x14ac:dyDescent="0.25">
      <c r="A212" s="869" t="s">
        <v>229</v>
      </c>
      <c r="B212" s="859" t="s">
        <v>197</v>
      </c>
      <c r="C212" s="26" t="s">
        <v>284</v>
      </c>
      <c r="D212" s="993" t="s">
        <v>142</v>
      </c>
      <c r="E212" s="993" t="s">
        <v>142</v>
      </c>
      <c r="F212" s="1007" t="s">
        <v>230</v>
      </c>
      <c r="G212" s="873">
        <v>1000</v>
      </c>
      <c r="H212" s="862">
        <v>0</v>
      </c>
      <c r="I212" s="863">
        <v>0</v>
      </c>
      <c r="J212" s="446">
        <v>0</v>
      </c>
      <c r="K212" s="447">
        <v>0</v>
      </c>
      <c r="L212" s="447">
        <v>0</v>
      </c>
      <c r="M212" s="445">
        <v>1000</v>
      </c>
      <c r="N212" s="299">
        <v>1000</v>
      </c>
      <c r="O212" s="316">
        <v>0</v>
      </c>
      <c r="P212" s="313">
        <f t="shared" si="20"/>
        <v>1000</v>
      </c>
      <c r="Q212" s="679">
        <v>0</v>
      </c>
      <c r="R212" s="678">
        <v>0</v>
      </c>
      <c r="S212" s="740">
        <v>0</v>
      </c>
      <c r="T212" s="744">
        <v>0</v>
      </c>
      <c r="U212" s="585">
        <v>0</v>
      </c>
      <c r="V212" s="586">
        <v>0</v>
      </c>
      <c r="W212" s="739">
        <v>0</v>
      </c>
      <c r="X212" s="764">
        <v>0</v>
      </c>
      <c r="Y212" s="764">
        <v>0</v>
      </c>
      <c r="Z212" s="587">
        <v>0</v>
      </c>
      <c r="AA212" s="877">
        <v>0</v>
      </c>
      <c r="AB212" s="26" t="s">
        <v>193</v>
      </c>
      <c r="AC212" s="26" t="s">
        <v>14</v>
      </c>
    </row>
    <row r="213" spans="1:29" ht="25.5" outlineLevel="1" x14ac:dyDescent="0.25">
      <c r="A213" s="869" t="s">
        <v>231</v>
      </c>
      <c r="B213" s="859" t="s">
        <v>197</v>
      </c>
      <c r="C213" s="26" t="s">
        <v>284</v>
      </c>
      <c r="D213" s="993" t="s">
        <v>132</v>
      </c>
      <c r="E213" s="993" t="s">
        <v>132</v>
      </c>
      <c r="F213" s="456" t="s">
        <v>389</v>
      </c>
      <c r="G213" s="873">
        <v>10400</v>
      </c>
      <c r="H213" s="862">
        <v>0</v>
      </c>
      <c r="I213" s="863">
        <v>0</v>
      </c>
      <c r="J213" s="446">
        <v>0</v>
      </c>
      <c r="K213" s="447">
        <v>0</v>
      </c>
      <c r="L213" s="447">
        <v>5200</v>
      </c>
      <c r="M213" s="445">
        <v>5200</v>
      </c>
      <c r="N213" s="299">
        <v>10400</v>
      </c>
      <c r="O213" s="316">
        <v>0</v>
      </c>
      <c r="P213" s="313">
        <f t="shared" si="20"/>
        <v>10400</v>
      </c>
      <c r="Q213" s="679">
        <v>0</v>
      </c>
      <c r="R213" s="678">
        <v>0</v>
      </c>
      <c r="S213" s="740">
        <v>0</v>
      </c>
      <c r="T213" s="744">
        <v>0</v>
      </c>
      <c r="U213" s="585">
        <v>0</v>
      </c>
      <c r="V213" s="586">
        <v>0</v>
      </c>
      <c r="W213" s="739">
        <v>0</v>
      </c>
      <c r="X213" s="764">
        <v>0</v>
      </c>
      <c r="Y213" s="764">
        <v>0</v>
      </c>
      <c r="Z213" s="587">
        <v>0</v>
      </c>
      <c r="AA213" s="877">
        <v>0</v>
      </c>
      <c r="AB213" s="26" t="s">
        <v>193</v>
      </c>
      <c r="AC213" s="26" t="s">
        <v>14</v>
      </c>
    </row>
    <row r="214" spans="1:29" ht="30.75" outlineLevel="1" x14ac:dyDescent="0.25">
      <c r="A214" s="869" t="s">
        <v>232</v>
      </c>
      <c r="B214" s="859" t="s">
        <v>545</v>
      </c>
      <c r="C214" s="26" t="s">
        <v>284</v>
      </c>
      <c r="D214" s="993" t="s">
        <v>145</v>
      </c>
      <c r="E214" s="993" t="s">
        <v>145</v>
      </c>
      <c r="F214" s="1007" t="s">
        <v>471</v>
      </c>
      <c r="G214" s="873">
        <f>1300+1600</f>
        <v>2900</v>
      </c>
      <c r="H214" s="862">
        <v>2160.6111300000002</v>
      </c>
      <c r="I214" s="863">
        <v>0</v>
      </c>
      <c r="J214" s="446">
        <v>0</v>
      </c>
      <c r="K214" s="447">
        <v>739.38887</v>
      </c>
      <c r="L214" s="447">
        <v>0</v>
      </c>
      <c r="M214" s="445">
        <v>0</v>
      </c>
      <c r="N214" s="299">
        <v>739.38887</v>
      </c>
      <c r="O214" s="316">
        <v>0</v>
      </c>
      <c r="P214" s="313">
        <f t="shared" si="20"/>
        <v>739.38887</v>
      </c>
      <c r="Q214" s="679">
        <v>0</v>
      </c>
      <c r="R214" s="678">
        <v>0</v>
      </c>
      <c r="S214" s="740">
        <v>0</v>
      </c>
      <c r="T214" s="744">
        <v>0</v>
      </c>
      <c r="U214" s="585">
        <v>0</v>
      </c>
      <c r="V214" s="586">
        <v>0</v>
      </c>
      <c r="W214" s="739">
        <v>0</v>
      </c>
      <c r="X214" s="764">
        <v>0</v>
      </c>
      <c r="Y214" s="764">
        <v>0</v>
      </c>
      <c r="Z214" s="587">
        <v>0</v>
      </c>
      <c r="AA214" s="877">
        <v>0</v>
      </c>
      <c r="AB214" s="24" t="s">
        <v>782</v>
      </c>
      <c r="AC214" s="26" t="s">
        <v>20</v>
      </c>
    </row>
    <row r="215" spans="1:29" ht="25.5" outlineLevel="1" x14ac:dyDescent="0.25">
      <c r="A215" s="869" t="s">
        <v>233</v>
      </c>
      <c r="B215" s="859" t="s">
        <v>421</v>
      </c>
      <c r="C215" s="26" t="s">
        <v>284</v>
      </c>
      <c r="D215" s="993" t="s">
        <v>343</v>
      </c>
      <c r="E215" s="993" t="s">
        <v>343</v>
      </c>
      <c r="F215" s="1008" t="s">
        <v>344</v>
      </c>
      <c r="G215" s="873">
        <v>23000</v>
      </c>
      <c r="H215" s="862">
        <v>555.74</v>
      </c>
      <c r="I215" s="863">
        <v>0</v>
      </c>
      <c r="J215" s="446">
        <v>0</v>
      </c>
      <c r="K215" s="447">
        <v>500</v>
      </c>
      <c r="L215" s="447">
        <v>0</v>
      </c>
      <c r="M215" s="445">
        <v>4000</v>
      </c>
      <c r="N215" s="299">
        <v>4499.9999999999982</v>
      </c>
      <c r="O215" s="316">
        <v>0</v>
      </c>
      <c r="P215" s="313">
        <f t="shared" si="20"/>
        <v>4499.9999999999982</v>
      </c>
      <c r="Q215" s="679">
        <v>8598.5249999999996</v>
      </c>
      <c r="R215" s="678">
        <v>0</v>
      </c>
      <c r="S215" s="740">
        <v>0</v>
      </c>
      <c r="T215" s="744">
        <v>9345.7350000000006</v>
      </c>
      <c r="U215" s="585">
        <v>0</v>
      </c>
      <c r="V215" s="586">
        <v>0</v>
      </c>
      <c r="W215" s="739">
        <v>0</v>
      </c>
      <c r="X215" s="764">
        <v>0</v>
      </c>
      <c r="Y215" s="764">
        <v>0</v>
      </c>
      <c r="Z215" s="587">
        <v>0</v>
      </c>
      <c r="AA215" s="877">
        <v>0</v>
      </c>
      <c r="AB215" s="26" t="s">
        <v>841</v>
      </c>
      <c r="AC215" s="26" t="s">
        <v>14</v>
      </c>
    </row>
    <row r="216" spans="1:29" ht="25.5" outlineLevel="1" x14ac:dyDescent="0.25">
      <c r="A216" s="869" t="s">
        <v>234</v>
      </c>
      <c r="B216" s="859" t="s">
        <v>197</v>
      </c>
      <c r="C216" s="26" t="s">
        <v>284</v>
      </c>
      <c r="D216" s="993" t="s">
        <v>239</v>
      </c>
      <c r="E216" s="993" t="s">
        <v>239</v>
      </c>
      <c r="F216" s="456" t="s">
        <v>235</v>
      </c>
      <c r="G216" s="873">
        <v>840</v>
      </c>
      <c r="H216" s="862">
        <v>0</v>
      </c>
      <c r="I216" s="863">
        <v>0</v>
      </c>
      <c r="J216" s="446">
        <v>0</v>
      </c>
      <c r="K216" s="447">
        <v>0</v>
      </c>
      <c r="L216" s="447">
        <v>0</v>
      </c>
      <c r="M216" s="445">
        <v>840</v>
      </c>
      <c r="N216" s="299">
        <v>840</v>
      </c>
      <c r="O216" s="316">
        <v>0</v>
      </c>
      <c r="P216" s="313">
        <f t="shared" si="20"/>
        <v>840</v>
      </c>
      <c r="Q216" s="679">
        <v>0</v>
      </c>
      <c r="R216" s="678">
        <v>0</v>
      </c>
      <c r="S216" s="740">
        <v>0</v>
      </c>
      <c r="T216" s="744">
        <v>0</v>
      </c>
      <c r="U216" s="585">
        <v>0</v>
      </c>
      <c r="V216" s="586">
        <v>0</v>
      </c>
      <c r="W216" s="739">
        <v>0</v>
      </c>
      <c r="X216" s="764">
        <v>0</v>
      </c>
      <c r="Y216" s="764">
        <v>0</v>
      </c>
      <c r="Z216" s="587">
        <v>0</v>
      </c>
      <c r="AA216" s="877">
        <v>0</v>
      </c>
      <c r="AB216" s="26" t="s">
        <v>193</v>
      </c>
      <c r="AC216" s="26" t="s">
        <v>14</v>
      </c>
    </row>
    <row r="217" spans="1:29" s="1093" customFormat="1" ht="26.25" outlineLevel="1" thickBot="1" x14ac:dyDescent="0.3">
      <c r="A217" s="1072" t="s">
        <v>236</v>
      </c>
      <c r="B217" s="1073" t="s">
        <v>382</v>
      </c>
      <c r="C217" s="1074" t="s">
        <v>284</v>
      </c>
      <c r="D217" s="1075" t="s">
        <v>144</v>
      </c>
      <c r="E217" s="1075" t="s">
        <v>144</v>
      </c>
      <c r="F217" s="1076" t="s">
        <v>257</v>
      </c>
      <c r="G217" s="1111">
        <v>5696.0050300000003</v>
      </c>
      <c r="H217" s="1077">
        <v>3615.3130000000001</v>
      </c>
      <c r="I217" s="1098">
        <v>2080.6920300000002</v>
      </c>
      <c r="J217" s="1112">
        <v>2080.6920300000002</v>
      </c>
      <c r="K217" s="1078">
        <v>0</v>
      </c>
      <c r="L217" s="1078">
        <v>0</v>
      </c>
      <c r="M217" s="1079">
        <v>0</v>
      </c>
      <c r="N217" s="1080">
        <v>2184.6869999999999</v>
      </c>
      <c r="O217" s="1081">
        <v>-103.99497</v>
      </c>
      <c r="P217" s="1082">
        <f t="shared" si="20"/>
        <v>2080.6920299999997</v>
      </c>
      <c r="Q217" s="1083">
        <v>0</v>
      </c>
      <c r="R217" s="1084">
        <v>0</v>
      </c>
      <c r="S217" s="1085">
        <v>0</v>
      </c>
      <c r="T217" s="1086">
        <v>0</v>
      </c>
      <c r="U217" s="1087">
        <v>0</v>
      </c>
      <c r="V217" s="1088">
        <v>0</v>
      </c>
      <c r="W217" s="1089">
        <v>0</v>
      </c>
      <c r="X217" s="1090">
        <v>0</v>
      </c>
      <c r="Y217" s="1090">
        <v>0</v>
      </c>
      <c r="Z217" s="1091">
        <v>0</v>
      </c>
      <c r="AA217" s="1092">
        <v>0</v>
      </c>
      <c r="AB217" s="1113" t="s">
        <v>852</v>
      </c>
      <c r="AC217" s="1074" t="s">
        <v>210</v>
      </c>
    </row>
    <row r="218" spans="1:29" s="1093" customFormat="1" ht="30.75" outlineLevel="1" thickBot="1" x14ac:dyDescent="0.3">
      <c r="A218" s="1073" t="s">
        <v>390</v>
      </c>
      <c r="B218" s="1094" t="s">
        <v>679</v>
      </c>
      <c r="C218" s="1095" t="s">
        <v>420</v>
      </c>
      <c r="D218" s="1096" t="s">
        <v>238</v>
      </c>
      <c r="E218" s="1096" t="s">
        <v>238</v>
      </c>
      <c r="F218" s="1097" t="s">
        <v>455</v>
      </c>
      <c r="G218" s="1077">
        <f xml:space="preserve"> 4500 - 321.47966</f>
        <v>4178.52034</v>
      </c>
      <c r="H218" s="1077">
        <v>4178.52034</v>
      </c>
      <c r="I218" s="1098">
        <v>0</v>
      </c>
      <c r="J218" s="1114">
        <v>0</v>
      </c>
      <c r="K218" s="1099">
        <v>0</v>
      </c>
      <c r="L218" s="1099">
        <v>0</v>
      </c>
      <c r="M218" s="1100">
        <v>0</v>
      </c>
      <c r="N218" s="1101">
        <v>321.47965999999997</v>
      </c>
      <c r="O218" s="1081">
        <v>-321.47966000000002</v>
      </c>
      <c r="P218" s="1115">
        <f t="shared" si="20"/>
        <v>0</v>
      </c>
      <c r="Q218" s="1102">
        <v>0</v>
      </c>
      <c r="R218" s="1103">
        <v>0</v>
      </c>
      <c r="S218" s="1104">
        <v>0</v>
      </c>
      <c r="T218" s="1105">
        <v>0</v>
      </c>
      <c r="U218" s="1106">
        <v>0</v>
      </c>
      <c r="V218" s="1107">
        <v>0</v>
      </c>
      <c r="W218" s="1090">
        <v>0</v>
      </c>
      <c r="X218" s="1090">
        <v>0</v>
      </c>
      <c r="Y218" s="1090">
        <v>0</v>
      </c>
      <c r="Z218" s="1108">
        <v>0</v>
      </c>
      <c r="AA218" s="1109">
        <v>0</v>
      </c>
      <c r="AB218" s="1116" t="s">
        <v>847</v>
      </c>
      <c r="AC218" s="1110" t="s">
        <v>210</v>
      </c>
    </row>
    <row r="219" spans="1:29" s="138" customFormat="1" ht="30" outlineLevel="1" x14ac:dyDescent="0.25">
      <c r="A219" s="492" t="s">
        <v>439</v>
      </c>
      <c r="B219" s="793" t="s">
        <v>197</v>
      </c>
      <c r="C219" s="493" t="s">
        <v>456</v>
      </c>
      <c r="D219" s="495" t="s">
        <v>440</v>
      </c>
      <c r="E219" s="495" t="s">
        <v>440</v>
      </c>
      <c r="F219" s="1009" t="s">
        <v>441</v>
      </c>
      <c r="G219" s="1010">
        <v>55000</v>
      </c>
      <c r="H219" s="732">
        <v>0</v>
      </c>
      <c r="I219" s="1011">
        <v>0</v>
      </c>
      <c r="J219" s="430">
        <v>0</v>
      </c>
      <c r="K219" s="431">
        <v>0</v>
      </c>
      <c r="L219" s="431">
        <v>2000</v>
      </c>
      <c r="M219" s="429">
        <v>1000</v>
      </c>
      <c r="N219" s="175">
        <v>3000</v>
      </c>
      <c r="O219" s="316">
        <v>0</v>
      </c>
      <c r="P219" s="312">
        <f t="shared" si="20"/>
        <v>3000</v>
      </c>
      <c r="Q219" s="866">
        <v>20000</v>
      </c>
      <c r="R219" s="796">
        <v>32000</v>
      </c>
      <c r="S219" s="797">
        <v>0</v>
      </c>
      <c r="T219" s="864">
        <v>0</v>
      </c>
      <c r="U219" s="866">
        <v>0</v>
      </c>
      <c r="V219" s="733">
        <v>55000</v>
      </c>
      <c r="W219" s="764">
        <v>0</v>
      </c>
      <c r="X219" s="764">
        <v>0</v>
      </c>
      <c r="Y219" s="764">
        <v>3000</v>
      </c>
      <c r="Z219" s="588">
        <v>20000</v>
      </c>
      <c r="AA219" s="801">
        <v>32000</v>
      </c>
      <c r="AB219" s="1012" t="s">
        <v>752</v>
      </c>
      <c r="AC219" s="868" t="s">
        <v>14</v>
      </c>
    </row>
    <row r="220" spans="1:29" s="138" customFormat="1" ht="30" outlineLevel="1" x14ac:dyDescent="0.25">
      <c r="A220" s="492" t="s">
        <v>442</v>
      </c>
      <c r="B220" s="793" t="s">
        <v>197</v>
      </c>
      <c r="C220" s="493" t="s">
        <v>456</v>
      </c>
      <c r="D220" s="495" t="s">
        <v>345</v>
      </c>
      <c r="E220" s="495" t="s">
        <v>345</v>
      </c>
      <c r="F220" s="1009" t="s">
        <v>443</v>
      </c>
      <c r="G220" s="1010">
        <v>15000</v>
      </c>
      <c r="H220" s="732">
        <v>0</v>
      </c>
      <c r="I220" s="1011">
        <v>0</v>
      </c>
      <c r="J220" s="430">
        <v>0</v>
      </c>
      <c r="K220" s="431">
        <v>1000</v>
      </c>
      <c r="L220" s="431">
        <v>500</v>
      </c>
      <c r="M220" s="429">
        <v>0</v>
      </c>
      <c r="N220" s="175">
        <v>1500</v>
      </c>
      <c r="O220" s="316">
        <v>0</v>
      </c>
      <c r="P220" s="312">
        <f t="shared" si="20"/>
        <v>1500</v>
      </c>
      <c r="Q220" s="866">
        <v>10000</v>
      </c>
      <c r="R220" s="796">
        <v>3500</v>
      </c>
      <c r="S220" s="797">
        <v>0</v>
      </c>
      <c r="T220" s="864">
        <v>0</v>
      </c>
      <c r="U220" s="866">
        <v>0</v>
      </c>
      <c r="V220" s="733">
        <v>15000</v>
      </c>
      <c r="W220" s="764">
        <v>0</v>
      </c>
      <c r="X220" s="764">
        <v>0</v>
      </c>
      <c r="Y220" s="764">
        <v>1500</v>
      </c>
      <c r="Z220" s="588">
        <v>10000</v>
      </c>
      <c r="AA220" s="801">
        <v>3500</v>
      </c>
      <c r="AB220" s="1012" t="s">
        <v>783</v>
      </c>
      <c r="AC220" s="868" t="s">
        <v>14</v>
      </c>
    </row>
    <row r="221" spans="1:29" s="138" customFormat="1" ht="30" outlineLevel="1" x14ac:dyDescent="0.25">
      <c r="A221" s="492" t="s">
        <v>444</v>
      </c>
      <c r="B221" s="793" t="s">
        <v>197</v>
      </c>
      <c r="C221" s="493" t="s">
        <v>456</v>
      </c>
      <c r="D221" s="495" t="s">
        <v>134</v>
      </c>
      <c r="E221" s="495" t="s">
        <v>134</v>
      </c>
      <c r="F221" s="1009" t="s">
        <v>445</v>
      </c>
      <c r="G221" s="1010">
        <v>17000</v>
      </c>
      <c r="H221" s="732">
        <v>0</v>
      </c>
      <c r="I221" s="1011">
        <v>0</v>
      </c>
      <c r="J221" s="430">
        <v>0</v>
      </c>
      <c r="K221" s="431">
        <v>0</v>
      </c>
      <c r="L221" s="431">
        <v>1000</v>
      </c>
      <c r="M221" s="429">
        <v>1000</v>
      </c>
      <c r="N221" s="175">
        <v>2000</v>
      </c>
      <c r="O221" s="316">
        <v>0</v>
      </c>
      <c r="P221" s="312">
        <f t="shared" si="20"/>
        <v>2000</v>
      </c>
      <c r="Q221" s="866">
        <v>15000</v>
      </c>
      <c r="R221" s="796">
        <v>0</v>
      </c>
      <c r="S221" s="797">
        <v>0</v>
      </c>
      <c r="T221" s="864">
        <v>0</v>
      </c>
      <c r="U221" s="866">
        <v>0</v>
      </c>
      <c r="V221" s="733">
        <v>17000</v>
      </c>
      <c r="W221" s="764">
        <v>0</v>
      </c>
      <c r="X221" s="764">
        <v>0</v>
      </c>
      <c r="Y221" s="764">
        <v>2000</v>
      </c>
      <c r="Z221" s="588">
        <v>15000</v>
      </c>
      <c r="AA221" s="801">
        <v>0</v>
      </c>
      <c r="AB221" s="1012" t="s">
        <v>193</v>
      </c>
      <c r="AC221" s="868" t="s">
        <v>14</v>
      </c>
    </row>
    <row r="222" spans="1:29" s="138" customFormat="1" ht="30.75" outlineLevel="1" thickBot="1" x14ac:dyDescent="0.3">
      <c r="A222" s="461" t="s">
        <v>446</v>
      </c>
      <c r="B222" s="462" t="s">
        <v>197</v>
      </c>
      <c r="C222" s="882" t="s">
        <v>456</v>
      </c>
      <c r="D222" s="464" t="s">
        <v>8</v>
      </c>
      <c r="E222" s="464" t="s">
        <v>132</v>
      </c>
      <c r="F222" s="1014" t="s">
        <v>583</v>
      </c>
      <c r="G222" s="1015">
        <v>103000</v>
      </c>
      <c r="H222" s="1016">
        <v>0</v>
      </c>
      <c r="I222" s="1017">
        <v>0</v>
      </c>
      <c r="J222" s="467">
        <v>0</v>
      </c>
      <c r="K222" s="468">
        <v>0</v>
      </c>
      <c r="L222" s="468">
        <v>0</v>
      </c>
      <c r="M222" s="469">
        <v>10000</v>
      </c>
      <c r="N222" s="144">
        <v>10000</v>
      </c>
      <c r="O222" s="206">
        <v>0</v>
      </c>
      <c r="P222" s="181">
        <f t="shared" si="20"/>
        <v>10000</v>
      </c>
      <c r="Q222" s="1002">
        <v>40000</v>
      </c>
      <c r="R222" s="1018">
        <v>53000</v>
      </c>
      <c r="S222" s="1000">
        <v>0</v>
      </c>
      <c r="T222" s="1001">
        <v>0</v>
      </c>
      <c r="U222" s="1002">
        <v>0</v>
      </c>
      <c r="V222" s="755">
        <v>0</v>
      </c>
      <c r="W222" s="756">
        <v>0</v>
      </c>
      <c r="X222" s="998">
        <v>0</v>
      </c>
      <c r="Y222" s="998">
        <v>0</v>
      </c>
      <c r="Z222" s="757">
        <v>0</v>
      </c>
      <c r="AA222" s="1003">
        <v>0</v>
      </c>
      <c r="AB222" s="30" t="s">
        <v>784</v>
      </c>
      <c r="AC222" s="1004" t="s">
        <v>14</v>
      </c>
    </row>
    <row r="223" spans="1:29" s="266" customFormat="1" ht="25.5" outlineLevel="1" x14ac:dyDescent="0.2">
      <c r="A223" s="492" t="s">
        <v>489</v>
      </c>
      <c r="B223" s="492" t="s">
        <v>197</v>
      </c>
      <c r="C223" s="24" t="s">
        <v>508</v>
      </c>
      <c r="D223" s="992" t="s">
        <v>185</v>
      </c>
      <c r="E223" s="992" t="s">
        <v>185</v>
      </c>
      <c r="F223" s="1009" t="s">
        <v>490</v>
      </c>
      <c r="G223" s="1010">
        <v>5750</v>
      </c>
      <c r="H223" s="732">
        <v>0</v>
      </c>
      <c r="I223" s="1011">
        <v>0</v>
      </c>
      <c r="J223" s="432">
        <v>0</v>
      </c>
      <c r="K223" s="450">
        <v>0</v>
      </c>
      <c r="L223" s="450">
        <v>0</v>
      </c>
      <c r="M223" s="434">
        <v>5750</v>
      </c>
      <c r="N223" s="175">
        <v>5750</v>
      </c>
      <c r="O223" s="316">
        <v>0</v>
      </c>
      <c r="P223" s="312">
        <f t="shared" si="20"/>
        <v>5750</v>
      </c>
      <c r="Q223" s="1006">
        <v>0</v>
      </c>
      <c r="R223" s="732">
        <v>0</v>
      </c>
      <c r="S223" s="733">
        <v>0</v>
      </c>
      <c r="T223" s="764">
        <v>0</v>
      </c>
      <c r="U223" s="734">
        <v>0</v>
      </c>
      <c r="V223" s="733">
        <v>0</v>
      </c>
      <c r="W223" s="764">
        <v>0</v>
      </c>
      <c r="X223" s="764">
        <v>0</v>
      </c>
      <c r="Y223" s="764">
        <v>0</v>
      </c>
      <c r="Z223" s="588">
        <v>0</v>
      </c>
      <c r="AA223" s="801">
        <v>0</v>
      </c>
      <c r="AB223" s="1012" t="s">
        <v>193</v>
      </c>
      <c r="AC223" s="868" t="s">
        <v>14</v>
      </c>
    </row>
    <row r="224" spans="1:29" s="266" customFormat="1" ht="30.75" outlineLevel="1" thickBot="1" x14ac:dyDescent="0.25">
      <c r="A224" s="1117" t="s">
        <v>487</v>
      </c>
      <c r="B224" s="1117" t="s">
        <v>197</v>
      </c>
      <c r="C224" s="1118" t="s">
        <v>508</v>
      </c>
      <c r="D224" s="1119" t="s">
        <v>157</v>
      </c>
      <c r="E224" s="1119" t="s">
        <v>157</v>
      </c>
      <c r="F224" s="1120" t="s">
        <v>488</v>
      </c>
      <c r="G224" s="1121">
        <v>0</v>
      </c>
      <c r="H224" s="1122">
        <v>0</v>
      </c>
      <c r="I224" s="1123">
        <v>0</v>
      </c>
      <c r="J224" s="1124">
        <v>0</v>
      </c>
      <c r="K224" s="1125">
        <v>0</v>
      </c>
      <c r="L224" s="1125">
        <v>0</v>
      </c>
      <c r="M224" s="1126">
        <v>0</v>
      </c>
      <c r="N224" s="1127">
        <v>4273</v>
      </c>
      <c r="O224" s="1128">
        <v>-4273</v>
      </c>
      <c r="P224" s="1129">
        <f t="shared" si="20"/>
        <v>0</v>
      </c>
      <c r="Q224" s="1130">
        <v>0</v>
      </c>
      <c r="R224" s="1122">
        <v>0</v>
      </c>
      <c r="S224" s="1131">
        <v>0</v>
      </c>
      <c r="T224" s="1132">
        <v>0</v>
      </c>
      <c r="U224" s="1133">
        <v>0</v>
      </c>
      <c r="V224" s="1131">
        <v>0</v>
      </c>
      <c r="W224" s="1132">
        <v>0</v>
      </c>
      <c r="X224" s="1134">
        <v>0</v>
      </c>
      <c r="Y224" s="1134">
        <v>0</v>
      </c>
      <c r="Z224" s="1135">
        <v>0</v>
      </c>
      <c r="AA224" s="1136">
        <v>0</v>
      </c>
      <c r="AB224" s="1137" t="s">
        <v>848</v>
      </c>
      <c r="AC224" s="1138" t="s">
        <v>202</v>
      </c>
    </row>
    <row r="225" spans="1:29" s="266" customFormat="1" ht="25.5" outlineLevel="1" x14ac:dyDescent="0.2">
      <c r="A225" s="453" t="s">
        <v>509</v>
      </c>
      <c r="B225" s="453" t="s">
        <v>689</v>
      </c>
      <c r="C225" s="814" t="s">
        <v>548</v>
      </c>
      <c r="D225" s="495" t="s">
        <v>141</v>
      </c>
      <c r="E225" s="495" t="s">
        <v>141</v>
      </c>
      <c r="F225" s="1019" t="s">
        <v>510</v>
      </c>
      <c r="G225" s="1020">
        <v>5700</v>
      </c>
      <c r="H225" s="1021">
        <v>2246.2950000000001</v>
      </c>
      <c r="I225" s="1022">
        <v>0</v>
      </c>
      <c r="J225" s="1023">
        <v>1453.7049999999999</v>
      </c>
      <c r="K225" s="1024">
        <v>2000</v>
      </c>
      <c r="L225" s="1024">
        <v>0</v>
      </c>
      <c r="M225" s="1025">
        <v>0</v>
      </c>
      <c r="N225" s="1026">
        <v>3453.7049999999999</v>
      </c>
      <c r="O225" s="316">
        <v>0</v>
      </c>
      <c r="P225" s="360">
        <f t="shared" si="20"/>
        <v>3453.7049999999999</v>
      </c>
      <c r="Q225" s="1027">
        <v>0</v>
      </c>
      <c r="R225" s="1021">
        <v>0</v>
      </c>
      <c r="S225" s="1028">
        <v>0</v>
      </c>
      <c r="T225" s="1029">
        <v>0</v>
      </c>
      <c r="U225" s="296">
        <v>0</v>
      </c>
      <c r="V225" s="733">
        <v>0</v>
      </c>
      <c r="W225" s="1029">
        <v>0</v>
      </c>
      <c r="X225" s="1029">
        <v>0</v>
      </c>
      <c r="Y225" s="764">
        <v>0</v>
      </c>
      <c r="Z225" s="894">
        <v>0</v>
      </c>
      <c r="AA225" s="1030">
        <v>0</v>
      </c>
      <c r="AB225" s="1031" t="s">
        <v>193</v>
      </c>
      <c r="AC225" s="868" t="s">
        <v>20</v>
      </c>
    </row>
    <row r="226" spans="1:29" s="266" customFormat="1" ht="25.5" outlineLevel="1" x14ac:dyDescent="0.2">
      <c r="A226" s="458" t="s">
        <v>511</v>
      </c>
      <c r="B226" s="458" t="s">
        <v>787</v>
      </c>
      <c r="C226" s="566" t="s">
        <v>548</v>
      </c>
      <c r="D226" s="993" t="s">
        <v>243</v>
      </c>
      <c r="E226" s="993" t="s">
        <v>243</v>
      </c>
      <c r="F226" s="1033" t="s">
        <v>512</v>
      </c>
      <c r="G226" s="1034">
        <v>4000</v>
      </c>
      <c r="H226" s="1035">
        <v>0</v>
      </c>
      <c r="I226" s="1036">
        <v>72.45</v>
      </c>
      <c r="J226" s="577">
        <v>522.45000000000005</v>
      </c>
      <c r="K226" s="1037">
        <v>1000</v>
      </c>
      <c r="L226" s="1037">
        <v>777.55</v>
      </c>
      <c r="M226" s="1038">
        <v>1700</v>
      </c>
      <c r="N226" s="217">
        <v>4000</v>
      </c>
      <c r="O226" s="219">
        <v>0</v>
      </c>
      <c r="P226" s="216">
        <f t="shared" si="20"/>
        <v>4000</v>
      </c>
      <c r="Q226" s="1039">
        <v>0</v>
      </c>
      <c r="R226" s="1035">
        <v>0</v>
      </c>
      <c r="S226" s="1040">
        <v>0</v>
      </c>
      <c r="T226" s="1041">
        <v>0</v>
      </c>
      <c r="U226" s="1042">
        <v>0</v>
      </c>
      <c r="V226" s="586">
        <v>0</v>
      </c>
      <c r="W226" s="1041">
        <v>0</v>
      </c>
      <c r="X226" s="1041">
        <v>0</v>
      </c>
      <c r="Y226" s="739">
        <v>0</v>
      </c>
      <c r="Z226" s="1043">
        <v>0</v>
      </c>
      <c r="AA226" s="1044">
        <v>0</v>
      </c>
      <c r="AB226" s="1045" t="s">
        <v>193</v>
      </c>
      <c r="AC226" s="1046" t="s">
        <v>20</v>
      </c>
    </row>
    <row r="227" spans="1:29" s="266" customFormat="1" ht="25.5" outlineLevel="1" x14ac:dyDescent="0.2">
      <c r="A227" s="458" t="s">
        <v>513</v>
      </c>
      <c r="B227" s="458" t="s">
        <v>197</v>
      </c>
      <c r="C227" s="566" t="s">
        <v>548</v>
      </c>
      <c r="D227" s="993" t="s">
        <v>243</v>
      </c>
      <c r="E227" s="993" t="s">
        <v>243</v>
      </c>
      <c r="F227" s="1033" t="s">
        <v>514</v>
      </c>
      <c r="G227" s="1034">
        <v>3000</v>
      </c>
      <c r="H227" s="1035">
        <v>0</v>
      </c>
      <c r="I227" s="1036">
        <v>0</v>
      </c>
      <c r="J227" s="577">
        <v>0</v>
      </c>
      <c r="K227" s="1037">
        <v>0</v>
      </c>
      <c r="L227" s="1037">
        <v>0</v>
      </c>
      <c r="M227" s="1038">
        <v>3000</v>
      </c>
      <c r="N227" s="217">
        <v>3000</v>
      </c>
      <c r="O227" s="219">
        <v>0</v>
      </c>
      <c r="P227" s="216">
        <f t="shared" si="20"/>
        <v>3000</v>
      </c>
      <c r="Q227" s="1039">
        <v>0</v>
      </c>
      <c r="R227" s="1035">
        <v>0</v>
      </c>
      <c r="S227" s="1040">
        <v>0</v>
      </c>
      <c r="T227" s="1041">
        <v>0</v>
      </c>
      <c r="U227" s="1042">
        <v>0</v>
      </c>
      <c r="V227" s="586">
        <v>0</v>
      </c>
      <c r="W227" s="1041">
        <v>0</v>
      </c>
      <c r="X227" s="739">
        <v>0</v>
      </c>
      <c r="Y227" s="739">
        <v>0</v>
      </c>
      <c r="Z227" s="1043">
        <v>0</v>
      </c>
      <c r="AA227" s="1044">
        <v>0</v>
      </c>
      <c r="AB227" s="290" t="s">
        <v>193</v>
      </c>
      <c r="AC227" s="1046" t="s">
        <v>14</v>
      </c>
    </row>
    <row r="228" spans="1:29" s="266" customFormat="1" ht="26.25" outlineLevel="1" thickBot="1" x14ac:dyDescent="0.25">
      <c r="A228" s="461" t="s">
        <v>515</v>
      </c>
      <c r="B228" s="461" t="s">
        <v>197</v>
      </c>
      <c r="C228" s="30" t="s">
        <v>548</v>
      </c>
      <c r="D228" s="996" t="s">
        <v>243</v>
      </c>
      <c r="E228" s="996" t="s">
        <v>243</v>
      </c>
      <c r="F228" s="1014" t="s">
        <v>516</v>
      </c>
      <c r="G228" s="1015">
        <v>1000</v>
      </c>
      <c r="H228" s="754">
        <v>0</v>
      </c>
      <c r="I228" s="1047">
        <v>0</v>
      </c>
      <c r="J228" s="472">
        <v>0</v>
      </c>
      <c r="K228" s="473">
        <v>0</v>
      </c>
      <c r="L228" s="473">
        <v>0</v>
      </c>
      <c r="M228" s="476">
        <v>1000</v>
      </c>
      <c r="N228" s="328">
        <v>1000</v>
      </c>
      <c r="O228" s="329">
        <v>0</v>
      </c>
      <c r="P228" s="181">
        <f t="shared" si="20"/>
        <v>1000</v>
      </c>
      <c r="Q228" s="1048">
        <v>0</v>
      </c>
      <c r="R228" s="754">
        <v>0</v>
      </c>
      <c r="S228" s="755">
        <v>0</v>
      </c>
      <c r="T228" s="756">
        <v>0</v>
      </c>
      <c r="U228" s="1003">
        <v>0</v>
      </c>
      <c r="V228" s="755">
        <v>0</v>
      </c>
      <c r="W228" s="756">
        <v>0</v>
      </c>
      <c r="X228" s="756">
        <v>0</v>
      </c>
      <c r="Y228" s="756">
        <v>0</v>
      </c>
      <c r="Z228" s="757">
        <v>0</v>
      </c>
      <c r="AA228" s="1003">
        <v>0</v>
      </c>
      <c r="AB228" s="1049" t="s">
        <v>193</v>
      </c>
      <c r="AC228" s="1004" t="s">
        <v>14</v>
      </c>
    </row>
    <row r="229" spans="1:29" s="266" customFormat="1" ht="45.75" outlineLevel="1" thickBot="1" x14ac:dyDescent="0.25">
      <c r="A229" s="518" t="s">
        <v>753</v>
      </c>
      <c r="B229" s="518" t="s">
        <v>197</v>
      </c>
      <c r="C229" s="520" t="s">
        <v>857</v>
      </c>
      <c r="D229" s="1051" t="s">
        <v>8</v>
      </c>
      <c r="E229" s="1051" t="s">
        <v>132</v>
      </c>
      <c r="F229" s="1052" t="s">
        <v>754</v>
      </c>
      <c r="G229" s="1053">
        <v>200000</v>
      </c>
      <c r="H229" s="1054">
        <v>0</v>
      </c>
      <c r="I229" s="1055">
        <v>0</v>
      </c>
      <c r="J229" s="527">
        <v>0</v>
      </c>
      <c r="K229" s="528">
        <v>0</v>
      </c>
      <c r="L229" s="528">
        <v>0</v>
      </c>
      <c r="M229" s="1056">
        <v>5000</v>
      </c>
      <c r="N229" s="145">
        <v>5000</v>
      </c>
      <c r="O229" s="208">
        <v>0</v>
      </c>
      <c r="P229" s="182">
        <f t="shared" si="20"/>
        <v>5000</v>
      </c>
      <c r="Q229" s="1057">
        <v>89250</v>
      </c>
      <c r="R229" s="1058">
        <v>105750</v>
      </c>
      <c r="S229" s="1059">
        <v>0</v>
      </c>
      <c r="T229" s="1060">
        <v>0</v>
      </c>
      <c r="U229" s="1057">
        <v>0</v>
      </c>
      <c r="V229" s="1061">
        <v>168045</v>
      </c>
      <c r="W229" s="1062">
        <v>0</v>
      </c>
      <c r="X229" s="1062">
        <v>0</v>
      </c>
      <c r="Y229" s="1062">
        <v>5000</v>
      </c>
      <c r="Z229" s="1063">
        <v>81522.5</v>
      </c>
      <c r="AA229" s="1064">
        <v>81522.5</v>
      </c>
      <c r="AB229" s="520" t="s">
        <v>849</v>
      </c>
      <c r="AC229" s="1065" t="s">
        <v>14</v>
      </c>
    </row>
    <row r="230" spans="1:29" s="266" customFormat="1" outlineLevel="1" x14ac:dyDescent="0.2">
      <c r="A230" s="945" t="s">
        <v>842</v>
      </c>
      <c r="B230" s="945" t="s">
        <v>197</v>
      </c>
      <c r="C230" s="42" t="s">
        <v>193</v>
      </c>
      <c r="D230" s="1066" t="s">
        <v>343</v>
      </c>
      <c r="E230" s="1066" t="s">
        <v>343</v>
      </c>
      <c r="F230" s="1067" t="s">
        <v>843</v>
      </c>
      <c r="G230" s="1068">
        <v>3506</v>
      </c>
      <c r="H230" s="1069">
        <v>0</v>
      </c>
      <c r="I230" s="1070"/>
      <c r="J230" s="952">
        <v>0</v>
      </c>
      <c r="K230" s="1071">
        <v>0</v>
      </c>
      <c r="L230" s="1071">
        <v>0</v>
      </c>
      <c r="M230" s="949">
        <v>3506</v>
      </c>
      <c r="N230" s="949">
        <v>0</v>
      </c>
      <c r="O230" s="1139">
        <v>3506</v>
      </c>
      <c r="P230" s="1139">
        <f t="shared" si="20"/>
        <v>3506</v>
      </c>
      <c r="Q230" s="63">
        <v>0</v>
      </c>
      <c r="R230" s="939">
        <v>0</v>
      </c>
      <c r="S230" s="935">
        <v>0</v>
      </c>
      <c r="T230" s="106">
        <v>0</v>
      </c>
      <c r="U230" s="63">
        <v>0</v>
      </c>
      <c r="V230" s="940">
        <v>0</v>
      </c>
      <c r="W230" s="990">
        <v>0</v>
      </c>
      <c r="X230" s="990"/>
      <c r="Y230" s="990">
        <v>0</v>
      </c>
      <c r="Z230" s="943">
        <v>0</v>
      </c>
      <c r="AA230" s="936">
        <v>0</v>
      </c>
      <c r="AB230" s="42" t="s">
        <v>850</v>
      </c>
      <c r="AC230" s="944" t="s">
        <v>14</v>
      </c>
    </row>
    <row r="231" spans="1:29" s="266" customFormat="1" ht="30" outlineLevel="1" x14ac:dyDescent="0.2">
      <c r="A231" s="945" t="s">
        <v>844</v>
      </c>
      <c r="B231" s="945" t="s">
        <v>197</v>
      </c>
      <c r="C231" s="42" t="s">
        <v>193</v>
      </c>
      <c r="D231" s="1066" t="s">
        <v>845</v>
      </c>
      <c r="E231" s="1066" t="s">
        <v>845</v>
      </c>
      <c r="F231" s="1067" t="s">
        <v>846</v>
      </c>
      <c r="G231" s="1068">
        <v>966.79</v>
      </c>
      <c r="H231" s="1069">
        <v>0</v>
      </c>
      <c r="I231" s="940"/>
      <c r="J231" s="952">
        <v>0</v>
      </c>
      <c r="K231" s="1071">
        <v>766.79</v>
      </c>
      <c r="L231" s="1071">
        <v>0</v>
      </c>
      <c r="M231" s="949">
        <v>0</v>
      </c>
      <c r="N231" s="135">
        <v>0</v>
      </c>
      <c r="O231" s="1139">
        <v>766.79</v>
      </c>
      <c r="P231" s="1139">
        <f t="shared" si="20"/>
        <v>766.79</v>
      </c>
      <c r="Q231" s="63">
        <v>0</v>
      </c>
      <c r="R231" s="939">
        <v>0</v>
      </c>
      <c r="S231" s="935">
        <v>0</v>
      </c>
      <c r="T231" s="106">
        <v>0</v>
      </c>
      <c r="U231" s="63">
        <v>200</v>
      </c>
      <c r="V231" s="940">
        <v>0</v>
      </c>
      <c r="W231" s="990">
        <v>0</v>
      </c>
      <c r="X231" s="990"/>
      <c r="Y231" s="990">
        <v>0</v>
      </c>
      <c r="Z231" s="943">
        <v>0</v>
      </c>
      <c r="AA231" s="936">
        <v>0</v>
      </c>
      <c r="AB231" s="42" t="s">
        <v>851</v>
      </c>
      <c r="AC231" s="944" t="s">
        <v>10</v>
      </c>
    </row>
    <row r="232" spans="1:29" s="267" customFormat="1" ht="12.6" customHeight="1" outlineLevel="1" thickBot="1" x14ac:dyDescent="0.3">
      <c r="A232" s="15" t="s">
        <v>211</v>
      </c>
      <c r="B232" s="13" t="s">
        <v>211</v>
      </c>
      <c r="C232" s="168" t="s">
        <v>211</v>
      </c>
      <c r="D232" s="200" t="s">
        <v>211</v>
      </c>
      <c r="E232" s="200" t="s">
        <v>211</v>
      </c>
      <c r="F232" s="225" t="s">
        <v>211</v>
      </c>
      <c r="G232" s="221" t="s">
        <v>211</v>
      </c>
      <c r="H232" s="221" t="s">
        <v>211</v>
      </c>
      <c r="I232" s="224" t="s">
        <v>211</v>
      </c>
      <c r="J232" s="121" t="s">
        <v>211</v>
      </c>
      <c r="K232" s="89" t="s">
        <v>211</v>
      </c>
      <c r="L232" s="89" t="s">
        <v>211</v>
      </c>
      <c r="M232" s="171" t="s">
        <v>211</v>
      </c>
      <c r="N232" s="171" t="s">
        <v>211</v>
      </c>
      <c r="O232" s="171" t="s">
        <v>211</v>
      </c>
      <c r="P232" s="171" t="s">
        <v>211</v>
      </c>
      <c r="Q232" s="223" t="s">
        <v>211</v>
      </c>
      <c r="R232" s="221" t="s">
        <v>211</v>
      </c>
      <c r="S232" s="224" t="s">
        <v>211</v>
      </c>
      <c r="T232" s="226" t="s">
        <v>211</v>
      </c>
      <c r="U232" s="222" t="s">
        <v>211</v>
      </c>
      <c r="V232" s="224" t="s">
        <v>211</v>
      </c>
      <c r="W232" s="226" t="s">
        <v>211</v>
      </c>
      <c r="X232" s="226" t="s">
        <v>211</v>
      </c>
      <c r="Y232" s="232" t="s">
        <v>211</v>
      </c>
      <c r="Z232" s="232" t="s">
        <v>211</v>
      </c>
      <c r="AA232" s="227" t="s">
        <v>211</v>
      </c>
      <c r="AB232" s="381" t="s">
        <v>211</v>
      </c>
      <c r="AC232" s="228" t="s">
        <v>211</v>
      </c>
    </row>
    <row r="233" spans="1:29" ht="26.25" thickBot="1" x14ac:dyDescent="0.3">
      <c r="A233" s="201" t="s">
        <v>193</v>
      </c>
      <c r="B233" s="241" t="s">
        <v>193</v>
      </c>
      <c r="C233" s="340" t="s">
        <v>193</v>
      </c>
      <c r="D233" s="202" t="s">
        <v>193</v>
      </c>
      <c r="E233" s="202" t="s">
        <v>193</v>
      </c>
      <c r="F233" s="203" t="s">
        <v>215</v>
      </c>
      <c r="G233" s="141">
        <f t="shared" ref="G233:AA233" si="21">SUM(G203:G232)</f>
        <v>514727.84736999997</v>
      </c>
      <c r="H233" s="141">
        <f t="shared" si="21"/>
        <v>16673.892220000002</v>
      </c>
      <c r="I233" s="141">
        <f t="shared" si="21"/>
        <v>2153.14203</v>
      </c>
      <c r="J233" s="86">
        <f t="shared" si="21"/>
        <v>4056.8470299999999</v>
      </c>
      <c r="K233" s="87">
        <f t="shared" si="21"/>
        <v>11088.76612</v>
      </c>
      <c r="L233" s="87">
        <f t="shared" si="21"/>
        <v>12977.55</v>
      </c>
      <c r="M233" s="57">
        <f t="shared" si="21"/>
        <v>63365</v>
      </c>
      <c r="N233" s="307">
        <f t="shared" si="21"/>
        <v>91913.847779999996</v>
      </c>
      <c r="O233" s="307">
        <f t="shared" si="21"/>
        <v>-425.68462999999974</v>
      </c>
      <c r="P233" s="307">
        <f t="shared" si="21"/>
        <v>91488.163149999993</v>
      </c>
      <c r="Q233" s="128">
        <f t="shared" si="21"/>
        <v>201848.52499999999</v>
      </c>
      <c r="R233" s="141">
        <f t="shared" si="21"/>
        <v>194250</v>
      </c>
      <c r="S233" s="332">
        <f t="shared" si="21"/>
        <v>0</v>
      </c>
      <c r="T233" s="333">
        <f t="shared" si="21"/>
        <v>9345.7350000000006</v>
      </c>
      <c r="U233" s="331">
        <f t="shared" si="21"/>
        <v>1121.5320000000002</v>
      </c>
      <c r="V233" s="86">
        <f t="shared" si="21"/>
        <v>255045</v>
      </c>
      <c r="W233" s="87">
        <f t="shared" si="21"/>
        <v>0</v>
      </c>
      <c r="X233" s="87">
        <f t="shared" si="21"/>
        <v>0</v>
      </c>
      <c r="Y233" s="87">
        <f t="shared" si="21"/>
        <v>11500</v>
      </c>
      <c r="Z233" s="87">
        <f t="shared" si="21"/>
        <v>126522.5</v>
      </c>
      <c r="AA233" s="331">
        <f t="shared" si="21"/>
        <v>117022.5</v>
      </c>
      <c r="AB233" s="342" t="s">
        <v>707</v>
      </c>
      <c r="AC233" s="340" t="s">
        <v>193</v>
      </c>
    </row>
    <row r="234" spans="1:29" s="269" customFormat="1" ht="26.25" outlineLevel="1" thickBot="1" x14ac:dyDescent="0.3">
      <c r="A234" s="518" t="s">
        <v>674</v>
      </c>
      <c r="B234" s="519" t="s">
        <v>146</v>
      </c>
      <c r="C234" s="520" t="s">
        <v>198</v>
      </c>
      <c r="D234" s="521" t="s">
        <v>8</v>
      </c>
      <c r="E234" s="521" t="s">
        <v>8</v>
      </c>
      <c r="F234" s="522" t="s">
        <v>147</v>
      </c>
      <c r="G234" s="523">
        <v>31100</v>
      </c>
      <c r="H234" s="523">
        <v>4655.6922799999993</v>
      </c>
      <c r="I234" s="524">
        <v>0</v>
      </c>
      <c r="J234" s="481">
        <v>0</v>
      </c>
      <c r="K234" s="482">
        <v>3000</v>
      </c>
      <c r="L234" s="482">
        <v>3000</v>
      </c>
      <c r="M234" s="483">
        <v>5736.3077199999998</v>
      </c>
      <c r="N234" s="199">
        <v>11736.307720000001</v>
      </c>
      <c r="O234" s="208">
        <v>0</v>
      </c>
      <c r="P234" s="182">
        <f>N234+O234</f>
        <v>11736.307720000001</v>
      </c>
      <c r="Q234" s="525">
        <v>10000</v>
      </c>
      <c r="R234" s="525">
        <v>4708</v>
      </c>
      <c r="S234" s="481">
        <v>0</v>
      </c>
      <c r="T234" s="482">
        <v>0</v>
      </c>
      <c r="U234" s="526">
        <v>0</v>
      </c>
      <c r="V234" s="527">
        <v>0</v>
      </c>
      <c r="W234" s="528">
        <v>0</v>
      </c>
      <c r="X234" s="528">
        <v>0</v>
      </c>
      <c r="Y234" s="528">
        <v>0</v>
      </c>
      <c r="Z234" s="528">
        <v>0</v>
      </c>
      <c r="AA234" s="529">
        <v>0</v>
      </c>
      <c r="AB234" s="530" t="s">
        <v>193</v>
      </c>
      <c r="AC234" s="520" t="s">
        <v>10</v>
      </c>
    </row>
    <row r="235" spans="1:29" ht="45" outlineLevel="1" x14ac:dyDescent="0.25">
      <c r="A235" s="531" t="s">
        <v>675</v>
      </c>
      <c r="B235" s="532" t="s">
        <v>6</v>
      </c>
      <c r="C235" s="533" t="s">
        <v>7</v>
      </c>
      <c r="D235" s="534" t="s">
        <v>8</v>
      </c>
      <c r="E235" s="534" t="s">
        <v>8</v>
      </c>
      <c r="F235" s="535" t="s">
        <v>9</v>
      </c>
      <c r="G235" s="536">
        <v>8253.6847199999993</v>
      </c>
      <c r="H235" s="536">
        <v>1989.24</v>
      </c>
      <c r="I235" s="537">
        <v>0</v>
      </c>
      <c r="J235" s="538">
        <v>0</v>
      </c>
      <c r="K235" s="539">
        <v>11</v>
      </c>
      <c r="L235" s="1475">
        <f>2253.68472-0.24</f>
        <v>2253.4447200000004</v>
      </c>
      <c r="M235" s="1476">
        <v>0</v>
      </c>
      <c r="N235" s="382">
        <v>2264.4447200000004</v>
      </c>
      <c r="O235" s="353">
        <v>0</v>
      </c>
      <c r="P235" s="541">
        <f>N235+O235</f>
        <v>2264.4447200000004</v>
      </c>
      <c r="Q235" s="542">
        <v>2000</v>
      </c>
      <c r="R235" s="542">
        <v>2000</v>
      </c>
      <c r="S235" s="538">
        <v>0</v>
      </c>
      <c r="T235" s="543">
        <v>0</v>
      </c>
      <c r="U235" s="540">
        <v>0</v>
      </c>
      <c r="V235" s="544">
        <v>0</v>
      </c>
      <c r="W235" s="545">
        <v>0</v>
      </c>
      <c r="X235" s="545">
        <v>0</v>
      </c>
      <c r="Y235" s="545">
        <v>0</v>
      </c>
      <c r="Z235" s="546">
        <v>0</v>
      </c>
      <c r="AA235" s="547">
        <v>0</v>
      </c>
      <c r="AB235" s="548" t="s">
        <v>792</v>
      </c>
      <c r="AC235" s="533" t="s">
        <v>20</v>
      </c>
    </row>
    <row r="236" spans="1:29" ht="25.5" outlineLevel="1" x14ac:dyDescent="0.25">
      <c r="A236" s="549" t="s">
        <v>676</v>
      </c>
      <c r="B236" s="454" t="s">
        <v>194</v>
      </c>
      <c r="C236" s="26" t="s">
        <v>198</v>
      </c>
      <c r="D236" s="455" t="s">
        <v>8</v>
      </c>
      <c r="E236" s="455" t="s">
        <v>8</v>
      </c>
      <c r="F236" s="456" t="s">
        <v>11</v>
      </c>
      <c r="G236" s="27">
        <v>23314.2</v>
      </c>
      <c r="H236" s="27">
        <v>0</v>
      </c>
      <c r="I236" s="550">
        <v>0</v>
      </c>
      <c r="J236" s="446">
        <v>0</v>
      </c>
      <c r="K236" s="447">
        <v>314</v>
      </c>
      <c r="L236" s="309">
        <v>0</v>
      </c>
      <c r="M236" s="173">
        <f>23000+0.2</f>
        <v>23000.2</v>
      </c>
      <c r="N236" s="317">
        <v>23314.2</v>
      </c>
      <c r="O236" s="316">
        <v>0</v>
      </c>
      <c r="P236" s="313">
        <f>N236+O236</f>
        <v>23314.2</v>
      </c>
      <c r="Q236" s="551">
        <v>0</v>
      </c>
      <c r="R236" s="551">
        <v>0</v>
      </c>
      <c r="S236" s="446">
        <v>0</v>
      </c>
      <c r="T236" s="447">
        <v>0</v>
      </c>
      <c r="U236" s="445">
        <v>0</v>
      </c>
      <c r="V236" s="448">
        <v>0</v>
      </c>
      <c r="W236" s="460">
        <v>0</v>
      </c>
      <c r="X236" s="450">
        <v>0</v>
      </c>
      <c r="Y236" s="450">
        <v>0</v>
      </c>
      <c r="Z236" s="449">
        <v>0</v>
      </c>
      <c r="AA236" s="451">
        <v>0</v>
      </c>
      <c r="AB236" s="552" t="s">
        <v>193</v>
      </c>
      <c r="AC236" s="26" t="s">
        <v>14</v>
      </c>
    </row>
    <row r="237" spans="1:29" s="260" customFormat="1" ht="12.6" customHeight="1" outlineLevel="1" thickBot="1" x14ac:dyDescent="0.3">
      <c r="A237" s="21" t="s">
        <v>211</v>
      </c>
      <c r="B237" s="22" t="s">
        <v>211</v>
      </c>
      <c r="C237" s="174" t="s">
        <v>211</v>
      </c>
      <c r="D237" s="301" t="s">
        <v>211</v>
      </c>
      <c r="E237" s="301" t="s">
        <v>211</v>
      </c>
      <c r="F237" s="47" t="s">
        <v>211</v>
      </c>
      <c r="G237" s="153" t="s">
        <v>211</v>
      </c>
      <c r="H237" s="179" t="s">
        <v>211</v>
      </c>
      <c r="I237" s="288" t="s">
        <v>211</v>
      </c>
      <c r="J237" s="121" t="s">
        <v>211</v>
      </c>
      <c r="K237" s="89" t="s">
        <v>211</v>
      </c>
      <c r="L237" s="90" t="s">
        <v>211</v>
      </c>
      <c r="M237" s="81" t="s">
        <v>211</v>
      </c>
      <c r="N237" s="81" t="s">
        <v>211</v>
      </c>
      <c r="O237" s="81" t="s">
        <v>211</v>
      </c>
      <c r="P237" s="81" t="s">
        <v>211</v>
      </c>
      <c r="Q237" s="116" t="s">
        <v>211</v>
      </c>
      <c r="R237" s="50" t="s">
        <v>211</v>
      </c>
      <c r="S237" s="115" t="s">
        <v>211</v>
      </c>
      <c r="T237" s="90" t="s">
        <v>211</v>
      </c>
      <c r="U237" s="88" t="s">
        <v>211</v>
      </c>
      <c r="V237" s="115" t="s">
        <v>211</v>
      </c>
      <c r="W237" s="90" t="s">
        <v>211</v>
      </c>
      <c r="X237" s="91" t="s">
        <v>211</v>
      </c>
      <c r="Y237" s="91" t="s">
        <v>211</v>
      </c>
      <c r="Z237" s="93" t="s">
        <v>211</v>
      </c>
      <c r="AA237" s="81" t="s">
        <v>211</v>
      </c>
      <c r="AB237" s="81" t="s">
        <v>211</v>
      </c>
      <c r="AC237" s="174" t="s">
        <v>211</v>
      </c>
    </row>
    <row r="238" spans="1:29" ht="32.25" thickBot="1" x14ac:dyDescent="0.3">
      <c r="A238" s="69" t="s">
        <v>193</v>
      </c>
      <c r="B238" s="240" t="s">
        <v>193</v>
      </c>
      <c r="C238" s="10" t="s">
        <v>193</v>
      </c>
      <c r="D238" s="297" t="s">
        <v>193</v>
      </c>
      <c r="E238" s="297" t="s">
        <v>193</v>
      </c>
      <c r="F238" s="78" t="s">
        <v>502</v>
      </c>
      <c r="G238" s="307">
        <f t="shared" ref="G238:AA238" si="22">SUM(G234:G237)</f>
        <v>62667.884720000002</v>
      </c>
      <c r="H238" s="307">
        <f t="shared" si="22"/>
        <v>6644.9322799999991</v>
      </c>
      <c r="I238" s="307">
        <f t="shared" si="22"/>
        <v>0</v>
      </c>
      <c r="J238" s="86">
        <f t="shared" si="22"/>
        <v>0</v>
      </c>
      <c r="K238" s="87">
        <f t="shared" si="22"/>
        <v>3325</v>
      </c>
      <c r="L238" s="87">
        <f t="shared" si="22"/>
        <v>5253.4447200000004</v>
      </c>
      <c r="M238" s="57">
        <f t="shared" si="22"/>
        <v>28736.507720000001</v>
      </c>
      <c r="N238" s="307">
        <f t="shared" si="22"/>
        <v>37314.952440000001</v>
      </c>
      <c r="O238" s="307">
        <f t="shared" si="22"/>
        <v>0</v>
      </c>
      <c r="P238" s="307">
        <f t="shared" si="22"/>
        <v>37314.952440000001</v>
      </c>
      <c r="Q238" s="128">
        <f t="shared" si="22"/>
        <v>12000</v>
      </c>
      <c r="R238" s="307">
        <f t="shared" si="22"/>
        <v>6708</v>
      </c>
      <c r="S238" s="86">
        <f t="shared" si="22"/>
        <v>0</v>
      </c>
      <c r="T238" s="87">
        <f t="shared" si="22"/>
        <v>0</v>
      </c>
      <c r="U238" s="170">
        <f t="shared" si="22"/>
        <v>0</v>
      </c>
      <c r="V238" s="86">
        <f t="shared" si="22"/>
        <v>0</v>
      </c>
      <c r="W238" s="87">
        <f t="shared" si="22"/>
        <v>0</v>
      </c>
      <c r="X238" s="87">
        <f t="shared" si="22"/>
        <v>0</v>
      </c>
      <c r="Y238" s="87">
        <f t="shared" si="22"/>
        <v>0</v>
      </c>
      <c r="Z238" s="87">
        <f t="shared" si="22"/>
        <v>0</v>
      </c>
      <c r="AA238" s="170">
        <f t="shared" si="22"/>
        <v>0</v>
      </c>
      <c r="AB238" s="11" t="s">
        <v>708</v>
      </c>
      <c r="AC238" s="311" t="s">
        <v>193</v>
      </c>
    </row>
    <row r="239" spans="1:29" ht="26.25" outlineLevel="1" thickBot="1" x14ac:dyDescent="0.3">
      <c r="A239" s="1260" t="s">
        <v>677</v>
      </c>
      <c r="B239" s="1261" t="s">
        <v>31</v>
      </c>
      <c r="C239" s="520" t="s">
        <v>252</v>
      </c>
      <c r="D239" s="520" t="s">
        <v>32</v>
      </c>
      <c r="E239" s="521" t="s">
        <v>32</v>
      </c>
      <c r="F239" s="1051" t="s">
        <v>33</v>
      </c>
      <c r="G239" s="523">
        <v>3828.72</v>
      </c>
      <c r="H239" s="1262">
        <v>2964.35</v>
      </c>
      <c r="I239" s="1263">
        <v>0</v>
      </c>
      <c r="J239" s="527">
        <v>0</v>
      </c>
      <c r="K239" s="528">
        <v>0</v>
      </c>
      <c r="L239" s="528">
        <v>0</v>
      </c>
      <c r="M239" s="1056">
        <v>864.37</v>
      </c>
      <c r="N239" s="199">
        <v>864.37</v>
      </c>
      <c r="O239" s="316">
        <v>0</v>
      </c>
      <c r="P239" s="182">
        <f t="shared" ref="P239:P246" si="23">N239+O239</f>
        <v>864.37</v>
      </c>
      <c r="Q239" s="1264">
        <v>0</v>
      </c>
      <c r="R239" s="1265">
        <v>0</v>
      </c>
      <c r="S239" s="527">
        <v>0</v>
      </c>
      <c r="T239" s="528">
        <v>0</v>
      </c>
      <c r="U239" s="1056">
        <v>0</v>
      </c>
      <c r="V239" s="1194">
        <v>0</v>
      </c>
      <c r="W239" s="528">
        <v>0</v>
      </c>
      <c r="X239" s="1266">
        <v>0</v>
      </c>
      <c r="Y239" s="1266">
        <v>0</v>
      </c>
      <c r="Z239" s="1267">
        <v>0</v>
      </c>
      <c r="AA239" s="1056">
        <v>0</v>
      </c>
      <c r="AB239" s="59" t="s">
        <v>193</v>
      </c>
      <c r="AC239" s="520" t="s">
        <v>20</v>
      </c>
    </row>
    <row r="240" spans="1:29" ht="26.25" outlineLevel="1" thickBot="1" x14ac:dyDescent="0.3">
      <c r="A240" s="1260" t="s">
        <v>678</v>
      </c>
      <c r="B240" s="519" t="s">
        <v>197</v>
      </c>
      <c r="C240" s="520" t="s">
        <v>223</v>
      </c>
      <c r="D240" s="521" t="s">
        <v>32</v>
      </c>
      <c r="E240" s="521" t="s">
        <v>32</v>
      </c>
      <c r="F240" s="1051" t="s">
        <v>204</v>
      </c>
      <c r="G240" s="523">
        <v>500</v>
      </c>
      <c r="H240" s="1262">
        <v>0</v>
      </c>
      <c r="I240" s="1263">
        <v>0</v>
      </c>
      <c r="J240" s="527">
        <v>0</v>
      </c>
      <c r="K240" s="528">
        <v>0</v>
      </c>
      <c r="L240" s="528">
        <v>0</v>
      </c>
      <c r="M240" s="1056">
        <v>500</v>
      </c>
      <c r="N240" s="199">
        <v>500</v>
      </c>
      <c r="O240" s="208">
        <v>0</v>
      </c>
      <c r="P240" s="182">
        <f t="shared" si="23"/>
        <v>500</v>
      </c>
      <c r="Q240" s="1264">
        <v>0</v>
      </c>
      <c r="R240" s="1265">
        <v>0</v>
      </c>
      <c r="S240" s="527">
        <v>0</v>
      </c>
      <c r="T240" s="528">
        <v>0</v>
      </c>
      <c r="U240" s="1056">
        <v>0</v>
      </c>
      <c r="V240" s="1194">
        <v>0</v>
      </c>
      <c r="W240" s="528">
        <v>0</v>
      </c>
      <c r="X240" s="1266">
        <v>0</v>
      </c>
      <c r="Y240" s="1266">
        <v>0</v>
      </c>
      <c r="Z240" s="1267">
        <v>0</v>
      </c>
      <c r="AA240" s="1056">
        <v>0</v>
      </c>
      <c r="AB240" s="59" t="s">
        <v>193</v>
      </c>
      <c r="AC240" s="520" t="s">
        <v>14</v>
      </c>
    </row>
    <row r="241" spans="1:29" s="300" customFormat="1" ht="30" outlineLevel="1" x14ac:dyDescent="0.25">
      <c r="A241" s="1268" t="s">
        <v>534</v>
      </c>
      <c r="B241" s="1269" t="s">
        <v>763</v>
      </c>
      <c r="C241" s="1270" t="s">
        <v>548</v>
      </c>
      <c r="D241" s="1271" t="s">
        <v>30</v>
      </c>
      <c r="E241" s="1271" t="s">
        <v>30</v>
      </c>
      <c r="F241" s="1272" t="s">
        <v>535</v>
      </c>
      <c r="G241" s="1273">
        <v>309.76</v>
      </c>
      <c r="H241" s="1274">
        <v>0</v>
      </c>
      <c r="I241" s="1275">
        <v>309.76</v>
      </c>
      <c r="J241" s="1276">
        <v>309.76</v>
      </c>
      <c r="K241" s="1277">
        <v>0</v>
      </c>
      <c r="L241" s="1278">
        <v>0</v>
      </c>
      <c r="M241" s="1279">
        <v>0</v>
      </c>
      <c r="N241" s="1280">
        <v>309.76</v>
      </c>
      <c r="O241" s="1312">
        <v>0</v>
      </c>
      <c r="P241" s="1281">
        <f t="shared" si="23"/>
        <v>309.76</v>
      </c>
      <c r="Q241" s="1282">
        <v>0</v>
      </c>
      <c r="R241" s="1283">
        <v>0</v>
      </c>
      <c r="S241" s="1276">
        <v>0</v>
      </c>
      <c r="T241" s="1284">
        <v>0</v>
      </c>
      <c r="U241" s="1285">
        <v>0</v>
      </c>
      <c r="V241" s="1286">
        <v>0</v>
      </c>
      <c r="W241" s="1284">
        <v>0</v>
      </c>
      <c r="X241" s="1284">
        <v>0</v>
      </c>
      <c r="Y241" s="1284">
        <v>0</v>
      </c>
      <c r="Z241" s="1277">
        <v>0</v>
      </c>
      <c r="AA241" s="1285">
        <v>0</v>
      </c>
      <c r="AB241" s="1287" t="s">
        <v>193</v>
      </c>
      <c r="AC241" s="1288" t="s">
        <v>210</v>
      </c>
    </row>
    <row r="242" spans="1:29" ht="30" outlineLevel="1" x14ac:dyDescent="0.25">
      <c r="A242" s="1289" t="s">
        <v>536</v>
      </c>
      <c r="B242" s="1290" t="s">
        <v>764</v>
      </c>
      <c r="C242" s="1288" t="s">
        <v>548</v>
      </c>
      <c r="D242" s="1291" t="s">
        <v>30</v>
      </c>
      <c r="E242" s="1291" t="s">
        <v>30</v>
      </c>
      <c r="F242" s="1292" t="s">
        <v>537</v>
      </c>
      <c r="G242" s="1293">
        <v>702.72685999999999</v>
      </c>
      <c r="H242" s="1294">
        <v>0</v>
      </c>
      <c r="I242" s="1295">
        <v>702.72685999999999</v>
      </c>
      <c r="J242" s="1296">
        <v>702.72685999999999</v>
      </c>
      <c r="K242" s="1297">
        <v>0</v>
      </c>
      <c r="L242" s="1297">
        <v>0</v>
      </c>
      <c r="M242" s="1298">
        <v>0</v>
      </c>
      <c r="N242" s="204">
        <v>702.72699999999998</v>
      </c>
      <c r="O242" s="211">
        <v>-1.3999999999999999E-4</v>
      </c>
      <c r="P242" s="184">
        <f t="shared" si="23"/>
        <v>702.72685999999999</v>
      </c>
      <c r="Q242" s="1299">
        <v>0</v>
      </c>
      <c r="R242" s="1300">
        <v>0</v>
      </c>
      <c r="S242" s="1296">
        <v>0</v>
      </c>
      <c r="T242" s="1297">
        <v>0</v>
      </c>
      <c r="U242" s="1298">
        <v>0</v>
      </c>
      <c r="V242" s="1301">
        <v>0</v>
      </c>
      <c r="W242" s="1297">
        <v>0</v>
      </c>
      <c r="X242" s="1297">
        <v>0</v>
      </c>
      <c r="Y242" s="1297">
        <v>0</v>
      </c>
      <c r="Z242" s="1302">
        <v>0</v>
      </c>
      <c r="AA242" s="1298">
        <v>0</v>
      </c>
      <c r="AB242" s="33" t="s">
        <v>193</v>
      </c>
      <c r="AC242" s="1288" t="s">
        <v>210</v>
      </c>
    </row>
    <row r="243" spans="1:29" ht="26.25" outlineLevel="1" thickBot="1" x14ac:dyDescent="0.3">
      <c r="A243" s="880" t="s">
        <v>538</v>
      </c>
      <c r="B243" s="1164" t="s">
        <v>197</v>
      </c>
      <c r="C243" s="490" t="s">
        <v>548</v>
      </c>
      <c r="D243" s="478" t="s">
        <v>30</v>
      </c>
      <c r="E243" s="478" t="s">
        <v>30</v>
      </c>
      <c r="F243" s="479" t="s">
        <v>755</v>
      </c>
      <c r="G243" s="480">
        <v>88</v>
      </c>
      <c r="H243" s="1166">
        <v>0</v>
      </c>
      <c r="I243" s="1313">
        <v>0</v>
      </c>
      <c r="J243" s="487">
        <v>0</v>
      </c>
      <c r="K243" s="474">
        <v>0</v>
      </c>
      <c r="L243" s="474">
        <v>0</v>
      </c>
      <c r="M243" s="489">
        <v>88</v>
      </c>
      <c r="N243" s="144">
        <v>88</v>
      </c>
      <c r="O243" s="206">
        <v>0</v>
      </c>
      <c r="P243" s="347">
        <f t="shared" si="23"/>
        <v>88</v>
      </c>
      <c r="Q243" s="1303">
        <v>0</v>
      </c>
      <c r="R243" s="1304">
        <v>0</v>
      </c>
      <c r="S243" s="487">
        <v>0</v>
      </c>
      <c r="T243" s="474">
        <v>0</v>
      </c>
      <c r="U243" s="489">
        <v>0</v>
      </c>
      <c r="V243" s="1185">
        <v>0</v>
      </c>
      <c r="W243" s="474">
        <v>0</v>
      </c>
      <c r="X243" s="474">
        <v>0</v>
      </c>
      <c r="Y243" s="474">
        <v>0</v>
      </c>
      <c r="Z243" s="488">
        <v>0</v>
      </c>
      <c r="AA243" s="489">
        <v>0</v>
      </c>
      <c r="AB243" s="339" t="s">
        <v>193</v>
      </c>
      <c r="AC243" s="490" t="s">
        <v>14</v>
      </c>
    </row>
    <row r="244" spans="1:29" s="300" customFormat="1" ht="30" outlineLevel="1" x14ac:dyDescent="0.25">
      <c r="A244" s="898" t="s">
        <v>756</v>
      </c>
      <c r="B244" s="819" t="s">
        <v>197</v>
      </c>
      <c r="C244" s="811" t="s">
        <v>857</v>
      </c>
      <c r="D244" s="804" t="s">
        <v>30</v>
      </c>
      <c r="E244" s="804" t="s">
        <v>30</v>
      </c>
      <c r="F244" s="1305" t="s">
        <v>757</v>
      </c>
      <c r="G244" s="1306">
        <v>90</v>
      </c>
      <c r="H244" s="1307">
        <v>0</v>
      </c>
      <c r="I244" s="318">
        <v>0</v>
      </c>
      <c r="J244" s="562">
        <v>0</v>
      </c>
      <c r="K244" s="1145">
        <v>0</v>
      </c>
      <c r="L244" s="1145">
        <v>0</v>
      </c>
      <c r="M244" s="1308">
        <v>90</v>
      </c>
      <c r="N244" s="198">
        <v>90</v>
      </c>
      <c r="O244" s="350">
        <v>0</v>
      </c>
      <c r="P244" s="352">
        <f t="shared" si="23"/>
        <v>90</v>
      </c>
      <c r="Q244" s="1309">
        <v>0</v>
      </c>
      <c r="R244" s="822">
        <v>0</v>
      </c>
      <c r="S244" s="562">
        <v>0</v>
      </c>
      <c r="T244" s="1145">
        <v>0</v>
      </c>
      <c r="U244" s="821">
        <v>0</v>
      </c>
      <c r="V244" s="1310">
        <v>0</v>
      </c>
      <c r="W244" s="1145">
        <v>0</v>
      </c>
      <c r="X244" s="563">
        <v>0</v>
      </c>
      <c r="Y244" s="563">
        <v>0</v>
      </c>
      <c r="Z244" s="563">
        <v>0</v>
      </c>
      <c r="AA244" s="823">
        <v>0</v>
      </c>
      <c r="AB244" s="31" t="s">
        <v>193</v>
      </c>
      <c r="AC244" s="811" t="s">
        <v>14</v>
      </c>
    </row>
    <row r="245" spans="1:29" s="300" customFormat="1" ht="30" outlineLevel="1" x14ac:dyDescent="0.25">
      <c r="A245" s="869" t="s">
        <v>758</v>
      </c>
      <c r="B245" s="454" t="s">
        <v>197</v>
      </c>
      <c r="C245" s="26" t="s">
        <v>857</v>
      </c>
      <c r="D245" s="455" t="s">
        <v>30</v>
      </c>
      <c r="E245" s="455" t="s">
        <v>30</v>
      </c>
      <c r="F245" s="456" t="s">
        <v>759</v>
      </c>
      <c r="G245" s="1311">
        <v>115</v>
      </c>
      <c r="H245" s="1251">
        <v>0</v>
      </c>
      <c r="I245" s="1252">
        <v>0</v>
      </c>
      <c r="J245" s="448">
        <v>0</v>
      </c>
      <c r="K245" s="460">
        <v>0</v>
      </c>
      <c r="L245" s="460">
        <v>0</v>
      </c>
      <c r="M245" s="1156">
        <v>115</v>
      </c>
      <c r="N245" s="317">
        <v>115</v>
      </c>
      <c r="O245" s="351">
        <v>0</v>
      </c>
      <c r="P245" s="338">
        <f t="shared" si="23"/>
        <v>115</v>
      </c>
      <c r="Q245" s="700">
        <v>0</v>
      </c>
      <c r="R245" s="551">
        <v>0</v>
      </c>
      <c r="S245" s="448">
        <v>0</v>
      </c>
      <c r="T245" s="460">
        <v>0</v>
      </c>
      <c r="U245" s="701">
        <v>0</v>
      </c>
      <c r="V245" s="737">
        <v>0</v>
      </c>
      <c r="W245" s="460">
        <v>0</v>
      </c>
      <c r="X245" s="449">
        <v>0</v>
      </c>
      <c r="Y245" s="449">
        <v>0</v>
      </c>
      <c r="Z245" s="449">
        <v>0</v>
      </c>
      <c r="AA245" s="451">
        <v>0</v>
      </c>
      <c r="AB245" s="29" t="s">
        <v>193</v>
      </c>
      <c r="AC245" s="26" t="s">
        <v>14</v>
      </c>
    </row>
    <row r="246" spans="1:29" s="300" customFormat="1" ht="30.75" customHeight="1" outlineLevel="1" x14ac:dyDescent="0.25">
      <c r="A246" s="869" t="s">
        <v>760</v>
      </c>
      <c r="B246" s="454" t="s">
        <v>197</v>
      </c>
      <c r="C246" s="26" t="s">
        <v>857</v>
      </c>
      <c r="D246" s="455" t="s">
        <v>30</v>
      </c>
      <c r="E246" s="455" t="s">
        <v>30</v>
      </c>
      <c r="F246" s="456" t="s">
        <v>761</v>
      </c>
      <c r="G246" s="550">
        <v>181</v>
      </c>
      <c r="H246" s="1251">
        <v>0</v>
      </c>
      <c r="I246" s="1252">
        <v>0</v>
      </c>
      <c r="J246" s="448">
        <v>0</v>
      </c>
      <c r="K246" s="460">
        <v>0</v>
      </c>
      <c r="L246" s="460">
        <v>141</v>
      </c>
      <c r="M246" s="1156">
        <v>40</v>
      </c>
      <c r="N246" s="317">
        <v>181</v>
      </c>
      <c r="O246" s="351">
        <v>0</v>
      </c>
      <c r="P246" s="338">
        <f t="shared" si="23"/>
        <v>181</v>
      </c>
      <c r="Q246" s="700">
        <v>0</v>
      </c>
      <c r="R246" s="551">
        <v>0</v>
      </c>
      <c r="S246" s="448">
        <v>0</v>
      </c>
      <c r="T246" s="460">
        <v>0</v>
      </c>
      <c r="U246" s="701">
        <v>0</v>
      </c>
      <c r="V246" s="737">
        <v>0</v>
      </c>
      <c r="W246" s="460">
        <v>0</v>
      </c>
      <c r="X246" s="449">
        <v>0</v>
      </c>
      <c r="Y246" s="449">
        <v>0</v>
      </c>
      <c r="Z246" s="449">
        <v>0</v>
      </c>
      <c r="AA246" s="451">
        <v>0</v>
      </c>
      <c r="AB246" s="29" t="s">
        <v>193</v>
      </c>
      <c r="AC246" s="26" t="s">
        <v>14</v>
      </c>
    </row>
    <row r="247" spans="1:29" s="270" customFormat="1" ht="12.6" customHeight="1" outlineLevel="1" thickBot="1" x14ac:dyDescent="0.3">
      <c r="A247" s="126"/>
      <c r="B247" s="22" t="s">
        <v>211</v>
      </c>
      <c r="C247" s="174" t="s">
        <v>211</v>
      </c>
      <c r="D247" s="149" t="s">
        <v>211</v>
      </c>
      <c r="E247" s="149" t="s">
        <v>211</v>
      </c>
      <c r="F247" s="125" t="s">
        <v>211</v>
      </c>
      <c r="G247" s="153" t="s">
        <v>211</v>
      </c>
      <c r="H247" s="152" t="s">
        <v>211</v>
      </c>
      <c r="I247" s="288" t="s">
        <v>211</v>
      </c>
      <c r="J247" s="115" t="s">
        <v>211</v>
      </c>
      <c r="K247" s="90" t="s">
        <v>211</v>
      </c>
      <c r="L247" s="90" t="s">
        <v>211</v>
      </c>
      <c r="M247" s="81" t="s">
        <v>211</v>
      </c>
      <c r="N247" s="81" t="s">
        <v>211</v>
      </c>
      <c r="O247" s="81" t="s">
        <v>211</v>
      </c>
      <c r="P247" s="81" t="s">
        <v>211</v>
      </c>
      <c r="Q247" s="81" t="s">
        <v>211</v>
      </c>
      <c r="R247" s="50" t="s">
        <v>211</v>
      </c>
      <c r="S247" s="115" t="s">
        <v>211</v>
      </c>
      <c r="T247" s="90" t="s">
        <v>211</v>
      </c>
      <c r="U247" s="88" t="s">
        <v>211</v>
      </c>
      <c r="V247" s="115" t="s">
        <v>211</v>
      </c>
      <c r="W247" s="90" t="s">
        <v>211</v>
      </c>
      <c r="X247" s="89" t="s">
        <v>211</v>
      </c>
      <c r="Y247" s="100" t="s">
        <v>211</v>
      </c>
      <c r="Z247" s="93" t="s">
        <v>211</v>
      </c>
      <c r="AA247" s="81" t="s">
        <v>211</v>
      </c>
      <c r="AB247" s="151" t="s">
        <v>211</v>
      </c>
      <c r="AC247" s="174" t="s">
        <v>211</v>
      </c>
    </row>
    <row r="248" spans="1:29" ht="16.5" thickBot="1" x14ac:dyDescent="0.3">
      <c r="A248" s="69"/>
      <c r="B248" s="240" t="s">
        <v>193</v>
      </c>
      <c r="C248" s="10" t="s">
        <v>193</v>
      </c>
      <c r="D248" s="17" t="s">
        <v>193</v>
      </c>
      <c r="E248" s="17" t="s">
        <v>193</v>
      </c>
      <c r="F248" s="79" t="s">
        <v>501</v>
      </c>
      <c r="G248" s="167">
        <f>SUM(G239:G247)</f>
        <v>5815.2068599999993</v>
      </c>
      <c r="H248" s="307">
        <f t="shared" ref="H248:AA248" si="24">SUM(H239:H247)</f>
        <v>2964.35</v>
      </c>
      <c r="I248" s="307">
        <f t="shared" si="24"/>
        <v>1012.48686</v>
      </c>
      <c r="J248" s="86">
        <f t="shared" si="24"/>
        <v>1012.48686</v>
      </c>
      <c r="K248" s="87">
        <f t="shared" si="24"/>
        <v>0</v>
      </c>
      <c r="L248" s="87">
        <f t="shared" si="24"/>
        <v>141</v>
      </c>
      <c r="M248" s="57">
        <f t="shared" ref="M248:Q248" si="25">SUM(M239:M247)</f>
        <v>1697.37</v>
      </c>
      <c r="N248" s="307">
        <f t="shared" si="25"/>
        <v>2850.857</v>
      </c>
      <c r="O248" s="307">
        <f t="shared" si="25"/>
        <v>-1.3999999999999999E-4</v>
      </c>
      <c r="P248" s="307">
        <f t="shared" si="25"/>
        <v>2850.8568599999999</v>
      </c>
      <c r="Q248" s="128">
        <f t="shared" si="25"/>
        <v>0</v>
      </c>
      <c r="R248" s="307">
        <f t="shared" si="24"/>
        <v>0</v>
      </c>
      <c r="S248" s="86">
        <f t="shared" si="24"/>
        <v>0</v>
      </c>
      <c r="T248" s="87">
        <f t="shared" si="24"/>
        <v>0</v>
      </c>
      <c r="U248" s="170">
        <f t="shared" si="24"/>
        <v>0</v>
      </c>
      <c r="V248" s="86">
        <f t="shared" si="24"/>
        <v>0</v>
      </c>
      <c r="W248" s="87">
        <f t="shared" si="24"/>
        <v>0</v>
      </c>
      <c r="X248" s="87">
        <f t="shared" si="24"/>
        <v>0</v>
      </c>
      <c r="Y248" s="87">
        <f t="shared" si="24"/>
        <v>0</v>
      </c>
      <c r="Z248" s="87">
        <f t="shared" si="24"/>
        <v>0</v>
      </c>
      <c r="AA248" s="170">
        <f t="shared" si="24"/>
        <v>0</v>
      </c>
      <c r="AB248" s="11" t="s">
        <v>709</v>
      </c>
      <c r="AC248" s="10" t="s">
        <v>193</v>
      </c>
    </row>
    <row r="249" spans="1:29" ht="37.5" customHeight="1" thickBot="1" x14ac:dyDescent="0.3">
      <c r="A249" s="1538"/>
      <c r="B249" s="1538"/>
      <c r="C249" s="1538"/>
      <c r="D249" s="1538"/>
      <c r="E249" s="1539"/>
      <c r="F249" s="80" t="s">
        <v>153</v>
      </c>
      <c r="G249" s="167">
        <f t="shared" ref="G249:AA249" si="26">SUM(G19+G29+G83+G143+G175+G188+G191+G199+G202+G233+G238+G248)</f>
        <v>7062717.4402308008</v>
      </c>
      <c r="H249" s="307">
        <f t="shared" si="26"/>
        <v>1245938.5443100003</v>
      </c>
      <c r="I249" s="307">
        <f t="shared" ref="I249" si="27">SUM(I19+I29+I83+I143+I175+I188+I191+I199+I202+I233+I238+I248)</f>
        <v>58145.218679999998</v>
      </c>
      <c r="J249" s="307">
        <f t="shared" si="26"/>
        <v>114607.85489000002</v>
      </c>
      <c r="K249" s="307">
        <f t="shared" si="26"/>
        <v>350848.13921999995</v>
      </c>
      <c r="L249" s="307">
        <f t="shared" si="26"/>
        <v>448940.23185000004</v>
      </c>
      <c r="M249" s="307">
        <f t="shared" si="26"/>
        <v>948006.81698</v>
      </c>
      <c r="N249" s="307">
        <f t="shared" si="26"/>
        <v>1855398.0132599999</v>
      </c>
      <c r="O249" s="307">
        <f t="shared" si="26"/>
        <v>7005.0296800000069</v>
      </c>
      <c r="P249" s="307">
        <f t="shared" si="26"/>
        <v>1862403.0429399998</v>
      </c>
      <c r="Q249" s="307">
        <f t="shared" si="26"/>
        <v>2589726.54061</v>
      </c>
      <c r="R249" s="307">
        <f t="shared" si="26"/>
        <v>1043650.5043200001</v>
      </c>
      <c r="S249" s="307">
        <f t="shared" si="26"/>
        <v>10826.8782718</v>
      </c>
      <c r="T249" s="307">
        <f t="shared" si="26"/>
        <v>104348.735</v>
      </c>
      <c r="U249" s="307">
        <f t="shared" si="26"/>
        <v>205823.19477999999</v>
      </c>
      <c r="V249" s="307">
        <f t="shared" si="26"/>
        <v>2502789.4175399998</v>
      </c>
      <c r="W249" s="307">
        <f t="shared" si="26"/>
        <v>123191.20215</v>
      </c>
      <c r="X249" s="307">
        <f t="shared" si="26"/>
        <v>19895.610119999998</v>
      </c>
      <c r="Y249" s="307">
        <f t="shared" si="26"/>
        <v>998376.97932000004</v>
      </c>
      <c r="Z249" s="307">
        <f t="shared" si="26"/>
        <v>1111904.4143600001</v>
      </c>
      <c r="AA249" s="307">
        <f t="shared" si="26"/>
        <v>269316.82170999999</v>
      </c>
      <c r="AB249" s="11" t="s">
        <v>710</v>
      </c>
      <c r="AC249" s="178" t="s">
        <v>193</v>
      </c>
    </row>
    <row r="250" spans="1:29" x14ac:dyDescent="0.25">
      <c r="A250" s="18"/>
      <c r="B250" s="8"/>
      <c r="C250" s="4"/>
      <c r="D250" s="5" t="s">
        <v>148</v>
      </c>
      <c r="E250" s="5"/>
      <c r="F250" s="6"/>
      <c r="G250" s="165"/>
      <c r="H250" s="166"/>
      <c r="I250" s="191"/>
      <c r="J250" s="165"/>
      <c r="K250" s="165"/>
      <c r="L250" s="165"/>
      <c r="M250" s="165"/>
      <c r="N250" s="165"/>
      <c r="O250" s="34"/>
      <c r="P250" s="34"/>
      <c r="Q250" s="16"/>
      <c r="R250" s="16"/>
      <c r="S250" s="165"/>
      <c r="T250" s="165"/>
      <c r="U250" s="165"/>
      <c r="V250" s="40"/>
      <c r="W250" s="40"/>
      <c r="X250" s="40"/>
      <c r="Y250" s="40"/>
      <c r="Z250" s="40"/>
      <c r="AA250" s="40"/>
      <c r="AB250" s="40"/>
      <c r="AC250" s="4"/>
    </row>
    <row r="251" spans="1:29" x14ac:dyDescent="0.25">
      <c r="A251" s="18"/>
      <c r="B251" s="8"/>
      <c r="C251" s="4"/>
      <c r="D251" s="5"/>
      <c r="E251" s="5"/>
      <c r="F251" s="162"/>
      <c r="G251" s="83"/>
      <c r="H251" s="242"/>
      <c r="I251" s="246"/>
      <c r="J251" s="196"/>
      <c r="K251" s="165"/>
      <c r="L251" s="165"/>
      <c r="M251" s="165"/>
      <c r="N251" s="165"/>
      <c r="O251" s="34"/>
      <c r="P251" s="34"/>
      <c r="Q251" s="16"/>
      <c r="R251" s="16"/>
      <c r="S251" s="165"/>
      <c r="T251" s="165"/>
      <c r="U251" s="165"/>
      <c r="V251" s="16"/>
      <c r="W251" s="16"/>
      <c r="X251" s="16"/>
      <c r="Y251" s="16"/>
      <c r="Z251" s="16"/>
      <c r="AA251" s="16"/>
      <c r="AB251" s="40"/>
      <c r="AC251" s="4"/>
    </row>
    <row r="252" spans="1:29" s="271" customFormat="1" ht="15.75" thickBot="1" x14ac:dyDescent="0.3">
      <c r="A252" s="235"/>
      <c r="B252" s="236"/>
      <c r="C252" s="1"/>
      <c r="D252" s="237"/>
      <c r="E252" s="237"/>
      <c r="F252" s="238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  <c r="AA252" s="239"/>
      <c r="AB252" s="239"/>
      <c r="AC252" s="239"/>
    </row>
    <row r="253" spans="1:29" s="274" customFormat="1" ht="23.25" customHeight="1" thickBot="1" x14ac:dyDescent="0.3">
      <c r="A253" s="1519" t="s">
        <v>716</v>
      </c>
      <c r="B253" s="1520"/>
      <c r="C253" s="1520"/>
      <c r="D253" s="1521"/>
      <c r="E253" s="5"/>
      <c r="F253" s="163"/>
      <c r="G253" s="6"/>
      <c r="H253" s="6"/>
      <c r="I253" s="197"/>
      <c r="J253" s="6"/>
      <c r="K253" s="6"/>
      <c r="L253" s="6"/>
      <c r="M253" s="6"/>
      <c r="N253" s="243"/>
      <c r="O253" s="189"/>
      <c r="P253" s="272"/>
      <c r="Q253" s="273"/>
      <c r="R253" s="6"/>
      <c r="S253" s="6"/>
      <c r="T253" s="6"/>
      <c r="U253" s="6"/>
      <c r="V253" s="85"/>
      <c r="W253" s="85"/>
      <c r="X253" s="85"/>
      <c r="Y253" s="85"/>
      <c r="Z253" s="85"/>
      <c r="AA253" s="85"/>
      <c r="AB253" s="6"/>
      <c r="AC253" s="9"/>
    </row>
    <row r="254" spans="1:29" ht="31.5" customHeight="1" x14ac:dyDescent="0.25">
      <c r="A254" s="1522" t="s">
        <v>714</v>
      </c>
      <c r="B254" s="1523"/>
      <c r="C254" s="320"/>
      <c r="D254" s="321"/>
      <c r="E254" s="5"/>
      <c r="F254" s="6"/>
      <c r="G254" s="291"/>
      <c r="H254" s="291"/>
      <c r="I254" s="197"/>
      <c r="J254" s="291"/>
      <c r="K254" s="1532"/>
      <c r="L254" s="1532"/>
      <c r="M254" s="6"/>
      <c r="N254" s="243"/>
      <c r="O254" s="189"/>
      <c r="P254" s="189"/>
      <c r="Q254" s="6"/>
      <c r="R254" s="6"/>
      <c r="S254" s="6"/>
      <c r="T254" s="6"/>
      <c r="U254" s="6"/>
      <c r="V254" s="85"/>
      <c r="W254" s="85"/>
      <c r="X254" s="85"/>
      <c r="Y254" s="85"/>
      <c r="Z254" s="85"/>
      <c r="AA254" s="85"/>
      <c r="AB254" s="6"/>
      <c r="AC254" s="82"/>
    </row>
    <row r="255" spans="1:29" ht="54.75" customHeight="1" x14ac:dyDescent="0.25">
      <c r="A255" s="1498" t="s">
        <v>796</v>
      </c>
      <c r="B255" s="1499"/>
      <c r="C255" s="1481" t="s">
        <v>149</v>
      </c>
      <c r="D255" s="1482"/>
      <c r="E255" s="5"/>
      <c r="F255" s="6"/>
      <c r="G255" s="6" t="s">
        <v>148</v>
      </c>
      <c r="H255" s="6"/>
      <c r="I255" s="197"/>
      <c r="J255" s="6"/>
      <c r="K255" s="6"/>
      <c r="L255" s="6"/>
      <c r="M255" s="6"/>
      <c r="N255" s="1474"/>
      <c r="O255" s="189"/>
      <c r="P255" s="189"/>
      <c r="Q255" s="1259"/>
      <c r="R255" s="1546"/>
      <c r="S255" s="1546"/>
      <c r="T255" s="6"/>
      <c r="U255" s="6"/>
      <c r="V255" s="85"/>
      <c r="W255" s="343"/>
      <c r="X255" s="343"/>
      <c r="Y255" s="85"/>
      <c r="AB255" s="155"/>
      <c r="AC255" s="9"/>
    </row>
    <row r="256" spans="1:29" ht="42.75" customHeight="1" x14ac:dyDescent="0.25">
      <c r="A256" s="1500" t="s">
        <v>795</v>
      </c>
      <c r="B256" s="1501"/>
      <c r="C256" s="1483" t="s">
        <v>182</v>
      </c>
      <c r="D256" s="1484"/>
      <c r="E256" s="5"/>
      <c r="F256" s="244"/>
      <c r="G256" s="161"/>
      <c r="H256" s="140"/>
      <c r="I256" s="191"/>
      <c r="J256" s="16"/>
      <c r="K256" s="16"/>
      <c r="L256" s="16"/>
      <c r="M256" s="16"/>
      <c r="N256" s="16" t="s">
        <v>148</v>
      </c>
      <c r="O256" s="190"/>
      <c r="P256" s="190"/>
      <c r="Q256" s="4"/>
      <c r="R256" s="4"/>
      <c r="S256" s="165"/>
      <c r="T256" s="165"/>
      <c r="U256" s="165"/>
      <c r="V256" s="16"/>
      <c r="W256" s="16" t="s">
        <v>148</v>
      </c>
      <c r="X256" s="16"/>
      <c r="Y256" s="16"/>
      <c r="Z256" s="16"/>
      <c r="AA256" s="16"/>
      <c r="AB256" s="40"/>
      <c r="AC256" s="9"/>
    </row>
    <row r="257" spans="1:29" ht="21.75" customHeight="1" x14ac:dyDescent="0.25">
      <c r="A257" s="1502" t="s">
        <v>150</v>
      </c>
      <c r="B257" s="1503"/>
      <c r="C257" s="1483" t="s">
        <v>151</v>
      </c>
      <c r="D257" s="1484"/>
      <c r="E257" s="5"/>
      <c r="F257" s="6" t="s">
        <v>148</v>
      </c>
      <c r="G257" s="165"/>
      <c r="H257" s="166"/>
      <c r="I257" s="191"/>
      <c r="J257" s="166"/>
      <c r="K257" s="166"/>
      <c r="L257" s="166"/>
      <c r="M257" s="166"/>
      <c r="N257" s="166"/>
      <c r="O257" s="191"/>
      <c r="P257" s="191"/>
      <c r="Q257" s="166"/>
      <c r="R257" s="165"/>
      <c r="S257" s="165"/>
      <c r="T257" s="165"/>
      <c r="U257" s="165"/>
      <c r="V257" s="16"/>
      <c r="W257" s="16"/>
      <c r="X257" s="16"/>
      <c r="Y257" s="16"/>
      <c r="Z257" s="16"/>
      <c r="AA257" s="16"/>
      <c r="AB257" s="40"/>
      <c r="AC257" s="9"/>
    </row>
    <row r="258" spans="1:29" ht="37.5" customHeight="1" x14ac:dyDescent="0.25">
      <c r="A258" s="1485" t="s">
        <v>479</v>
      </c>
      <c r="B258" s="1486"/>
      <c r="C258" s="1485" t="s">
        <v>152</v>
      </c>
      <c r="D258" s="1486"/>
      <c r="E258" s="5"/>
      <c r="F258" s="6"/>
      <c r="G258" s="165"/>
      <c r="H258" s="166"/>
      <c r="I258" s="191"/>
      <c r="J258" s="16"/>
      <c r="K258" s="16"/>
      <c r="L258" s="16"/>
      <c r="M258" s="16"/>
      <c r="N258" s="16"/>
      <c r="O258" s="190"/>
      <c r="P258" s="190"/>
      <c r="Q258" s="4"/>
      <c r="R258" s="4"/>
      <c r="S258" s="165"/>
      <c r="T258" s="165"/>
      <c r="U258" s="165"/>
      <c r="V258" s="16"/>
      <c r="W258" s="16"/>
      <c r="X258" s="16"/>
      <c r="Y258" s="16"/>
      <c r="Z258" s="16"/>
      <c r="AA258" s="16"/>
      <c r="AB258" s="40"/>
      <c r="AC258" s="9"/>
    </row>
    <row r="259" spans="1:29" ht="39" customHeight="1" thickBot="1" x14ac:dyDescent="0.3">
      <c r="A259" s="1487" t="s">
        <v>192</v>
      </c>
      <c r="B259" s="1488"/>
      <c r="C259" s="1487" t="s">
        <v>478</v>
      </c>
      <c r="D259" s="1488"/>
      <c r="E259" s="5"/>
      <c r="F259" s="6"/>
      <c r="G259" s="165"/>
      <c r="H259" s="166"/>
      <c r="I259" s="191"/>
      <c r="J259" s="16"/>
      <c r="K259" s="16"/>
      <c r="L259" s="16"/>
      <c r="M259" s="16"/>
      <c r="N259" s="16"/>
      <c r="O259" s="190"/>
      <c r="P259" s="190"/>
      <c r="Q259" s="4"/>
      <c r="R259" s="4"/>
      <c r="S259" s="165"/>
      <c r="T259" s="165"/>
      <c r="U259" s="165"/>
      <c r="V259" s="16"/>
      <c r="W259" s="16"/>
      <c r="X259" s="16"/>
      <c r="Y259" s="16"/>
      <c r="Z259" s="16"/>
      <c r="AA259" s="16"/>
      <c r="AB259" s="40"/>
      <c r="AC259" s="9"/>
    </row>
    <row r="260" spans="1:29" s="300" customFormat="1" ht="39" customHeight="1" thickBot="1" x14ac:dyDescent="0.3">
      <c r="A260" s="1495" t="s">
        <v>483</v>
      </c>
      <c r="B260" s="1496"/>
      <c r="C260" s="1496"/>
      <c r="D260" s="1497"/>
      <c r="E260" s="290"/>
      <c r="F260" s="291"/>
      <c r="G260" s="305"/>
      <c r="H260" s="306"/>
      <c r="I260" s="315"/>
      <c r="J260" s="296"/>
      <c r="K260" s="296"/>
      <c r="L260" s="296"/>
      <c r="M260" s="296"/>
      <c r="N260" s="296"/>
      <c r="O260" s="314"/>
      <c r="P260" s="314"/>
      <c r="Q260" s="289"/>
      <c r="R260" s="289"/>
      <c r="S260" s="305"/>
      <c r="T260" s="305"/>
      <c r="U260" s="305"/>
      <c r="V260" s="296"/>
      <c r="W260" s="296"/>
      <c r="X260" s="296"/>
      <c r="Y260" s="296"/>
      <c r="Z260" s="296"/>
      <c r="AA260" s="296"/>
      <c r="AB260" s="298"/>
      <c r="AC260" s="294"/>
    </row>
    <row r="261" spans="1:29" s="300" customFormat="1" ht="39" customHeight="1" thickBot="1" x14ac:dyDescent="0.3">
      <c r="A261" s="319"/>
      <c r="B261" s="319"/>
      <c r="C261" s="319"/>
      <c r="D261" s="319"/>
      <c r="E261" s="290"/>
      <c r="F261" s="291"/>
      <c r="G261" s="305"/>
      <c r="H261" s="306"/>
      <c r="I261" s="315"/>
      <c r="J261" s="296"/>
      <c r="K261" s="296"/>
      <c r="L261" s="296"/>
      <c r="M261" s="296"/>
      <c r="N261" s="296" t="s">
        <v>148</v>
      </c>
      <c r="O261" s="314"/>
      <c r="P261" s="314"/>
      <c r="Q261" s="289"/>
      <c r="R261" s="289"/>
      <c r="S261" s="305"/>
      <c r="T261" s="305"/>
      <c r="U261" s="305"/>
      <c r="V261" s="296"/>
      <c r="W261" s="296"/>
      <c r="X261" s="296"/>
      <c r="Y261" s="296"/>
      <c r="Z261" s="296"/>
      <c r="AA261" s="296"/>
      <c r="AB261" s="298"/>
      <c r="AC261" s="294"/>
    </row>
    <row r="262" spans="1:29" ht="39" thickBot="1" x14ac:dyDescent="0.3">
      <c r="D262" s="1504" t="s">
        <v>715</v>
      </c>
      <c r="E262" s="1505"/>
      <c r="F262" s="1506"/>
      <c r="G262" s="361" t="s">
        <v>504</v>
      </c>
      <c r="H262" s="362" t="s">
        <v>772</v>
      </c>
      <c r="I262" s="363" t="s">
        <v>713</v>
      </c>
    </row>
    <row r="263" spans="1:29" x14ac:dyDescent="0.25">
      <c r="D263" s="1491" t="s">
        <v>773</v>
      </c>
      <c r="E263" s="1492"/>
      <c r="F263" s="1492"/>
      <c r="G263" s="364">
        <f>SUM(H263:I263)</f>
        <v>2290000</v>
      </c>
      <c r="H263" s="365">
        <v>500000</v>
      </c>
      <c r="I263" s="366">
        <v>1790000</v>
      </c>
    </row>
    <row r="264" spans="1:29" ht="15.75" customHeight="1" thickBot="1" x14ac:dyDescent="0.3">
      <c r="D264" s="1493" t="s">
        <v>774</v>
      </c>
      <c r="E264" s="1494"/>
      <c r="F264" s="1494"/>
      <c r="G264" s="367">
        <f>SUM(H264:I264)</f>
        <v>149743</v>
      </c>
      <c r="H264" s="368">
        <v>149743</v>
      </c>
      <c r="I264" s="369">
        <v>0</v>
      </c>
    </row>
    <row r="265" spans="1:29" ht="16.5" thickBot="1" x14ac:dyDescent="0.3">
      <c r="D265" s="1489" t="s">
        <v>775</v>
      </c>
      <c r="E265" s="1490"/>
      <c r="F265" s="1490"/>
      <c r="G265" s="370">
        <f>SUM(G263:G264)</f>
        <v>2439743</v>
      </c>
      <c r="H265" s="371">
        <f>SUM(H263:H264)</f>
        <v>649743</v>
      </c>
      <c r="I265" s="372">
        <f>SUM(I263:I264)</f>
        <v>1790000</v>
      </c>
    </row>
    <row r="266" spans="1:29" x14ac:dyDescent="0.25">
      <c r="D266" s="1507"/>
      <c r="E266" s="1508"/>
      <c r="F266" s="1509"/>
      <c r="G266" s="373"/>
      <c r="H266" s="374"/>
      <c r="I266" s="375"/>
    </row>
    <row r="267" spans="1:29" ht="16.5" thickBot="1" x14ac:dyDescent="0.3">
      <c r="D267" s="1479" t="s">
        <v>776</v>
      </c>
      <c r="E267" s="1480"/>
      <c r="F267" s="1480"/>
      <c r="G267" s="376">
        <f>P249</f>
        <v>1862403.0429399998</v>
      </c>
      <c r="H267" s="377">
        <f>G267-I267</f>
        <v>864026.0636199998</v>
      </c>
      <c r="I267" s="378">
        <f>Y249</f>
        <v>998376.97932000004</v>
      </c>
    </row>
  </sheetData>
  <autoFilter ref="A4:AC250" xr:uid="{00000000-0009-0000-0000-000006000000}"/>
  <mergeCells count="39">
    <mergeCell ref="R255:S255"/>
    <mergeCell ref="N2:P2"/>
    <mergeCell ref="J2:M2"/>
    <mergeCell ref="S2:U2"/>
    <mergeCell ref="R2:R3"/>
    <mergeCell ref="E2:E3"/>
    <mergeCell ref="A249:E249"/>
    <mergeCell ref="B2:B3"/>
    <mergeCell ref="F2:F3"/>
    <mergeCell ref="G2:G3"/>
    <mergeCell ref="D266:F266"/>
    <mergeCell ref="Q2:Q3"/>
    <mergeCell ref="AC2:AC3"/>
    <mergeCell ref="V2:AA2"/>
    <mergeCell ref="AB2:AB3"/>
    <mergeCell ref="A253:D253"/>
    <mergeCell ref="A254:B254"/>
    <mergeCell ref="H2:H3"/>
    <mergeCell ref="C2:C3"/>
    <mergeCell ref="D2:D3"/>
    <mergeCell ref="A2:A3"/>
    <mergeCell ref="I2:I3"/>
    <mergeCell ref="K254:L254"/>
    <mergeCell ref="D267:F267"/>
    <mergeCell ref="C255:D255"/>
    <mergeCell ref="C256:D256"/>
    <mergeCell ref="C257:D257"/>
    <mergeCell ref="C258:D258"/>
    <mergeCell ref="C259:D259"/>
    <mergeCell ref="D265:F265"/>
    <mergeCell ref="D263:F263"/>
    <mergeCell ref="D264:F264"/>
    <mergeCell ref="A260:D260"/>
    <mergeCell ref="A255:B255"/>
    <mergeCell ref="A256:B256"/>
    <mergeCell ref="A257:B257"/>
    <mergeCell ref="A258:B258"/>
    <mergeCell ref="A259:B259"/>
    <mergeCell ref="D262:F262"/>
  </mergeCells>
  <phoneticPr fontId="43" type="noConversion"/>
  <pageMargins left="0.23622047244094491" right="0.23622047244094491" top="0.74803149606299213" bottom="0.74803149606299213" header="0.31496062992125984" footer="0.31496062992125984"/>
  <pageSetup paperSize="8" scale="36" fitToHeight="0" orientation="landscape" r:id="rId1"/>
  <headerFooter>
    <oddFooter>&amp;L&amp;D&amp;Cstr.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AKTUÁLNÍ ZI zm. č.2</vt:lpstr>
      <vt:lpstr>'AKTUÁLNÍ ZI zm. č.2'!Názvy_tisku</vt:lpstr>
      <vt:lpstr>'AKTUÁLNÍ ZI zm. č.2'!Oblast_tisku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2022-07-19T07:16:57Z</dcterms:modified>
</cp:coreProperties>
</file>