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5FF7EDF9-03F3-4069-9049-BAF6E068CF8B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AKTUÁLNÍ ZI zm. č.1" sheetId="18" r:id="rId1"/>
  </sheets>
  <definedNames>
    <definedName name="_xlnm._FilterDatabase" localSheetId="0" hidden="1">'AKTUÁLNÍ ZI zm. č.1'!$A$4:$AG$398</definedName>
    <definedName name="_xlnm.Print_Titles" localSheetId="0">'AKTUÁLNÍ ZI zm. č.1'!$1:$3</definedName>
    <definedName name="_xlnm.Print_Area" localSheetId="0">'AKTUÁLNÍ ZI zm. č.1'!$A$1:$AG$405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8" l="1"/>
  <c r="P31" i="18"/>
  <c r="M31" i="18"/>
  <c r="R39" i="18"/>
  <c r="P39" i="18"/>
  <c r="M39" i="18"/>
  <c r="I403" i="18" l="1"/>
  <c r="H403" i="18"/>
  <c r="G401" i="18"/>
  <c r="G403" i="18" s="1"/>
  <c r="K387" i="18"/>
  <c r="J387" i="18"/>
  <c r="I387" i="18"/>
  <c r="H387" i="18"/>
  <c r="K380" i="18"/>
  <c r="J380" i="18"/>
  <c r="I380" i="18"/>
  <c r="H380" i="18"/>
  <c r="K377" i="18"/>
  <c r="J377" i="18"/>
  <c r="I377" i="18"/>
  <c r="H377" i="18"/>
  <c r="K365" i="18"/>
  <c r="J365" i="18"/>
  <c r="I365" i="18"/>
  <c r="H365" i="18"/>
  <c r="K361" i="18"/>
  <c r="I361" i="18"/>
  <c r="H361" i="18"/>
  <c r="K285" i="18"/>
  <c r="J285" i="18"/>
  <c r="I285" i="18"/>
  <c r="H285" i="18"/>
  <c r="K281" i="18"/>
  <c r="J281" i="18"/>
  <c r="I281" i="18"/>
  <c r="H281" i="18"/>
  <c r="K275" i="18"/>
  <c r="J275" i="18"/>
  <c r="I275" i="18"/>
  <c r="H275" i="18"/>
  <c r="K271" i="18"/>
  <c r="J271" i="18"/>
  <c r="I271" i="18"/>
  <c r="H271" i="18"/>
  <c r="K257" i="18"/>
  <c r="I257" i="18"/>
  <c r="H257" i="18"/>
  <c r="K171" i="18"/>
  <c r="J171" i="18"/>
  <c r="I171" i="18"/>
  <c r="H171" i="18"/>
  <c r="I135" i="18"/>
  <c r="H135" i="18"/>
  <c r="K30" i="18"/>
  <c r="J30" i="18"/>
  <c r="I30" i="18"/>
  <c r="H30" i="18"/>
  <c r="K20" i="18"/>
  <c r="J20" i="18"/>
  <c r="I20" i="18"/>
  <c r="H20" i="18"/>
  <c r="I388" i="18" l="1"/>
  <c r="H388" i="18"/>
  <c r="Z387" i="18" l="1"/>
  <c r="Y387" i="18"/>
  <c r="X387" i="18"/>
  <c r="W387" i="18"/>
  <c r="V387" i="18"/>
  <c r="U387" i="18"/>
  <c r="T387" i="18"/>
  <c r="S387" i="18"/>
  <c r="R387" i="18"/>
  <c r="Q387" i="18"/>
  <c r="O387" i="18"/>
  <c r="N387" i="18"/>
  <c r="M387" i="18"/>
  <c r="L387" i="18"/>
  <c r="Z380" i="18"/>
  <c r="Y380" i="18"/>
  <c r="X380" i="18"/>
  <c r="W380" i="18"/>
  <c r="V380" i="18"/>
  <c r="U380" i="18"/>
  <c r="T380" i="18"/>
  <c r="S380" i="18"/>
  <c r="R380" i="18"/>
  <c r="Q380" i="18"/>
  <c r="O380" i="18"/>
  <c r="N380" i="18"/>
  <c r="M380" i="18"/>
  <c r="L380" i="18"/>
  <c r="Z377" i="18"/>
  <c r="Y377" i="18"/>
  <c r="X377" i="18"/>
  <c r="W377" i="18"/>
  <c r="V377" i="18"/>
  <c r="U377" i="18"/>
  <c r="T377" i="18"/>
  <c r="S377" i="18"/>
  <c r="R377" i="18"/>
  <c r="Q377" i="18"/>
  <c r="O377" i="18"/>
  <c r="M377" i="18"/>
  <c r="L377" i="18"/>
  <c r="Z365" i="18"/>
  <c r="Y365" i="18"/>
  <c r="X365" i="18"/>
  <c r="W365" i="18"/>
  <c r="V365" i="18"/>
  <c r="U365" i="18"/>
  <c r="T365" i="18"/>
  <c r="S365" i="18"/>
  <c r="R365" i="18"/>
  <c r="O365" i="18"/>
  <c r="N365" i="18"/>
  <c r="M365" i="18"/>
  <c r="L365" i="18"/>
  <c r="Z361" i="18"/>
  <c r="Y361" i="18"/>
  <c r="X361" i="18"/>
  <c r="W361" i="18"/>
  <c r="V361" i="18"/>
  <c r="U361" i="18"/>
  <c r="S361" i="18"/>
  <c r="R361" i="18"/>
  <c r="Q361" i="18"/>
  <c r="O361" i="18"/>
  <c r="N361" i="18"/>
  <c r="M361" i="18"/>
  <c r="L361" i="18"/>
  <c r="Z285" i="18"/>
  <c r="Y285" i="18"/>
  <c r="X285" i="18"/>
  <c r="W285" i="18"/>
  <c r="V285" i="18"/>
  <c r="U285" i="18"/>
  <c r="T285" i="18"/>
  <c r="S285" i="18"/>
  <c r="R285" i="18"/>
  <c r="Q285" i="18"/>
  <c r="O285" i="18"/>
  <c r="N285" i="18"/>
  <c r="M285" i="18"/>
  <c r="L285" i="18"/>
  <c r="Z281" i="18"/>
  <c r="Y281" i="18"/>
  <c r="X281" i="18"/>
  <c r="W281" i="18"/>
  <c r="V281" i="18"/>
  <c r="U281" i="18"/>
  <c r="T281" i="18"/>
  <c r="S281" i="18"/>
  <c r="R281" i="18"/>
  <c r="Q281" i="18"/>
  <c r="O281" i="18"/>
  <c r="N281" i="18"/>
  <c r="M281" i="18"/>
  <c r="L281" i="18"/>
  <c r="Z275" i="18"/>
  <c r="Y275" i="18"/>
  <c r="X275" i="18"/>
  <c r="W275" i="18"/>
  <c r="V275" i="18"/>
  <c r="U275" i="18"/>
  <c r="T275" i="18"/>
  <c r="S275" i="18"/>
  <c r="R275" i="18"/>
  <c r="Q275" i="18"/>
  <c r="O275" i="18"/>
  <c r="N275" i="18"/>
  <c r="M275" i="18"/>
  <c r="L275" i="18"/>
  <c r="X271" i="18"/>
  <c r="W271" i="18"/>
  <c r="U271" i="18"/>
  <c r="T271" i="18"/>
  <c r="S271" i="18"/>
  <c r="R271" i="18"/>
  <c r="O271" i="18"/>
  <c r="N271" i="18"/>
  <c r="M271" i="18"/>
  <c r="L271" i="18"/>
  <c r="Z257" i="18"/>
  <c r="Y257" i="18"/>
  <c r="X257" i="18"/>
  <c r="W257" i="18"/>
  <c r="V257" i="18"/>
  <c r="U257" i="18"/>
  <c r="T257" i="18"/>
  <c r="S257" i="18"/>
  <c r="R257" i="18"/>
  <c r="Q257" i="18"/>
  <c r="O257" i="18"/>
  <c r="N257" i="18"/>
  <c r="L257" i="18"/>
  <c r="Z171" i="18"/>
  <c r="X171" i="18"/>
  <c r="W171" i="18"/>
  <c r="U171" i="18"/>
  <c r="T171" i="18"/>
  <c r="R171" i="18"/>
  <c r="N171" i="18"/>
  <c r="L171" i="18"/>
  <c r="Z135" i="18"/>
  <c r="X135" i="18"/>
  <c r="W135" i="18"/>
  <c r="U135" i="18"/>
  <c r="T135" i="18"/>
  <c r="S135" i="18"/>
  <c r="Q135" i="18"/>
  <c r="O135" i="18"/>
  <c r="N135" i="18"/>
  <c r="Z30" i="18"/>
  <c r="Y30" i="18"/>
  <c r="X30" i="18"/>
  <c r="W30" i="18"/>
  <c r="V30" i="18"/>
  <c r="U30" i="18"/>
  <c r="T30" i="18"/>
  <c r="S30" i="18"/>
  <c r="R30" i="18"/>
  <c r="N30" i="18"/>
  <c r="M30" i="18"/>
  <c r="L30" i="18"/>
  <c r="Z20" i="18"/>
  <c r="Y20" i="18"/>
  <c r="X20" i="18"/>
  <c r="W20" i="18"/>
  <c r="V20" i="18"/>
  <c r="U20" i="18"/>
  <c r="T20" i="18"/>
  <c r="S20" i="18"/>
  <c r="R20" i="18"/>
  <c r="Q20" i="18"/>
  <c r="O20" i="18"/>
  <c r="N20" i="18"/>
  <c r="L20" i="18"/>
  <c r="Z265" i="18"/>
  <c r="Z271" i="18" s="1"/>
  <c r="V265" i="18"/>
  <c r="Q265" i="18"/>
  <c r="G265" i="18"/>
  <c r="P269" i="18"/>
  <c r="P268" i="18"/>
  <c r="P267" i="18"/>
  <c r="Y266" i="18"/>
  <c r="P266" i="18"/>
  <c r="P265" i="18"/>
  <c r="P264" i="18"/>
  <c r="P263" i="18"/>
  <c r="Y262" i="18"/>
  <c r="P262" i="18"/>
  <c r="P261" i="18"/>
  <c r="P260" i="18"/>
  <c r="P259" i="18"/>
  <c r="Y258" i="18"/>
  <c r="V258" i="18"/>
  <c r="Q258" i="18"/>
  <c r="P258" i="18"/>
  <c r="V271" i="18" l="1"/>
  <c r="U388" i="18"/>
  <c r="P271" i="18"/>
  <c r="Q271" i="18"/>
  <c r="Y271" i="18"/>
  <c r="X388" i="18"/>
  <c r="Z388" i="18"/>
  <c r="W388" i="18"/>
  <c r="N366" i="18"/>
  <c r="N377" i="18" s="1"/>
  <c r="N388" i="18" s="1"/>
  <c r="G312" i="18"/>
  <c r="J222" i="18" l="1"/>
  <c r="J257" i="18" s="1"/>
  <c r="G222" i="18"/>
  <c r="P18" i="18" l="1"/>
  <c r="P17" i="18"/>
  <c r="P16" i="18"/>
  <c r="P15" i="18"/>
  <c r="P14" i="18"/>
  <c r="P13" i="18"/>
  <c r="P12" i="18"/>
  <c r="G12" i="18"/>
  <c r="P11" i="18"/>
  <c r="P10" i="18"/>
  <c r="P9" i="18"/>
  <c r="M9" i="18"/>
  <c r="M20" i="18" s="1"/>
  <c r="P8" i="18"/>
  <c r="P7" i="18"/>
  <c r="P6" i="18"/>
  <c r="G6" i="18"/>
  <c r="P5" i="18"/>
  <c r="G71" i="18"/>
  <c r="J71" i="18"/>
  <c r="J135" i="18" s="1"/>
  <c r="P255" i="18"/>
  <c r="P254" i="18"/>
  <c r="P253" i="18"/>
  <c r="P252" i="18"/>
  <c r="P251" i="18"/>
  <c r="P250" i="18"/>
  <c r="P249" i="18"/>
  <c r="P248" i="18"/>
  <c r="P247" i="18"/>
  <c r="P246" i="18"/>
  <c r="P245" i="18"/>
  <c r="P244" i="18"/>
  <c r="P243" i="18"/>
  <c r="P242" i="18"/>
  <c r="P241" i="18"/>
  <c r="P240" i="18"/>
  <c r="P239" i="18"/>
  <c r="P238" i="18"/>
  <c r="P237" i="18"/>
  <c r="P236" i="18"/>
  <c r="P235" i="18"/>
  <c r="P234" i="18"/>
  <c r="P233" i="18"/>
  <c r="P232" i="18"/>
  <c r="P231" i="18"/>
  <c r="P230" i="18"/>
  <c r="P229" i="18"/>
  <c r="P228" i="18"/>
  <c r="P227" i="18"/>
  <c r="P226" i="18"/>
  <c r="G226" i="18"/>
  <c r="P225" i="18"/>
  <c r="P224" i="18"/>
  <c r="P223" i="18"/>
  <c r="P222" i="18"/>
  <c r="P221" i="18"/>
  <c r="G221" i="18"/>
  <c r="P220" i="18"/>
  <c r="P219" i="18"/>
  <c r="G219" i="18"/>
  <c r="P218" i="18"/>
  <c r="P217" i="18"/>
  <c r="P216" i="18"/>
  <c r="P215" i="18"/>
  <c r="P214" i="18"/>
  <c r="P213" i="18"/>
  <c r="P212" i="18"/>
  <c r="P211" i="18"/>
  <c r="P210" i="18"/>
  <c r="P209" i="18"/>
  <c r="P208" i="18"/>
  <c r="P207" i="18"/>
  <c r="G207" i="18"/>
  <c r="P206" i="18"/>
  <c r="P205" i="18"/>
  <c r="P204" i="18"/>
  <c r="G204" i="18"/>
  <c r="P203" i="18"/>
  <c r="G203" i="18"/>
  <c r="P202" i="18"/>
  <c r="G202" i="18"/>
  <c r="P201" i="18"/>
  <c r="P200" i="18"/>
  <c r="P199" i="18"/>
  <c r="P198" i="18"/>
  <c r="P197" i="18"/>
  <c r="P196" i="18"/>
  <c r="P195" i="18"/>
  <c r="P194" i="18"/>
  <c r="P193" i="18"/>
  <c r="P192" i="18"/>
  <c r="G192" i="18"/>
  <c r="P191" i="18"/>
  <c r="G191" i="18"/>
  <c r="P190" i="18"/>
  <c r="P189" i="18"/>
  <c r="P188" i="18"/>
  <c r="P187" i="18"/>
  <c r="P186" i="18"/>
  <c r="P185" i="18"/>
  <c r="M185" i="18"/>
  <c r="M257" i="18" s="1"/>
  <c r="P184" i="18"/>
  <c r="P183" i="18"/>
  <c r="P182" i="18"/>
  <c r="P181" i="18"/>
  <c r="P180" i="18"/>
  <c r="P179" i="18"/>
  <c r="G179" i="18"/>
  <c r="P178" i="18"/>
  <c r="P177" i="18"/>
  <c r="P176" i="18"/>
  <c r="P175" i="18"/>
  <c r="P174" i="18"/>
  <c r="P173" i="18"/>
  <c r="P172" i="18"/>
  <c r="P257" i="18" l="1"/>
  <c r="P20" i="18"/>
  <c r="P169" i="18"/>
  <c r="P168" i="18"/>
  <c r="P167" i="18"/>
  <c r="P166" i="18"/>
  <c r="P165" i="18"/>
  <c r="P164" i="18"/>
  <c r="P163" i="18"/>
  <c r="P162" i="18"/>
  <c r="P161" i="18"/>
  <c r="Q160" i="18"/>
  <c r="Q171" i="18" s="1"/>
  <c r="P160" i="18"/>
  <c r="P159" i="18"/>
  <c r="P158" i="18"/>
  <c r="P157" i="18"/>
  <c r="P156" i="18"/>
  <c r="P155" i="18"/>
  <c r="P154" i="18"/>
  <c r="P153" i="18"/>
  <c r="S152" i="18"/>
  <c r="S171" i="18" s="1"/>
  <c r="S388" i="18" s="1"/>
  <c r="P152" i="18"/>
  <c r="G152" i="18"/>
  <c r="P151" i="18"/>
  <c r="G151" i="18"/>
  <c r="P150" i="18"/>
  <c r="P149" i="18"/>
  <c r="P148" i="18"/>
  <c r="P147" i="18"/>
  <c r="P146" i="18"/>
  <c r="P145" i="18"/>
  <c r="G145" i="18"/>
  <c r="P144" i="18"/>
  <c r="P143" i="18"/>
  <c r="P142" i="18"/>
  <c r="G142" i="18"/>
  <c r="P141" i="18"/>
  <c r="P140" i="18"/>
  <c r="V139" i="18"/>
  <c r="V171" i="18" s="1"/>
  <c r="P139" i="18"/>
  <c r="G139" i="18"/>
  <c r="O138" i="18"/>
  <c r="M138" i="18"/>
  <c r="M171" i="18" s="1"/>
  <c r="G138" i="18"/>
  <c r="Y137" i="18"/>
  <c r="Y171" i="18" s="1"/>
  <c r="P137" i="18"/>
  <c r="G137" i="18"/>
  <c r="P136" i="18"/>
  <c r="P138" i="18" l="1"/>
  <c r="O171" i="18"/>
  <c r="P171" i="18" l="1"/>
  <c r="P133" i="18"/>
  <c r="P132" i="18"/>
  <c r="P131" i="18"/>
  <c r="P130" i="18"/>
  <c r="P129" i="18"/>
  <c r="P128" i="18"/>
  <c r="P127" i="18"/>
  <c r="P126" i="18"/>
  <c r="P125" i="18"/>
  <c r="P124" i="18"/>
  <c r="P123" i="18"/>
  <c r="P122" i="18"/>
  <c r="P121" i="18"/>
  <c r="P120" i="18"/>
  <c r="P119" i="18"/>
  <c r="P118" i="18"/>
  <c r="P117" i="18"/>
  <c r="P116" i="18"/>
  <c r="P115" i="18"/>
  <c r="P114" i="18"/>
  <c r="P113" i="18"/>
  <c r="P112" i="18"/>
  <c r="P111" i="18"/>
  <c r="P110" i="18"/>
  <c r="P109" i="18"/>
  <c r="P108" i="18"/>
  <c r="P107" i="18"/>
  <c r="P106" i="18"/>
  <c r="P105" i="18"/>
  <c r="P104" i="18"/>
  <c r="P103" i="18"/>
  <c r="P102" i="18"/>
  <c r="P101" i="18"/>
  <c r="P100" i="18"/>
  <c r="P99" i="18"/>
  <c r="P98" i="18"/>
  <c r="P97" i="18"/>
  <c r="P96" i="18"/>
  <c r="P95" i="18"/>
  <c r="P94" i="18"/>
  <c r="P93" i="18"/>
  <c r="P92" i="18"/>
  <c r="P91" i="18"/>
  <c r="P90" i="18"/>
  <c r="P89" i="18"/>
  <c r="P88" i="18"/>
  <c r="P87" i="18"/>
  <c r="P86" i="18"/>
  <c r="P85" i="18"/>
  <c r="P84" i="18"/>
  <c r="P83" i="18"/>
  <c r="P82" i="18"/>
  <c r="P81" i="18"/>
  <c r="P80" i="18"/>
  <c r="P79" i="18"/>
  <c r="P78" i="18"/>
  <c r="P77" i="18"/>
  <c r="P76" i="18"/>
  <c r="P75" i="18"/>
  <c r="P74" i="18"/>
  <c r="P73" i="18"/>
  <c r="G73" i="18"/>
  <c r="P72" i="18"/>
  <c r="P71" i="18"/>
  <c r="P70" i="18"/>
  <c r="P69" i="18"/>
  <c r="P68" i="18"/>
  <c r="P67" i="18"/>
  <c r="P66" i="18"/>
  <c r="P65" i="18"/>
  <c r="G65" i="18"/>
  <c r="P64" i="18"/>
  <c r="Y63" i="18"/>
  <c r="V63" i="18"/>
  <c r="P63" i="18"/>
  <c r="M63" i="18"/>
  <c r="G63" i="18"/>
  <c r="P62" i="18"/>
  <c r="P61" i="18"/>
  <c r="P60" i="18"/>
  <c r="P59" i="18"/>
  <c r="P58" i="18"/>
  <c r="P57" i="18"/>
  <c r="P56" i="18"/>
  <c r="P55" i="18"/>
  <c r="P54" i="18"/>
  <c r="P53" i="18"/>
  <c r="M53" i="18"/>
  <c r="Y52" i="18"/>
  <c r="Y135" i="18" s="1"/>
  <c r="Y388" i="18" s="1"/>
  <c r="I405" i="18" s="1"/>
  <c r="V52" i="18"/>
  <c r="P52" i="18"/>
  <c r="V51" i="18"/>
  <c r="P51" i="18"/>
  <c r="R50" i="18"/>
  <c r="P50" i="18"/>
  <c r="P49" i="18"/>
  <c r="M49" i="18"/>
  <c r="P48" i="18"/>
  <c r="M48" i="18"/>
  <c r="R47" i="18"/>
  <c r="P47" i="18"/>
  <c r="P46" i="18"/>
  <c r="G46" i="18"/>
  <c r="P45" i="18"/>
  <c r="G45" i="18"/>
  <c r="P44" i="18"/>
  <c r="K44" i="18"/>
  <c r="K135" i="18" s="1"/>
  <c r="K388" i="18" s="1"/>
  <c r="G44" i="18"/>
  <c r="P43" i="18"/>
  <c r="M43" i="18"/>
  <c r="V42" i="18"/>
  <c r="P42" i="18"/>
  <c r="G42" i="18"/>
  <c r="P41" i="18"/>
  <c r="G41" i="18"/>
  <c r="P40" i="18"/>
  <c r="G40" i="18"/>
  <c r="P38" i="18"/>
  <c r="M38" i="18"/>
  <c r="R37" i="18"/>
  <c r="P37" i="18"/>
  <c r="P36" i="18"/>
  <c r="L36" i="18"/>
  <c r="L135" i="18" s="1"/>
  <c r="L388" i="18" s="1"/>
  <c r="P35" i="18"/>
  <c r="M35" i="18"/>
  <c r="P34" i="18"/>
  <c r="P33" i="18"/>
  <c r="P32" i="18"/>
  <c r="M32" i="18"/>
  <c r="G32" i="18"/>
  <c r="G31" i="18"/>
  <c r="V135" i="18" l="1"/>
  <c r="V388" i="18" s="1"/>
  <c r="M135" i="18"/>
  <c r="M388" i="18" s="1"/>
  <c r="R135" i="18"/>
  <c r="R388" i="18" s="1"/>
  <c r="P135" i="18"/>
  <c r="G318" i="18" l="1"/>
  <c r="P359" i="18"/>
  <c r="P358" i="18" l="1"/>
  <c r="P357" i="18"/>
  <c r="P356" i="18"/>
  <c r="P355" i="18"/>
  <c r="P354" i="18"/>
  <c r="P353" i="18"/>
  <c r="P352" i="18"/>
  <c r="P351" i="18"/>
  <c r="P350" i="18"/>
  <c r="P349" i="18"/>
  <c r="P348" i="18"/>
  <c r="P347" i="18"/>
  <c r="P346" i="18"/>
  <c r="P345" i="18"/>
  <c r="P344" i="18"/>
  <c r="P343" i="18"/>
  <c r="P342" i="18"/>
  <c r="P341" i="18"/>
  <c r="P340" i="18"/>
  <c r="P339" i="18"/>
  <c r="P338" i="18"/>
  <c r="P337" i="18"/>
  <c r="P336" i="18"/>
  <c r="P335" i="18"/>
  <c r="P334" i="18"/>
  <c r="P333" i="18"/>
  <c r="G333" i="18"/>
  <c r="P332" i="18"/>
  <c r="G332" i="18"/>
  <c r="P331" i="18"/>
  <c r="P330" i="18"/>
  <c r="P329" i="18"/>
  <c r="G329" i="18"/>
  <c r="P328" i="18"/>
  <c r="P327" i="18"/>
  <c r="P326" i="18"/>
  <c r="G326" i="18"/>
  <c r="P325" i="18"/>
  <c r="G325" i="18"/>
  <c r="P324" i="18"/>
  <c r="P323" i="18"/>
  <c r="P322" i="18"/>
  <c r="G322" i="18"/>
  <c r="P321" i="18"/>
  <c r="P320" i="18"/>
  <c r="P319" i="18"/>
  <c r="G319" i="18"/>
  <c r="P318" i="18"/>
  <c r="P317" i="18"/>
  <c r="P316" i="18"/>
  <c r="P315" i="18"/>
  <c r="G315" i="18"/>
  <c r="P314" i="18"/>
  <c r="J314" i="18"/>
  <c r="J361" i="18" s="1"/>
  <c r="J388" i="18" s="1"/>
  <c r="G314" i="18"/>
  <c r="P313" i="18"/>
  <c r="G313" i="18"/>
  <c r="P311" i="18"/>
  <c r="G311" i="18"/>
  <c r="T310" i="18"/>
  <c r="T361" i="18" s="1"/>
  <c r="T388" i="18" s="1"/>
  <c r="P310" i="18"/>
  <c r="P309" i="18"/>
  <c r="G309" i="18"/>
  <c r="P308" i="18"/>
  <c r="P307" i="18"/>
  <c r="P306" i="18"/>
  <c r="P305" i="18"/>
  <c r="P304" i="18"/>
  <c r="G304" i="18"/>
  <c r="P303" i="18"/>
  <c r="G303" i="18"/>
  <c r="P302" i="18"/>
  <c r="G302" i="18"/>
  <c r="P301" i="18"/>
  <c r="G301" i="18"/>
  <c r="P300" i="18"/>
  <c r="G300" i="18"/>
  <c r="P299" i="18"/>
  <c r="P298" i="18"/>
  <c r="P297" i="18"/>
  <c r="P296" i="18"/>
  <c r="P295" i="18"/>
  <c r="G295" i="18"/>
  <c r="P294" i="18"/>
  <c r="G294" i="18"/>
  <c r="P293" i="18"/>
  <c r="G293" i="18"/>
  <c r="P292" i="18"/>
  <c r="P291" i="18"/>
  <c r="P290" i="18"/>
  <c r="P289" i="18"/>
  <c r="P288" i="18"/>
  <c r="P287" i="18"/>
  <c r="P286" i="18"/>
  <c r="G286" i="18"/>
  <c r="P361" i="18" l="1"/>
  <c r="P375" i="18" l="1"/>
  <c r="P374" i="18"/>
  <c r="P373" i="18"/>
  <c r="P372" i="18"/>
  <c r="P371" i="18"/>
  <c r="P370" i="18"/>
  <c r="G370" i="18"/>
  <c r="P369" i="18"/>
  <c r="P368" i="18"/>
  <c r="P367" i="18"/>
  <c r="P366" i="18"/>
  <c r="P377" i="18" l="1"/>
  <c r="Q363" i="18" l="1"/>
  <c r="P363" i="18"/>
  <c r="Q362" i="18"/>
  <c r="P362" i="18"/>
  <c r="Q365" i="18" l="1"/>
  <c r="P365" i="18"/>
  <c r="P28" i="18"/>
  <c r="G28" i="18"/>
  <c r="P27" i="18"/>
  <c r="G27" i="18"/>
  <c r="P26" i="18"/>
  <c r="G26" i="18"/>
  <c r="P25" i="18"/>
  <c r="G25" i="18"/>
  <c r="Q24" i="18"/>
  <c r="Q30" i="18" s="1"/>
  <c r="P24" i="18"/>
  <c r="G24" i="18"/>
  <c r="O23" i="18"/>
  <c r="G23" i="18"/>
  <c r="P22" i="18"/>
  <c r="G22" i="18"/>
  <c r="P21" i="18"/>
  <c r="G21" i="18"/>
  <c r="Q388" i="18" l="1"/>
  <c r="P23" i="18"/>
  <c r="O30" i="18"/>
  <c r="O388" i="18" s="1"/>
  <c r="P279" i="18"/>
  <c r="P278" i="18"/>
  <c r="P277" i="18"/>
  <c r="P276" i="18"/>
  <c r="P30" i="18" l="1"/>
  <c r="P281" i="18"/>
  <c r="P385" i="18"/>
  <c r="P384" i="18"/>
  <c r="P383" i="18"/>
  <c r="P382" i="18"/>
  <c r="P381" i="18"/>
  <c r="P387" i="18" l="1"/>
  <c r="P273" i="18" l="1"/>
  <c r="P272" i="18"/>
  <c r="P275" i="18" l="1"/>
  <c r="P282" i="18" l="1"/>
  <c r="P283" i="18"/>
  <c r="P378" i="18"/>
  <c r="P380" i="18" l="1"/>
  <c r="P285" i="18"/>
  <c r="P388" i="18" l="1"/>
  <c r="G405" i="18" s="1"/>
  <c r="H405" i="18" s="1"/>
  <c r="G380" i="18"/>
  <c r="G285" i="18" l="1"/>
  <c r="G135" i="18" l="1"/>
  <c r="G377" i="18" l="1"/>
  <c r="G281" i="18"/>
  <c r="G387" i="18"/>
  <c r="G275" i="18"/>
  <c r="G271" i="18"/>
  <c r="G20" i="18" l="1"/>
  <c r="G30" i="18"/>
  <c r="G257" i="18"/>
  <c r="G361" i="18"/>
  <c r="G171" i="18"/>
  <c r="G365" i="18"/>
  <c r="G388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rok v čísle akce změněn na rok zařazení do ZI</t>
        </r>
      </text>
    </comment>
    <comment ref="F55" authorId="0" shapeId="0" xr:uid="{277E64AE-7F5C-462C-BC82-5987342CCD3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byla změna názvu, neschválená</t>
        </r>
      </text>
    </comment>
  </commentList>
</comments>
</file>

<file path=xl/sharedStrings.xml><?xml version="1.0" encoding="utf-8"?>
<sst xmlns="http://schemas.openxmlformats.org/spreadsheetml/2006/main" count="5225" uniqueCount="1446">
  <si>
    <t>v tis. Kč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</si>
  <si>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</si>
  <si>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</si>
  <si>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</si>
  <si>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</si>
  <si>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</si>
  <si>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</si>
  <si>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Změna č. 1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</si>
  <si>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</si>
  <si>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</si>
  <si>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</si>
  <si>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</si>
  <si>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Výměna oken v budově KÚ</t>
  </si>
  <si>
    <t>PŘÍPRAVA VZ</t>
  </si>
  <si>
    <t xml:space="preserve">038-19/2015/RK ze dne 1.6.2015                   008-17/2015/ZK ze dne 22.6.2015 </t>
  </si>
  <si>
    <t>Investiční software dle konkrétních požadavků odborů</t>
  </si>
  <si>
    <t>REALIZACE</t>
  </si>
  <si>
    <t>Software pro Informační systém KÚ</t>
  </si>
  <si>
    <t>Obnova technologických center kraje - Praha a Kladno (TCK)</t>
  </si>
  <si>
    <t>Zvýšení kybernetické bezpečnosti informačního systému KÚ</t>
  </si>
  <si>
    <t>Příprava a zabezpečení staveb silnic II. a III. třídy a drážní stavby pro lehká kolejová vozidla-tramvaje</t>
  </si>
  <si>
    <t>KSÚS</t>
  </si>
  <si>
    <t>IDSK</t>
  </si>
  <si>
    <t>IDSK - vybavení IT technika</t>
  </si>
  <si>
    <t>045-24/2018/RK ze dne 6.8.2018
041-15/2018/ZK ze dne 27.8.2018</t>
  </si>
  <si>
    <t>Obec Postřižín - rekonstrukce povrchů komunikací včetně chodníků</t>
  </si>
  <si>
    <t>II/125 Kamberk, svodidla</t>
  </si>
  <si>
    <t>SOŠ a SOU Hořovice</t>
  </si>
  <si>
    <t>Rekonstrukce staré budovy výukového centra Tlustice 2.etapa</t>
  </si>
  <si>
    <t>Gymnázium Říčany, Komenského 1280</t>
  </si>
  <si>
    <t>Výstavba nové tělocvičny u Gymnázia Říčany</t>
  </si>
  <si>
    <t>Gymnázium Benešov</t>
  </si>
  <si>
    <t>Výstavba tělocvičny Gymnázia Benešov</t>
  </si>
  <si>
    <t>Střední průmyslová škola stavební a Obchodní akademie, Kladno, Cyrila Boudy 2954</t>
  </si>
  <si>
    <t>Vyšší odborná škola, Střední průmyslová škola a Jazyková škola s právem státní jazykové zkoušky, Kutná Hora, Masarykova 197</t>
  </si>
  <si>
    <t>Střední odborná škola a Střední odborné učiliště řemesel, Kutná Hora, Čáslavská 202</t>
  </si>
  <si>
    <t>Základní škola speciální, Mladá Boleslav, Václavkova 950</t>
  </si>
  <si>
    <t>Základní umělecká škola B. M. Černohorského, Nymburk, Palackého třída 574</t>
  </si>
  <si>
    <t>Stavební úpravy v podkroví budovy ZUŠ Nymburk</t>
  </si>
  <si>
    <t>Vyšší odborná škola a Střední zemědělská škola, Benešov, Mendelova 131</t>
  </si>
  <si>
    <t>053-12/2018/Rk ze dne 6.4.2018         033-13/2018/ZK ze dne 26.4.2018</t>
  </si>
  <si>
    <t>Komplexní rekonstrukce kanalizace v celém areálu školy</t>
  </si>
  <si>
    <t>Gymnázium Františka Palackého, Neratovice, Masarykova 450</t>
  </si>
  <si>
    <t>Střední škola oděvního a grafického designu, Lysá nad Labem, Stržiště 475</t>
  </si>
  <si>
    <t>Sociální zařízení v budově školy (č.p. 475)</t>
  </si>
  <si>
    <t>Střední odborná škola a Střední odborné učiliště, Vlašim, Zámek 1</t>
  </si>
  <si>
    <t>BEZ VZ</t>
  </si>
  <si>
    <t xml:space="preserve">Střední zdravotnická škola a Vyšší odborná škola zdravotnická, Nymburk, Soudní 20 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</si>
  <si>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</si>
  <si>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</si>
  <si>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</si>
  <si>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</si>
  <si>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</si>
  <si>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Regionální muzeum v Kolíně</t>
  </si>
  <si>
    <t>Středočeské muzeum v Roztokách u Prahy</t>
  </si>
  <si>
    <t>Památník A. Dvořáka ve Vysoké u Příbrami</t>
  </si>
  <si>
    <t>Sbírkotvorná činnost příspěvkových organizací - rozšiřování sbírek nákupem předmětů</t>
  </si>
  <si>
    <t>Regionální muzeum v Jílovém u Prahy</t>
  </si>
  <si>
    <t>Hornické muzeum Příbram</t>
  </si>
  <si>
    <t xml:space="preserve">Sládečkovo vlastivědné muzeum v Kladně </t>
  </si>
  <si>
    <t>37/2019/KUL</t>
  </si>
  <si>
    <t xml:space="preserve">Výstavba vstupního objektu ve skanzenu Muzea lidových staveb v Kouřimi </t>
  </si>
  <si>
    <t>40/2019/KUL</t>
  </si>
  <si>
    <t>41/2019/KUL</t>
  </si>
  <si>
    <t>Rekonstrukce parku Památníku Antonína Dvořáka</t>
  </si>
  <si>
    <t>48/2019/KUL</t>
  </si>
  <si>
    <t>Prodloužení podchodu Roztoky, společná investice SŽDC z roztockého nádraží do zámku</t>
  </si>
  <si>
    <t>ON Kladno, a.s., nem. SČK</t>
  </si>
  <si>
    <t>Generel nemocnice Kladno - Rekonstrukce bloku C2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</si>
  <si>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</si>
  <si>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</si>
  <si>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</si>
  <si>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Dětské centrum Chocerady</t>
  </si>
  <si>
    <t>Rekonstrukce dětského centra Chocerady</t>
  </si>
  <si>
    <t>Nem. Rudolfa a Stefanie Benešov, a. s., nem. SČK</t>
  </si>
  <si>
    <t>Železniční zastávky v Hostivici, Chýni, Rudné a Jinočanech - neželezniční části</t>
  </si>
  <si>
    <t>Středočeská centrála cestovního ruchu</t>
  </si>
  <si>
    <t>Domov Sedlčany</t>
  </si>
  <si>
    <t>Domov seniorů Vidim</t>
  </si>
  <si>
    <t>Domov seniorů Benešov</t>
  </si>
  <si>
    <t xml:space="preserve">Rekonstrukce budovy č.2 </t>
  </si>
  <si>
    <t>Domov Hostomice - Zátor</t>
  </si>
  <si>
    <t>Domov seniorů Dobříš</t>
  </si>
  <si>
    <t>Domov seniorů Uhlířské Janovice</t>
  </si>
  <si>
    <t>Nalžovický zámek</t>
  </si>
  <si>
    <t>Domov seniorů Nové Strašecí</t>
  </si>
  <si>
    <t>Projekt zvyšování bezpečnosti KÚSK</t>
  </si>
  <si>
    <t xml:space="preserve"> </t>
  </si>
  <si>
    <t>akce nově zařazené</t>
  </si>
  <si>
    <t>snížení celkových nákladů na akci</t>
  </si>
  <si>
    <t>akce zrušené, ukončené</t>
  </si>
  <si>
    <t>CELKEM</t>
  </si>
  <si>
    <t>Střední průmyslová škola strojírenská a Jazyková škola s právem státní jazykové zkoušky, Kolín IV, Heverova 191</t>
  </si>
  <si>
    <t>Střední odborná škola a Střední odborné učiliště, Kladno, Dubská</t>
  </si>
  <si>
    <t>Střední odborná škola informatiky a spojů a Střední odborné učiliště, Kolín, Jaselská 826</t>
  </si>
  <si>
    <t>Dvořákovo gymnázium a Střední odborná škola ekonomická, Kralupy nad Vltavou, Dvořákovo náměstí 800</t>
  </si>
  <si>
    <t>Dětský domov a Školní jídelna, Kralupy nad Vltavou, U Sociálního domu 438</t>
  </si>
  <si>
    <t>Odborné učebny pro instalatéry</t>
  </si>
  <si>
    <t>Střední odborná škola a Střední odborné učiliště, Nymburk, V Kolonii 1804</t>
  </si>
  <si>
    <t>Oprava a modernizace výtahu v kuchyni</t>
  </si>
  <si>
    <t>III/33420 Molitorov, most ev.č. 33420-1</t>
  </si>
  <si>
    <t>navýšení celkových nákladů na akci</t>
  </si>
  <si>
    <t>Rekonstrukce signalizace sestra - pacient</t>
  </si>
  <si>
    <t>Domov Vraný</t>
  </si>
  <si>
    <t>Park generací</t>
  </si>
  <si>
    <t>89/2019/DOP</t>
  </si>
  <si>
    <t>102/2019/DOP</t>
  </si>
  <si>
    <t>97/2019/SOC</t>
  </si>
  <si>
    <t>Neurčito</t>
  </si>
  <si>
    <t>x</t>
  </si>
  <si>
    <t>průběžně</t>
  </si>
  <si>
    <t>Rozvoj Rabasovy galerie Rakovník, stavební úpravy a dostavba</t>
  </si>
  <si>
    <t>*</t>
  </si>
  <si>
    <t>Smlouva Ano/Ne</t>
  </si>
  <si>
    <t>Realizace fyzicky začala Ano/Ne</t>
  </si>
  <si>
    <t>051-39/2017/RK ze dne 13.11.2017  028-11/2017/ZK ze dne 5.12.2017</t>
  </si>
  <si>
    <t>025-05/2019/RK ze dne 4.2.2019  101-17/2019/ZK ze dne 18.2.2019</t>
  </si>
  <si>
    <t>018-34/2018/RK ze dne 5.11.2018 128-16/2018/ZK ze dne 24.11.2018</t>
  </si>
  <si>
    <t>Průběžně</t>
  </si>
  <si>
    <t>NE</t>
  </si>
  <si>
    <t>ANO</t>
  </si>
  <si>
    <t>ZRUŠENO</t>
  </si>
  <si>
    <t>Koupě zámku v Přerově nad Labem (splátky hodnoty nemovitosti jsou naplánovány na 5 let)</t>
  </si>
  <si>
    <t>UKONČENO</t>
  </si>
  <si>
    <t>.</t>
  </si>
  <si>
    <t>Zřízení vodorovného dopravního značení, bezpečnostní prvky</t>
  </si>
  <si>
    <t>celkem</t>
  </si>
  <si>
    <t>3</t>
  </si>
  <si>
    <t>1</t>
  </si>
  <si>
    <t>2</t>
  </si>
  <si>
    <t>4</t>
  </si>
  <si>
    <t>CELKEM 17 - Odbor sociálních věcí</t>
  </si>
  <si>
    <t>CELKEM 10 - Odbor životního prostředí a zemědělství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</si>
  <si>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</si>
  <si>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</si>
  <si>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</si>
  <si>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</si>
  <si>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</si>
  <si>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022-14/2019/RK ze dne 15.4.2019  108-18/2019/ZK ze dne 29.4.2019</t>
  </si>
  <si>
    <t>109/2019/SOC</t>
  </si>
  <si>
    <t>111/2019/SOC</t>
  </si>
  <si>
    <t>Výstavba technické budovy, údržba a prádelna</t>
  </si>
  <si>
    <t>114/2019/SOC</t>
  </si>
  <si>
    <t>116/2019/SOC</t>
  </si>
  <si>
    <t>117/2019/SOC</t>
  </si>
  <si>
    <t>119/2019/SOC</t>
  </si>
  <si>
    <t>Domov Na Hrádku, Červený Hrádek</t>
  </si>
  <si>
    <t>Domov Pod Kavčí Skálou, Říčany u Prahy</t>
  </si>
  <si>
    <t>Domov seniorů TGM, Beroun</t>
  </si>
  <si>
    <t>Domov Laguna, Psáry</t>
  </si>
  <si>
    <t>Domov Na Zámku, Lysá</t>
  </si>
  <si>
    <t>1/2022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</si>
  <si>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</si>
  <si>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</si>
  <si>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</si>
  <si>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</si>
  <si>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</si>
  <si>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071-29/2016/RK ze dne 29.8.2016       012-24/2016/ZK ze dne 19.9.2016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</si>
  <si>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</si>
  <si>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</si>
  <si>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</si>
  <si>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</si>
  <si>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</si>
  <si>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</si>
  <si>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</si>
  <si>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</si>
  <si>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</si>
  <si>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</si>
  <si>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</si>
  <si>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87/2019/SKOL</t>
  </si>
  <si>
    <t>96/2019/SKOL</t>
  </si>
  <si>
    <t>99/2019/SKOL</t>
  </si>
  <si>
    <t>110/2019/SKOL</t>
  </si>
  <si>
    <t>116/2019/SKOL</t>
  </si>
  <si>
    <t>127/2019/SKOL</t>
  </si>
  <si>
    <t>Gymnázium Dr. Josefa Pekaře, Mladá Boleslav, Palackého 211</t>
  </si>
  <si>
    <t>Dokončení sanace suterénu</t>
  </si>
  <si>
    <t>025-19/2019/RK ze dne 3.6.2019  095-19/2019/ZK ze dne 24.6.2019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</si>
  <si>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</si>
  <si>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</si>
  <si>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</si>
  <si>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</si>
  <si>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</si>
  <si>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</si>
  <si>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</si>
  <si>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</si>
  <si>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</si>
  <si>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III/33012 Písty</t>
  </si>
  <si>
    <t>III/1256 Vlašim - Veliš</t>
  </si>
  <si>
    <t>109/2019/DOP</t>
  </si>
  <si>
    <t>112/2019/DOP</t>
  </si>
  <si>
    <t>113/2019/DOP</t>
  </si>
  <si>
    <t>117/2019/DOP</t>
  </si>
  <si>
    <t>126/2019/DOP</t>
  </si>
  <si>
    <t>127/2019/DOP</t>
  </si>
  <si>
    <t>1.Q          (1.1.-31.3.)</t>
  </si>
  <si>
    <t>2.Q         (1.4.-30.6.)</t>
  </si>
  <si>
    <t>128/2019/DOP</t>
  </si>
  <si>
    <t>III/1057 komunikace na hrázi Dunávického rybníka</t>
  </si>
  <si>
    <t>147/2019/DOP</t>
  </si>
  <si>
    <t>159/2019/DOP</t>
  </si>
  <si>
    <t>II/268 Klášter Hradiště n. Jiz., most ev.č. 268-007</t>
  </si>
  <si>
    <t>194/2019/DOP</t>
  </si>
  <si>
    <t>Ústav archeologické památkové péče středních Čech</t>
  </si>
  <si>
    <t>65/2019/KUL</t>
  </si>
  <si>
    <t>Hornicko-hutnická expozice</t>
  </si>
  <si>
    <t>Zpracování projektové dokumentace na akci „Rozšíření vodárenské soustavy v koridoru dálnice D3"</t>
  </si>
  <si>
    <t>Rekonstrukce sociálních zařízení v budově KÚ</t>
  </si>
  <si>
    <t>Časový horizont změny aktuálního stavu (měsíc /rok)</t>
  </si>
  <si>
    <t>3.Q         (1.7.-30.9.)</t>
  </si>
  <si>
    <t>4.Q         (1.10.-31.12.)</t>
  </si>
  <si>
    <t>Zařazeno do Zásobníku investic usnesením RK/ZK</t>
  </si>
  <si>
    <t>21/2020/INF</t>
  </si>
  <si>
    <t>Rozšíření systému zálohování prostřednictvím Data Domain appliance v rámci technologického centra</t>
  </si>
  <si>
    <t>3/2022</t>
  </si>
  <si>
    <t>Opěrná zeď silnic III/11619 Karlštejn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</si>
  <si>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</si>
  <si>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</si>
  <si>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</si>
  <si>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</si>
  <si>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</si>
  <si>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</si>
  <si>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213/2020/DOP</t>
  </si>
  <si>
    <t>II/336 Buda - Čejtice</t>
  </si>
  <si>
    <t>214/2020/DOP</t>
  </si>
  <si>
    <t>215/2020/DOP</t>
  </si>
  <si>
    <t>II/328 Sloveč - Kněžice</t>
  </si>
  <si>
    <t>224/2020/DOP</t>
  </si>
  <si>
    <t>Dopravní značení - omezení tranzitní dopravy</t>
  </si>
  <si>
    <t>225/2020/DOP</t>
  </si>
  <si>
    <t>Domov Seniorů Vojkov</t>
  </si>
  <si>
    <t>Domov u Anežky Luštěnice</t>
  </si>
  <si>
    <t>036-23/2011/RK ze dne 30.05.2011 043-16/2011/ZK ze dne 6.6.2011</t>
  </si>
  <si>
    <t>12/2022</t>
  </si>
  <si>
    <t>9/2023</t>
  </si>
  <si>
    <t>042-33/2019/RK ze dne 31.10.2019    139-21/2019/ZK ze dne 25.11.2019</t>
  </si>
  <si>
    <t>Kapitálové prostředky  (po změně  č. 1)</t>
  </si>
  <si>
    <t>048-24/2019/RK ze dne  29.7.2019 088-20/2019/ZK ze dne 26.8.2019</t>
  </si>
  <si>
    <t>066-02/2020/RK ze dne 13.1.2020    071-22/2020/ZK ze dne 27.1.2020</t>
  </si>
  <si>
    <t>11/2022</t>
  </si>
  <si>
    <t>Instalace a oprava svodidel u silnic II. a III.tříd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</si>
  <si>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</si>
  <si>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</si>
  <si>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</si>
  <si>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</si>
  <si>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</si>
  <si>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</si>
  <si>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</si>
  <si>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Převoz seníku z Rokytnice nad Jizerou</t>
  </si>
  <si>
    <t>70/2020/KUL</t>
  </si>
  <si>
    <t>Český Brod - obnova elektroinstalace</t>
  </si>
  <si>
    <t>149/2020/SKOL</t>
  </si>
  <si>
    <t xml:space="preserve">Instruktážní nácviková hala </t>
  </si>
  <si>
    <t>151/2020/SKOL</t>
  </si>
  <si>
    <t>Aktuální stav (Příprava VZ, Probíhá VZ, Realizace, Finanční vypořádání, Ukončeno,  Zrušeno)</t>
  </si>
  <si>
    <t>Rekonstrukce elektroinstalace, rozvodu vody a odpadů v DOZP</t>
  </si>
  <si>
    <t>Rekonstrukce podatelny KÚ - část pro veřejnost</t>
  </si>
  <si>
    <t>12/2023</t>
  </si>
  <si>
    <t>71/2020/KUL</t>
  </si>
  <si>
    <t>Finanční vypořádání</t>
  </si>
  <si>
    <t>6/2022</t>
  </si>
  <si>
    <t>Netvořice III/1056, III/1057, III/1059, III/10510, III/1065</t>
  </si>
  <si>
    <t>242/2020/DOP</t>
  </si>
  <si>
    <t>III/23628 Drnek</t>
  </si>
  <si>
    <t>243/2020/DOP</t>
  </si>
  <si>
    <t>II/113 Mrzky</t>
  </si>
  <si>
    <t>246/2020/DOP</t>
  </si>
  <si>
    <t>III/1064 Nedvězí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</si>
  <si>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</si>
  <si>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</si>
  <si>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</si>
  <si>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</si>
  <si>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</si>
  <si>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</si>
  <si>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025-13/2020/RK ze dne 30.3.2020 115-24/2020/ZK ze dne 1.6.2020</t>
  </si>
  <si>
    <t>251/2020/DOP</t>
  </si>
  <si>
    <t>252/2020/DOP</t>
  </si>
  <si>
    <t>036-53/2020/RK ze dne 20.7.2020  130-26/2020/ZK ze dne 3.8.2020</t>
  </si>
  <si>
    <t>mimo rozpočet SK</t>
  </si>
  <si>
    <t>139/2020/ZDR</t>
  </si>
  <si>
    <t>Pavilon centrálního příjmu</t>
  </si>
  <si>
    <t>142/2020/ZDR</t>
  </si>
  <si>
    <t>Rekonstrukce objektu SO 03, pavilon "O"</t>
  </si>
  <si>
    <t>143/2020/ZDR</t>
  </si>
  <si>
    <t>Rekonstrukce objektu SO 05, pavilon "E"</t>
  </si>
  <si>
    <t xml:space="preserve">ZZS SČK, p. o. 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</si>
  <si>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</si>
  <si>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</si>
  <si>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</si>
  <si>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</si>
  <si>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</si>
  <si>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</si>
  <si>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</si>
  <si>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</si>
  <si>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</si>
  <si>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</si>
  <si>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</si>
  <si>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</si>
  <si>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</si>
  <si>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6/2023</t>
  </si>
  <si>
    <t>10/2022</t>
  </si>
  <si>
    <t>9/2022</t>
  </si>
  <si>
    <t>II/322 Týnec nad Labem, most ev.č.322-005-oprava mostu v režimu "vyprojektuj a postav" ve smyslu Žluté knihy FIDIC</t>
  </si>
  <si>
    <t>11/2023</t>
  </si>
  <si>
    <t>254/2020/DOP</t>
  </si>
  <si>
    <t>Probíhá příprava dohody o narovnání mezi SČK a SŽDC, Dohoda k posouzení je na SŽDC. Probíhají stále jednání se SŽDC.</t>
  </si>
  <si>
    <t>úvěr EIB</t>
  </si>
  <si>
    <t>040-84/2020/RK ze dne 26.11.2020  021-02/2020/ZK ze dne 14.12.2020</t>
  </si>
  <si>
    <t>Výkup pozemků (včetně pod stávající sítí) - silniční síť</t>
  </si>
  <si>
    <t>FINANČNÍ VYPOŘÁDÁNÍ</t>
  </si>
  <si>
    <t>040-84/2020/RK ze dne 26.11.2020 021-2/2020/ZK ze dne 14.12.2020</t>
  </si>
  <si>
    <t>27/2021/INF</t>
  </si>
  <si>
    <t>Portál Středočeského kraje</t>
  </si>
  <si>
    <t>75/2021/KUL</t>
  </si>
  <si>
    <t>Vybudování expozice a související náklady s adaptací objektu PM Český Brod</t>
  </si>
  <si>
    <t>76/2021/KUL</t>
  </si>
  <si>
    <t>Hornický domek v areálu Ševčinské štoly</t>
  </si>
  <si>
    <t>2/2022</t>
  </si>
  <si>
    <t>1/2023</t>
  </si>
  <si>
    <t>061-05/2021/RK ze dne 4.2.2021   048-04/2021/ZK ze dne 22.2.2021</t>
  </si>
  <si>
    <t>Rekonstrukce elektroinstalace tech. zázemí domova a rekonstrukce vodoinstalace tech. zázemí domova</t>
  </si>
  <si>
    <t>12/2024</t>
  </si>
  <si>
    <t>II/339 Štipoklasy - Červené Janovice</t>
  </si>
  <si>
    <t>256/2021/DOP</t>
  </si>
  <si>
    <t>III/1114 Líšno, svah a část vozovky</t>
  </si>
  <si>
    <t>3/2023</t>
  </si>
  <si>
    <t>77/2021/KUL</t>
  </si>
  <si>
    <t>Nákup autobusové zastávky Přerov nad Labem</t>
  </si>
  <si>
    <t>Pozn. - číselné hodnoty finančních prostředků jsou ukládány s přesností na haléře, pro přehlednost jsou zobrazovány zaokrouhleně na celé tis. Kč.</t>
  </si>
  <si>
    <t xml:space="preserve"> 037-16/2021/RK ze dne 8.4.2021     027-06/2021/ZK ze dne 26.4.2021</t>
  </si>
  <si>
    <t>141/2021/SOC</t>
  </si>
  <si>
    <t>Rekonstrukce fasády  včetně rozvodů STA a IT</t>
  </si>
  <si>
    <t>Stavebně ukončeno, zádržné ve výši 720 782,25 Kč bude vyplaceno po 13.9.2023</t>
  </si>
  <si>
    <t>Stellplatz Vrchbělá - stání pro karavany a obytná auta v areálu Vrchbělá</t>
  </si>
  <si>
    <t>Rekonstrukce a přístavba budovy N a D2</t>
  </si>
  <si>
    <t>CELKEM 26 - Odbor veřejné mobility</t>
  </si>
  <si>
    <t>CELKEM 25 - Odbor bezpečnosti a krizového řízení</t>
  </si>
  <si>
    <t xml:space="preserve"> Kap. 12    celkem             </t>
  </si>
  <si>
    <t>CELKEM 08 - Oddělení regionálního rozvoje</t>
  </si>
  <si>
    <t>051-39/2017/RK ze dne 13.11.2017          028-11/2017/ZK ze dne  5.12.2017</t>
  </si>
  <si>
    <t xml:space="preserve"> 046-25/2021/RK ze dne 10.6.2021  015-08/2021/ZK ze dne 28.6.2021</t>
  </si>
  <si>
    <t>143/2021/SOC</t>
  </si>
  <si>
    <t>Rekonstrukce koupelen II. Etapa</t>
  </si>
  <si>
    <t>144/2021/SOC</t>
  </si>
  <si>
    <t xml:space="preserve">Rekonstrukce společných koupelen </t>
  </si>
  <si>
    <t>145/2021/SOC</t>
  </si>
  <si>
    <t>Výměna - repase oken</t>
  </si>
  <si>
    <t>146/2021/SOC</t>
  </si>
  <si>
    <t>Rekonstrukce terasy</t>
  </si>
  <si>
    <t>257/2021/DOP</t>
  </si>
  <si>
    <t xml:space="preserve"> 046-25/2021/RK ze dne 10.6.2021     015-08/2021/ZK ze dne 28.6.2021</t>
  </si>
  <si>
    <t>Elektromobilita - vozový park KÚ</t>
  </si>
  <si>
    <t xml:space="preserve">PD + Rekonstrukce osvětlení  - veřejné prostory KÚ </t>
  </si>
  <si>
    <t>3/2021/OVM</t>
  </si>
  <si>
    <t>Propojení cyklistických tras Středočeský kraj - Praha, orientační dopravní značení</t>
  </si>
  <si>
    <t>4/2021/OVM</t>
  </si>
  <si>
    <t xml:space="preserve">Vyznačení odboček z cyklotras na expoziční objekty, orientační dopravní značení </t>
  </si>
  <si>
    <t>5/2021/OVM</t>
  </si>
  <si>
    <t>ORP</t>
  </si>
  <si>
    <t>III/1185 a III11811 Obecnice</t>
  </si>
  <si>
    <t>BENEŠOV-TS BN 0451 Domov seniorů-kompaktní trafostanice BPP</t>
  </si>
  <si>
    <t>celý kraj</t>
  </si>
  <si>
    <t>Mladá Boleslav</t>
  </si>
  <si>
    <t>Černošice</t>
  </si>
  <si>
    <t>Sedlčany</t>
  </si>
  <si>
    <t>Říčany</t>
  </si>
  <si>
    <t>Neratovice</t>
  </si>
  <si>
    <t>Benešov</t>
  </si>
  <si>
    <t>Kutná Hora</t>
  </si>
  <si>
    <t>Kolín, Neratovice</t>
  </si>
  <si>
    <t>Nymburk</t>
  </si>
  <si>
    <t>Beroun</t>
  </si>
  <si>
    <t>Kolín</t>
  </si>
  <si>
    <t>Slaný</t>
  </si>
  <si>
    <t>Mnichovo Hradiště</t>
  </si>
  <si>
    <t>Rakovník</t>
  </si>
  <si>
    <t>Poděbrady</t>
  </si>
  <si>
    <t>Kladno</t>
  </si>
  <si>
    <t>Příbram</t>
  </si>
  <si>
    <t>Český Brod</t>
  </si>
  <si>
    <t>Mělník</t>
  </si>
  <si>
    <t>Dobříš</t>
  </si>
  <si>
    <t>Vlašim</t>
  </si>
  <si>
    <t>152/2021/ZDR</t>
  </si>
  <si>
    <t>Vybudování nového stanoviště ZZS SK, Brandýs nad Labem</t>
  </si>
  <si>
    <t xml:space="preserve"> 080-32/2021/RK ze dne   26.8.2021     021-09/2021/ZK ze dne 13.9.2021</t>
  </si>
  <si>
    <t xml:space="preserve"> 080-32/2021/RK ze dne  26.8.2021     021-09/2021/ZK ze dne 13.9.2021</t>
  </si>
  <si>
    <t>Hořovice</t>
  </si>
  <si>
    <t>Lysá nad Labem</t>
  </si>
  <si>
    <t>Votice</t>
  </si>
  <si>
    <t>Nákup a obnova výpočetní techniky a zařízení</t>
  </si>
  <si>
    <t>Pořízení nových kopírovacích strojů pro KÚ</t>
  </si>
  <si>
    <t>Instalace klimatizačních jednotek do vybraných kanceláří ve druhém patře budovy KÚ</t>
  </si>
  <si>
    <t>Výměna garážových vrat na KÚ</t>
  </si>
  <si>
    <t>Modernizace schodišťové plošiny pro invalidy - vstup "C" KÚ</t>
  </si>
  <si>
    <t>Obměna vozového parku KÚ- kategorie nižší střední</t>
  </si>
  <si>
    <t>PD + Výměna rekonstrukce výtahu "B" KÚ</t>
  </si>
  <si>
    <t>Chytrý úřad - elektronický vnitřní informační systém KÚ</t>
  </si>
  <si>
    <t xml:space="preserve">016-06/2017/RK ze dne 16.2.2017  022-04/2017/ZK ze dne 7.3.2017     </t>
  </si>
  <si>
    <t>175/2021/SKOL</t>
  </si>
  <si>
    <t>177/2021/SKOL</t>
  </si>
  <si>
    <t>Základní škola, Zruč nad Sázavou, Okružní 643</t>
  </si>
  <si>
    <t>178/2021/SKOL</t>
  </si>
  <si>
    <t>179/2021/SKOL</t>
  </si>
  <si>
    <t>180/2021/SKOL</t>
  </si>
  <si>
    <t>Základní škola, Brandýs nad Labem - Stará Boleslav, příspěvková organizace</t>
  </si>
  <si>
    <t>181/2021/SKOL</t>
  </si>
  <si>
    <t>182/2021/SKOL</t>
  </si>
  <si>
    <t>Integrovaná střední škola, Mladá Boleslav, Na Karmeli 206</t>
  </si>
  <si>
    <t>Úprava půdních prostorů DM Jaselská</t>
  </si>
  <si>
    <t>183/2021/SKOL</t>
  </si>
  <si>
    <t>184/2021/SKOL</t>
  </si>
  <si>
    <t xml:space="preserve">Rekonstrukce kuchyně </t>
  </si>
  <si>
    <t>258/2021/DOP</t>
  </si>
  <si>
    <t>Okružní křižovatky Nymburk II/503xII/330 a II/503xII/331</t>
  </si>
  <si>
    <t>259/2021/DOP</t>
  </si>
  <si>
    <t>III/11816 Jelence</t>
  </si>
  <si>
    <t>Nákup užitkového a osobního vozu</t>
  </si>
  <si>
    <t>80/2021/KUL</t>
  </si>
  <si>
    <t>Investice v areálu Uranového dolu Bytíz</t>
  </si>
  <si>
    <t>81/2021/KUL</t>
  </si>
  <si>
    <t>Koupě Hrabalovy chaty v Kersku</t>
  </si>
  <si>
    <t>82/2021/KUL</t>
  </si>
  <si>
    <t>Oblastní muzeum Praha - východ</t>
  </si>
  <si>
    <t>83/2021/KUL</t>
  </si>
  <si>
    <t>REKO soc. zařízení DM-SOŠ a SOU řemesel KH</t>
  </si>
  <si>
    <t>Nový objekt základní školy speciální - Mladá Boleslav</t>
  </si>
  <si>
    <t>Půdní vestavba učeben - SZŠ, VOŠ Nymburk</t>
  </si>
  <si>
    <t>Výměna el. rozvodů - dílny - OU, PŠ, ZŠ Příbram</t>
  </si>
  <si>
    <t>Rekonstrukce kuchyně a jídelny DM -  SoŠ a SOU Kladno</t>
  </si>
  <si>
    <t>Nákup pozemku-SOŠ informatiky a SOU, Kolín</t>
  </si>
  <si>
    <t>Odizolování základů-Gym. F. Palackého, Neratovice</t>
  </si>
  <si>
    <t>Odizolování zdiva suterénu-DD a ŠJ Kralupy n/V</t>
  </si>
  <si>
    <t>Nová budova ZŠ - Brandýs nad Labem</t>
  </si>
  <si>
    <t>Hotelová škola Poděbrady, příspěvková organizace</t>
  </si>
  <si>
    <t>Modernizace školních kuchyněk - HŠ Poděbrady</t>
  </si>
  <si>
    <t>Rekonstrukce kotelny-SPŠS Kolín</t>
  </si>
  <si>
    <t>1/2011/INF</t>
  </si>
  <si>
    <t>3/2013/INF</t>
  </si>
  <si>
    <t>5/2018/INF</t>
  </si>
  <si>
    <t>6/2018/INF</t>
  </si>
  <si>
    <t>9/2018/INF</t>
  </si>
  <si>
    <t>10/2018/INF</t>
  </si>
  <si>
    <t>1/2013/DOP</t>
  </si>
  <si>
    <t>2/2006/DOP</t>
  </si>
  <si>
    <t>35/2018/DOP</t>
  </si>
  <si>
    <t>45/2018/DOP</t>
  </si>
  <si>
    <t>1/2016/SKOL</t>
  </si>
  <si>
    <t>3/2016/SKOL</t>
  </si>
  <si>
    <t>6/2017/SKOL</t>
  </si>
  <si>
    <t>7/2017/SKOL</t>
  </si>
  <si>
    <t>17/2017/SKOL</t>
  </si>
  <si>
    <t>18/2017/SKOL</t>
  </si>
  <si>
    <t>20/2017/SKOL</t>
  </si>
  <si>
    <t>31/2018/SKOL</t>
  </si>
  <si>
    <t>39/2018/SKOL</t>
  </si>
  <si>
    <t>56/2018/SKOL</t>
  </si>
  <si>
    <t>1/2011/KUL</t>
  </si>
  <si>
    <t>20/2018/KUL</t>
  </si>
  <si>
    <t>29/2018/KUL</t>
  </si>
  <si>
    <t>32/2018/KUL</t>
  </si>
  <si>
    <t>2/2012/ZDR</t>
  </si>
  <si>
    <t>4/2015/ZDR</t>
  </si>
  <si>
    <t>10/2016/ZDR</t>
  </si>
  <si>
    <t>1/2014/REG</t>
  </si>
  <si>
    <t>1/2017/OZP</t>
  </si>
  <si>
    <t>4/2017/SOC</t>
  </si>
  <si>
    <t>12/2017/SOC</t>
  </si>
  <si>
    <t>23/2017/SOC</t>
  </si>
  <si>
    <t>45/2018/SOC</t>
  </si>
  <si>
    <t>1/2018/OBŘ</t>
  </si>
  <si>
    <t>2/2016/OBŘ</t>
  </si>
  <si>
    <t>1/2017/OVM</t>
  </si>
  <si>
    <t>2/2019/OVM</t>
  </si>
  <si>
    <t>č. inv. akce</t>
  </si>
  <si>
    <t xml:space="preserve"> 047-42/2021/RK ze dne  11.11.2021     031-11/2021/ZK ze dne 29.11.2021</t>
  </si>
  <si>
    <t>Rekonstrukce elektrických rozvodů a svítidel - Gym. Dr. Pekaře, Mladá Boleslav</t>
  </si>
  <si>
    <t>čerpáno do 31.12. 2021</t>
  </si>
  <si>
    <t>požadavek r. 2023</t>
  </si>
  <si>
    <t>Kapitálové prostředky  (před zm. č. 1)</t>
  </si>
  <si>
    <t>z toho EIB</t>
  </si>
  <si>
    <t xml:space="preserve">Legenda </t>
  </si>
  <si>
    <t>025-05/2019/RK ze dne 4.2.2019      101-17/2019/ZK ze dne 18.2.2019</t>
  </si>
  <si>
    <t>048-24/2019/RK ze dne  29.7.2019     088-20/2019/ZK ze dne 26.8.2019</t>
  </si>
  <si>
    <t>048-24/2019/RK ze dne  29.7.2019    088-20/2019/ZK ze dne 26.8.2019</t>
  </si>
  <si>
    <t>5/2023</t>
  </si>
  <si>
    <t>Senzorické zabezpečení silnic Středočeského kraje</t>
  </si>
  <si>
    <t xml:space="preserve"> 080-32/2021/RK ze dne 26.8.2021 021-09/2021/ZK ze dne 13.9.2021</t>
  </si>
  <si>
    <t>047-42/2021/RK ze dne 11.11.2021 031-11/2021/ZK ze dne 29.11.2021</t>
  </si>
  <si>
    <t>261/2021/DOP</t>
  </si>
  <si>
    <t>Areál CMS Říčany - dostavba areálu</t>
  </si>
  <si>
    <t>262/2021/DOP</t>
  </si>
  <si>
    <t>III33355 Kutná Hora, Gruntecká</t>
  </si>
  <si>
    <t>4/2023</t>
  </si>
  <si>
    <t>265/2021/DOP</t>
  </si>
  <si>
    <t>III/33721 Močovice</t>
  </si>
  <si>
    <t>Čáslav</t>
  </si>
  <si>
    <t>266/2021/DOP</t>
  </si>
  <si>
    <t>II/508 Mnichovice, chodník - nahrazení lávky</t>
  </si>
  <si>
    <t>187/2022/SKOL</t>
  </si>
  <si>
    <t>Gymnázium Hostivice, příspěvková organizace</t>
  </si>
  <si>
    <t>Nástavba budovy Gymnázia Hostivice</t>
  </si>
  <si>
    <t>8/2022</t>
  </si>
  <si>
    <t>Rekonstrukce / revitalizace areálu Regionálního muzea v Jílovém u Prahy</t>
  </si>
  <si>
    <t>147/2022/SOC</t>
  </si>
  <si>
    <t>6/2021/OVM</t>
  </si>
  <si>
    <t>Vyznačení EuroVelo 4 CT 39 Zdice - hranice Plzeňského kraje</t>
  </si>
  <si>
    <t>Rakovník, Beroun</t>
  </si>
  <si>
    <t>7/2021/OVM</t>
  </si>
  <si>
    <t>Vyznačení EuroVelo 7 CT 7 Praha - hranice Jihočeského kraje</t>
  </si>
  <si>
    <t xml:space="preserve">Černošice, Příbram, Sedlčany, </t>
  </si>
  <si>
    <t>8/2021/OVM</t>
  </si>
  <si>
    <t>Vyznačení CT1 Kouřim - Kutná Hora</t>
  </si>
  <si>
    <t>Kutná Hora, Kolín</t>
  </si>
  <si>
    <t>Výstavba nového centrálního muzejního depozitáře pro RM Kolín</t>
  </si>
  <si>
    <t xml:space="preserve">3 </t>
  </si>
  <si>
    <t>z toho vlastní zdroje SK</t>
  </si>
  <si>
    <t>7/2023</t>
  </si>
  <si>
    <t>Výměna vozového parku - nákup 3 osobních vozidel</t>
  </si>
  <si>
    <t>Obnova dřevěných prvků v zahradách GASK</t>
  </si>
  <si>
    <t>Polabské muzeum</t>
  </si>
  <si>
    <t>Adaptace expozičních objektů pro veřejnost "Hrabalova chata"</t>
  </si>
  <si>
    <t>2/2023</t>
  </si>
  <si>
    <t>84/2022/KUL</t>
  </si>
  <si>
    <t>85/2022/KUL</t>
  </si>
  <si>
    <t>Revitalizace interiéru kavárny ve Sládkovně</t>
  </si>
  <si>
    <t>86/2022/KUL</t>
  </si>
  <si>
    <t>87/2022/KUL</t>
  </si>
  <si>
    <t>148/2022/SOC</t>
  </si>
  <si>
    <t xml:space="preserve">Vybudování EPS zámek </t>
  </si>
  <si>
    <t>149/2022/SOC</t>
  </si>
  <si>
    <t>Centrum 83</t>
  </si>
  <si>
    <t>Výměna svislé zdvihací plošiny pro přepravu osob na 2. pavilonu</t>
  </si>
  <si>
    <t>Nutná rekonstrukce vzhledem k havarijnímu stavu</t>
  </si>
  <si>
    <t>030-06/2022/RK ze dne 10.2.2022       014-13/2022/ZK ze dne 28.2.2022</t>
  </si>
  <si>
    <t>Brandýs n. L. -Stará Boleslav</t>
  </si>
  <si>
    <t>Kralupy n. Vl.</t>
  </si>
  <si>
    <t>2/2024</t>
  </si>
  <si>
    <t>150/2022/SOC</t>
  </si>
  <si>
    <t>Výměna rozvodů teplé vody a cirkulace DS Benešov</t>
  </si>
  <si>
    <t>151/2022/SOC</t>
  </si>
  <si>
    <t>Rekonstrukce dvou desinfekčních místností</t>
  </si>
  <si>
    <t>Nutná rekonstrukce z hygienických důvodů</t>
  </si>
  <si>
    <t>88/2022/KUL</t>
  </si>
  <si>
    <t>Muzeum Českého krasu</t>
  </si>
  <si>
    <t>Výstava Český kras a jeho lidé</t>
  </si>
  <si>
    <t>89/2022/KUL</t>
  </si>
  <si>
    <t>Pořízení užitkového vozu Peugeot Boxer</t>
  </si>
  <si>
    <t>90/2022/KUL</t>
  </si>
  <si>
    <t>Expozice zlata v ČR</t>
  </si>
  <si>
    <t>4/2024</t>
  </si>
  <si>
    <t>268/2021/DOP</t>
  </si>
  <si>
    <t>III/32926 x III/33014 Bobnice zpřehlednění křižovatky a rekonstrukce autobusových zastávek</t>
  </si>
  <si>
    <t>Úprava značení CT 7 a CT 2</t>
  </si>
  <si>
    <t>7/2024</t>
  </si>
  <si>
    <t>9/2024</t>
  </si>
  <si>
    <t>Rekonstrukce zasedací místnosti 1015 KÚ</t>
  </si>
  <si>
    <t xml:space="preserve">Zateplení budovy školy - ZŠ Zruč n/S </t>
  </si>
  <si>
    <t>Akce EPC II - energetické úspory Středočeského kraje - soubor objektů č. 7</t>
  </si>
  <si>
    <t>Akce EPC II - energetické úspory Středočeského kraje - soubor objektů č. 8</t>
  </si>
  <si>
    <t>Akce EPC II - energetické úspory Středočeského kraje - soubor objektů č. 9</t>
  </si>
  <si>
    <t>Akce EPC II - energetické úspory Středočeského kraje - soubor objektů č. 10</t>
  </si>
  <si>
    <t>Akce EPC II - energetické úspory Středočeského kraje - soubor objektů č. 11</t>
  </si>
  <si>
    <t>046-14/2022/RK ze dne 7.4.2022,    011-15/2022/ZK ze dne 25.4.2022</t>
  </si>
  <si>
    <t>064-23/2022/RK ze dne 9.6.2022  018-17/2022/ZK ze dne 27.6.2022</t>
  </si>
  <si>
    <t xml:space="preserve">Rekonstrukce el. rozvodů </t>
  </si>
  <si>
    <t>Rekonstrukce nemovitosti č.p. 41</t>
  </si>
  <si>
    <t>Rekonstrukce EPS</t>
  </si>
  <si>
    <t>152/2022/SOC</t>
  </si>
  <si>
    <t>Domov Buda</t>
  </si>
  <si>
    <t>Revitalizace koupelen v domově Buda</t>
  </si>
  <si>
    <t>153/2022/SOC</t>
  </si>
  <si>
    <t>Domov V Zahradách Zdice</t>
  </si>
  <si>
    <t>Rekonstrukce a modernizace kotelny</t>
  </si>
  <si>
    <t>154/2020/SOC</t>
  </si>
  <si>
    <t>Domov Hostomice - Zátor, revitalizace střechy</t>
  </si>
  <si>
    <t>155/2022/SOC</t>
  </si>
  <si>
    <t xml:space="preserve">Revitalizace střechy v Domově Vraný </t>
  </si>
  <si>
    <t>156/2022/SOC</t>
  </si>
  <si>
    <t>Domov Unhošť</t>
  </si>
  <si>
    <t>Zhotovení odpočinkových zón pro klienty</t>
  </si>
  <si>
    <t>157/2022/SOC</t>
  </si>
  <si>
    <t>Mobilní sprchovací systém včetně příslušenství</t>
  </si>
  <si>
    <t>158/2022/SOC</t>
  </si>
  <si>
    <t>Klidová zóna pro osoby s PAS zahrady Centra 83</t>
  </si>
  <si>
    <t>159/2022/SOC</t>
  </si>
  <si>
    <t>Rekonstrukce sociálních zařízení v garsonierách klientů 5. pavilon Václavkova 950</t>
  </si>
  <si>
    <t>160/2022/SOC</t>
  </si>
  <si>
    <t>161/2022/SOC</t>
  </si>
  <si>
    <t>Výstavba revizní kanalizační šachty Havlíčkova 447</t>
  </si>
  <si>
    <t>162/2022/SOC</t>
  </si>
  <si>
    <t>Rekonstrukce vstupu do pavilonu č. 6 včetně výtahu</t>
  </si>
  <si>
    <t>163/2022/SOC</t>
  </si>
  <si>
    <t>Domov Slaný</t>
  </si>
  <si>
    <t xml:space="preserve">Vybudování EPS  </t>
  </si>
  <si>
    <t>164/2022/SOC</t>
  </si>
  <si>
    <t>Dodávka a připojení konvektomatu</t>
  </si>
  <si>
    <t>165/2022/SOC</t>
  </si>
  <si>
    <t>Vyšší Hrádek</t>
  </si>
  <si>
    <t xml:space="preserve">Rekonstrukce koupelen v DPZP a CHB </t>
  </si>
  <si>
    <t>166/2022/SOC</t>
  </si>
  <si>
    <t>Rekonstrukce střechy v CHB Okružní 408                 </t>
  </si>
  <si>
    <t>167/2022/SOC</t>
  </si>
  <si>
    <t>Rekonstrukce topného systému v CHB Nám. Sv. Václava 106    </t>
  </si>
  <si>
    <t>168/2022/SOC</t>
  </si>
  <si>
    <t>Centrum Rožmitál</t>
  </si>
  <si>
    <t>Signalizace sestra Pacient</t>
  </si>
  <si>
    <t>169/2022/SOC</t>
  </si>
  <si>
    <t>Výstavba dřevěného přístřešku pro služební vozidla</t>
  </si>
  <si>
    <t>170/2022/SOC</t>
  </si>
  <si>
    <t>Rekonstrukce prostor recepce</t>
  </si>
  <si>
    <t>171/2022/SOC</t>
  </si>
  <si>
    <t>Zámek Vidim - věž, rekonstrukce okeních výplní horní části</t>
  </si>
  <si>
    <t>172/2022/SOC</t>
  </si>
  <si>
    <t>173/2022/SOC</t>
  </si>
  <si>
    <t>Altán pro klienty</t>
  </si>
  <si>
    <t>174/2022/SOC</t>
  </si>
  <si>
    <t>Automatické dveře v objektu domova</t>
  </si>
  <si>
    <t>175/2022/SOC</t>
  </si>
  <si>
    <t>Výměna podlahových krytin na pokojích klientů v 2. NP</t>
  </si>
  <si>
    <t>Přenosné osobní pokladny a revizorské vybavení</t>
  </si>
  <si>
    <t>9/2022/OVM</t>
  </si>
  <si>
    <t>Cyklostezka Koloděje  – Sibřina (po místní komunikaci)</t>
  </si>
  <si>
    <t>12/2026</t>
  </si>
  <si>
    <t>Výstavba úložných prostor a výměna střešní krytiny a oplechování Arnoldinovského domu</t>
  </si>
  <si>
    <t>91/2022/KUL</t>
  </si>
  <si>
    <t>Muzeum Podblanicka</t>
  </si>
  <si>
    <t>Likvidace havárie na EPS a EZS v objektu Růžkovy Lhotice</t>
  </si>
  <si>
    <t>92/2022/KUL</t>
  </si>
  <si>
    <t>Zaměření stavby Růžkovy Lhotice - BIM</t>
  </si>
  <si>
    <t>93/2022/KUL</t>
  </si>
  <si>
    <t>Zatékání do ploché střechy v budově na Karlově náměstí v Kolíně</t>
  </si>
  <si>
    <t>94/2022/KUL</t>
  </si>
  <si>
    <t>Zhotovení repliky pamětního stříbrného želízka a mlátku</t>
  </si>
  <si>
    <t>95/2022/KUL</t>
  </si>
  <si>
    <t>Stavební práce v budově strojovny a elektrorozvodny Uranového dolu Bytíz</t>
  </si>
  <si>
    <t>96/2022/KUL</t>
  </si>
  <si>
    <t>Elektroinstalační práce v budově strojovny a elektrorozvodny Uranového dolu Bytíz</t>
  </si>
  <si>
    <t>97/2022/KUL</t>
  </si>
  <si>
    <t>Aktualizace serverového a IT vybavení poboček Hornického muzea v Příbrami</t>
  </si>
  <si>
    <t>98/2022/KUL</t>
  </si>
  <si>
    <t>Vybudování příjezdové cesty k nákladní rampě depozitáře</t>
  </si>
  <si>
    <t>99/2022/KUL</t>
  </si>
  <si>
    <t>100/2022/KUL</t>
  </si>
  <si>
    <t>Rozvoj geovědních edukačních aktivit - mikroskopické metody a další rozvoj multimediálních projekcí a interaktivních vzdělávacích aplikací</t>
  </si>
  <si>
    <t>101/2022/KUL</t>
  </si>
  <si>
    <t>České muzeum stříbra</t>
  </si>
  <si>
    <t>Maketa chodby dolu Osel</t>
  </si>
  <si>
    <t>102/2022/KUL</t>
  </si>
  <si>
    <t>Nákup výstavních vitrín</t>
  </si>
  <si>
    <t>103/2022/KUL</t>
  </si>
  <si>
    <t>Expozice - historie trampingu v Dolním Posázaví</t>
  </si>
  <si>
    <t>104/2022/KUL</t>
  </si>
  <si>
    <t xml:space="preserve">Nákup osobního automobilu </t>
  </si>
  <si>
    <t>105/2022/KUL</t>
  </si>
  <si>
    <t>Refektář - úprava akustiky</t>
  </si>
  <si>
    <t>106/2022/KUL</t>
  </si>
  <si>
    <t>Inventář Štábního domku</t>
  </si>
  <si>
    <t>107/2022/KUL</t>
  </si>
  <si>
    <t>Dodávka parních zvlhčovačů s elektrodovým vyvíječem</t>
  </si>
  <si>
    <t>108/2022/KUL</t>
  </si>
  <si>
    <t>Orientační systém GASK</t>
  </si>
  <si>
    <t>109/2022/KUL</t>
  </si>
  <si>
    <t>110/2022/KUL</t>
  </si>
  <si>
    <t>Muzeum T.G.M. Rakovník</t>
  </si>
  <si>
    <t xml:space="preserve">Kamerový dohlížecí systém </t>
  </si>
  <si>
    <t>111/2022/KUL</t>
  </si>
  <si>
    <t>Upgrade systému evidence sbírkových předmětů Bach</t>
  </si>
  <si>
    <t>112/2022/KUL</t>
  </si>
  <si>
    <t>Digitalizace SCCR - obnova IT vybavení</t>
  </si>
  <si>
    <t>Hl. město Praha</t>
  </si>
  <si>
    <t>113/2022/KUL</t>
  </si>
  <si>
    <t>114/2022/KUL</t>
  </si>
  <si>
    <t>Nákup univerzálního osobního automobilu</t>
  </si>
  <si>
    <t>115/2022/KUL</t>
  </si>
  <si>
    <t>Zajištění odvětrávání podkrovních prostor budovy depozitáře v Berouně</t>
  </si>
  <si>
    <t>116/2022/KUL</t>
  </si>
  <si>
    <t>Rozšíření expozičního prostoru Brandýsské katovny</t>
  </si>
  <si>
    <t>117/2022/KUL</t>
  </si>
  <si>
    <t>Rekonstrukce WC pro veřejnost a zaměstnance</t>
  </si>
  <si>
    <t>118/2022/KUL</t>
  </si>
  <si>
    <t>Stavebně-technická obnova Památníku Josefa Lady v Hrusicích</t>
  </si>
  <si>
    <t>Brandýs s. L. -Stará Boleslav</t>
  </si>
  <si>
    <t>119/2022/KUL</t>
  </si>
  <si>
    <t>Regionální muzeum Mělník</t>
  </si>
  <si>
    <t>Rekonstrukce elektřiny a osvětlení ve výstavním prostoru</t>
  </si>
  <si>
    <t>získání repliky jediných existujících exemplářů nevyčíslitelné hodnoty</t>
  </si>
  <si>
    <t>Rekonstrukce elektroinstalace III. NP-SPŠ strojírenská, Kolín</t>
  </si>
  <si>
    <t>189/2019/SKOL</t>
  </si>
  <si>
    <t>Zabezpečení ochrany školy</t>
  </si>
  <si>
    <t>269/2021/DOP</t>
  </si>
  <si>
    <t>III/12138 Křenovičky - kř. MK Chotětice</t>
  </si>
  <si>
    <t>270/2021/DOP</t>
  </si>
  <si>
    <t>III/11214 Malovidy</t>
  </si>
  <si>
    <t>271/2021/DOP</t>
  </si>
  <si>
    <t>III/13020 Tomice - Brzotice</t>
  </si>
  <si>
    <t>272/2021/DOP</t>
  </si>
  <si>
    <t>II/102 Prostřední Lhota - Chotilsko</t>
  </si>
  <si>
    <t>273/2021/DOP</t>
  </si>
  <si>
    <t>III/11526, III/11526a Nesvačily</t>
  </si>
  <si>
    <t>274/2021/DOP</t>
  </si>
  <si>
    <t>III/22940 Kroučová</t>
  </si>
  <si>
    <t>275/2021/DOP</t>
  </si>
  <si>
    <t>III/23512 Bzová – Točník</t>
  </si>
  <si>
    <t>276/2021/DOP</t>
  </si>
  <si>
    <t>III/00522 Vráž - lokalita Na Lesích</t>
  </si>
  <si>
    <t>277/2021/DOP</t>
  </si>
  <si>
    <t>III/11129 Smilovice</t>
  </si>
  <si>
    <t>278/2021/DOP</t>
  </si>
  <si>
    <t>III/33011 Hořátev – Písková Lhota</t>
  </si>
  <si>
    <t>279/2021/DOP</t>
  </si>
  <si>
    <t>280/2021/DOP</t>
  </si>
  <si>
    <t>II/328, III/3279 a III/3287 Jestřabí Lhota</t>
  </si>
  <si>
    <t>281/2021/DOP</t>
  </si>
  <si>
    <t>282/2021/DOP</t>
  </si>
  <si>
    <t>283/2021/DOP</t>
  </si>
  <si>
    <t>284/2021/DOP</t>
  </si>
  <si>
    <t>III/2731 Velký Borek - Mělnická Vrutice</t>
  </si>
  <si>
    <t>285/2021/DOP</t>
  </si>
  <si>
    <t>II/272 Benátky nad Jizerou, připojení na silnici III/27212</t>
  </si>
  <si>
    <t>286/2021/DOP</t>
  </si>
  <si>
    <t>II/118 Kladno, oprava mostu ev.č. 118-042 přes Huťskou ulici</t>
  </si>
  <si>
    <t>původní zhotovitel v insolvenci</t>
  </si>
  <si>
    <t>zpřehlednění křižovatky a rekonstrukce autobusových zastávek, jiné zdroje=vlastní zdroje obce</t>
  </si>
  <si>
    <t xml:space="preserve"> jiné zdroje=vlastní zdroje města</t>
  </si>
  <si>
    <t>Pořízení digitální fototechniky pro potřeby KÚ</t>
  </si>
  <si>
    <t>Pořízení nové techniky pro potřeby KHT</t>
  </si>
  <si>
    <t>153/2022/ZDR</t>
  </si>
  <si>
    <t>ON Mladá Boleslav, a. s., nem. SČK</t>
  </si>
  <si>
    <t>Stravovací provoz v areálu ONMB</t>
  </si>
  <si>
    <t>Dobríš</t>
  </si>
  <si>
    <t>Brandýs n.L./Stará Boleslav</t>
  </si>
  <si>
    <t>Demolice areálu - Ledce</t>
  </si>
  <si>
    <t xml:space="preserve">Dílčí plnění, další etapa se soutěží </t>
  </si>
  <si>
    <t>III/0181 Láz, lesní úsek</t>
  </si>
  <si>
    <t>III/33519  Morány - Čestín</t>
  </si>
  <si>
    <t>III/0102 Přezletice</t>
  </si>
  <si>
    <t>III/2792 Sezemice – hranice kraje LB</t>
  </si>
  <si>
    <t xml:space="preserve">III/27514 Týnec – kř. III/27515 </t>
  </si>
  <si>
    <t>287/2021/DOP</t>
  </si>
  <si>
    <t>III/11214 Šebíř, hráz rybníka - Vracovice</t>
  </si>
  <si>
    <t>288/2021/DOP</t>
  </si>
  <si>
    <t>III/0198 Vševily - Volenice - Pročevily</t>
  </si>
  <si>
    <t>289/2021/DOP</t>
  </si>
  <si>
    <t>290/2021/DOP</t>
  </si>
  <si>
    <t>291/2021/DOP</t>
  </si>
  <si>
    <t>II/327 Nové Dvory</t>
  </si>
  <si>
    <t>292/2021/DOP</t>
  </si>
  <si>
    <t>II/236 Karlov</t>
  </si>
  <si>
    <t>293/2021/DOP</t>
  </si>
  <si>
    <t>294/2021/DOP</t>
  </si>
  <si>
    <t>III/0066 Jeneč</t>
  </si>
  <si>
    <t>295/2021/DOP</t>
  </si>
  <si>
    <t>III/2372 Nový Dům</t>
  </si>
  <si>
    <t>296/2021/DOP</t>
  </si>
  <si>
    <t xml:space="preserve">III/24019 Olovnice </t>
  </si>
  <si>
    <t>297/2021/DOP</t>
  </si>
  <si>
    <t xml:space="preserve">III/26817 Klášter nad Jizerou – Jivina </t>
  </si>
  <si>
    <t>298/2021/DOP</t>
  </si>
  <si>
    <t>299/2021/DOP</t>
  </si>
  <si>
    <t>Havarijní stav mostu ev.č. 114-017</t>
  </si>
  <si>
    <t>300/2021/DOP</t>
  </si>
  <si>
    <t>III/1103  Benešov, Černoleská-Mariánovice</t>
  </si>
  <si>
    <t>301/2021/DOP</t>
  </si>
  <si>
    <t xml:space="preserve">Úprava IS Croseus Cloud </t>
  </si>
  <si>
    <t>302/2021/DOP</t>
  </si>
  <si>
    <t>303/2021/DOP</t>
  </si>
  <si>
    <t>304/2021/DOP</t>
  </si>
  <si>
    <t>305/2021/DOP</t>
  </si>
  <si>
    <t>306/2021/DOP</t>
  </si>
  <si>
    <t>BESIP-III/27944 Žerčice, úprava vjezdu do obce</t>
  </si>
  <si>
    <t>307/2021/DOP</t>
  </si>
  <si>
    <t>308/2021/DOP</t>
  </si>
  <si>
    <t>309/2021/DOP</t>
  </si>
  <si>
    <t>310/2021/DOP</t>
  </si>
  <si>
    <t>311/2021/DOP</t>
  </si>
  <si>
    <t>312/2021/DOP</t>
  </si>
  <si>
    <t>313/2021/DOP</t>
  </si>
  <si>
    <t>190/2022/SKOL</t>
  </si>
  <si>
    <t>Střední odborné učiliště, Hubálov 17</t>
  </si>
  <si>
    <t>191/2022/SKOL</t>
  </si>
  <si>
    <t>Základní škola a Dětský domov Sedlec - Prčice, Přestavlky 1, příspěvková organizace</t>
  </si>
  <si>
    <t>Rekonstrukce havarijního stavu střechy - PD</t>
  </si>
  <si>
    <t>192/2022/SKOL</t>
  </si>
  <si>
    <t>Střední odborná škola stavební a Střední odborné učiliště stavební, Kolín II, Pražská 112</t>
  </si>
  <si>
    <t>Nákup pozemku - SOŠ stavební a SOU stavební, Kolín</t>
  </si>
  <si>
    <t>2/2022/OZP</t>
  </si>
  <si>
    <t>Projektová a inženýrská příprava Vodovodního přivaděče D3 do fáze projektové dokumentace do stadia získání stavebního povolení</t>
  </si>
  <si>
    <t>3/2022/OZP</t>
  </si>
  <si>
    <t>Projektová a inženýrská příprava na Vyvolaná opatření na Posázavském vodovodu</t>
  </si>
  <si>
    <t>4/2022/OZP</t>
  </si>
  <si>
    <t>Projektová a inženýrská příprava na Vyvolaná opatření na vodovodu Javorník - Benešov</t>
  </si>
  <si>
    <t>Kralupy n.Vl., Mělník, Nymburk, Brandýs n.L., Lysá n.L., Poděbrady</t>
  </si>
  <si>
    <t>Brandýs n.L.-Stará Boleslav</t>
  </si>
  <si>
    <t>11/2022/OVM</t>
  </si>
  <si>
    <t>VDZ pro cyklistickou dopravu</t>
  </si>
  <si>
    <t>nutná dlouhodobá spolupráce s KSÚS na doplnění vodorovného značení pro cyklisty na stávajících silnicích II. a III. tříd</t>
  </si>
  <si>
    <t>r. 2023 - náklady na TDS a BOZP, r. 2024 - navýšení celkových nákladů o 15,215 mil. Kč po aktualizaci rozpočtu akcí EPC II. Hrazeno zcela nebo částečně z dosažených úspor v rámci EPC projektu.</t>
  </si>
  <si>
    <t xml:space="preserve">r. 2023 - náklady na TDS a BOZP, r. 2024 - navýšení celkových nákladů o 23,219 mil. Kč po aktualizaci rozpočtu akcí EPC II.  Hrazeno zcela nebo částečně z dosažených úspor v rámci EPC projektu. </t>
  </si>
  <si>
    <t xml:space="preserve">r. 2023 - náklady na TDS a BOZP, r. 2024 - navýšení celkových nákladů o 18,819 mil. Kč po aktualizaci rozpočtu akcí EPC II.  Hrazeno zcela nebo částečně z dosažených úspor v rámci EPC projektu. </t>
  </si>
  <si>
    <t>r. 2023 - náklady na TDS a BOZP, r. 2024 - navýšení celkových nákladů o 7,675 mil. Kč po aktualizaci rozpočtu akcí EPC II.  Hrazeno zcela nebo částečně z dosažených úspor v rámci EPC projektu.</t>
  </si>
  <si>
    <t>Zajištění možnosti připojení obcí Středočeského kraje ohrožených nedostatkem vody na kapacitní skupinové vodovody se zdrojem vodní nádrže Želivka.</t>
  </si>
  <si>
    <t>Benešov, Sedlčany, Votice</t>
  </si>
  <si>
    <t>Výměna vodovodní přípojky Havlíčkova 447</t>
  </si>
  <si>
    <t>Pořízení mobilních sprchových systémů</t>
  </si>
  <si>
    <t>176/2022/SOC</t>
  </si>
  <si>
    <t xml:space="preserve">Nutná rekonstrukce ploché střechy - zatéká. </t>
  </si>
  <si>
    <t>177/2022/SOC</t>
  </si>
  <si>
    <t>Domov Pod Lipami Smečno</t>
  </si>
  <si>
    <t>Rekonstrukce komunikací v objektu domova pro seniory</t>
  </si>
  <si>
    <t>Komunikace slouží i k pohybu imobilních klientů, nyní je stav komunikací omezuje v pohybu</t>
  </si>
  <si>
    <t>178/2022/SOC</t>
  </si>
  <si>
    <t xml:space="preserve">Vybudování EPS v Domově </t>
  </si>
  <si>
    <t>Vybudování nového EPS je nutné z důvodu naplnění litery zákona</t>
  </si>
  <si>
    <t>179/2022/SOC</t>
  </si>
  <si>
    <t>Rekonstrukce ohradní zdi domova</t>
  </si>
  <si>
    <t>Rekonstrukce ohradní zdi areálu domova (vykazuje statické poruchy)</t>
  </si>
  <si>
    <t>180/2022/SOC</t>
  </si>
  <si>
    <t xml:space="preserve">Domov Kolešovice </t>
  </si>
  <si>
    <t>Domov Kolešovice</t>
  </si>
  <si>
    <t>Rekonstrukce střechy</t>
  </si>
  <si>
    <t>10/2023</t>
  </si>
  <si>
    <t>120/2022/KUL</t>
  </si>
  <si>
    <t>Výměna systému EPS a EZS</t>
  </si>
  <si>
    <t>121/2022/KUL</t>
  </si>
  <si>
    <t>Odstranění bariér - automatické skleněné dveře</t>
  </si>
  <si>
    <t>energetické úspory, zkulturnění prostředí</t>
  </si>
  <si>
    <t>122/2022/KUL</t>
  </si>
  <si>
    <t>Zakoupení pozemků v katastrálním území Kouřim</t>
  </si>
  <si>
    <t>123/2022/KUL</t>
  </si>
  <si>
    <t>Památník Karla Čapka ve Staré Huti u Dobříše</t>
  </si>
  <si>
    <t>Virtuální 3D prohlídka areálu Památníku Karla Čapka ve Staré Huti u Dobříše</t>
  </si>
  <si>
    <t>047-42/2021/RK ze dne 11.11.2021   031-11/2021/ZK ze dne 29.11.2021</t>
  </si>
  <si>
    <t>2/2022/REG</t>
  </si>
  <si>
    <t>Územní studie v BVVP Milovice – Mladá</t>
  </si>
  <si>
    <t>Lysá n. L.</t>
  </si>
  <si>
    <t>Příprava regenerace brownfieldu.  Příprava studie bude probíhat v roce 2023</t>
  </si>
  <si>
    <t>193/2022/SKOL</t>
  </si>
  <si>
    <t>Střední odborná škola a Střední odborné učiliště, Neratovice, Školní 664</t>
  </si>
  <si>
    <t>Stavební úpravy objektů v souvislosti se slučováním SOŠ a SOU Neratovice se SOŠ a SOU Kralupy nad Vltavou</t>
  </si>
  <si>
    <t xml:space="preserve">011-11/2022/RK ze dne 17.3.2022, 046-14/2022/RK ze dne 7.4.2022,    011-15/2022/ZK ze dne 25.4.2022, 009-39/2022/RK ze dne 19.10.2022 </t>
  </si>
  <si>
    <t xml:space="preserve">011-11/2022/RK ze dne 17.3.2022, 046-14/2022/RK ze dne 7.4.2022,    011-15/2022/ZK ze dne 25.4.2022,  009-39/2022/RK ze dne 19.10.2022 </t>
  </si>
  <si>
    <t>III/32914 v 0,900-4,250 Kostelní Lhota-Pečky</t>
  </si>
  <si>
    <t>III/32710 Týnec nad Labem –hranice kraje 0,000-2,190</t>
  </si>
  <si>
    <t xml:space="preserve">III/11626 a III/11624 Mníšek pod Brdy,I. část OK </t>
  </si>
  <si>
    <t>II/236 Černín, nestabilní svah</t>
  </si>
  <si>
    <t xml:space="preserve">III/0066, III/00711, III/00716 Hřebeč, rekonstrukce silnic I. etapa </t>
  </si>
  <si>
    <t>III/11811 Příbram – Lhota u Příbramě</t>
  </si>
  <si>
    <t>III/3316 Milovice - Strašov</t>
  </si>
  <si>
    <t>III/25919 Skalsko - Kovanec</t>
  </si>
  <si>
    <t>154/2022/ZDR</t>
  </si>
  <si>
    <t>Úprava trafostanice v rámci rekonstrukce veřejného osvětlení</t>
  </si>
  <si>
    <t>Nákup pozemku k. ú. Březové Hory</t>
  </si>
  <si>
    <t>nákup pozemku cizího vlastníka pod krajskou stavbou</t>
  </si>
  <si>
    <t>124/2022/KUL</t>
  </si>
  <si>
    <t>Zaměření stávajícího stavu objektu - Náměstí Míru č.p. 54, Mělník - metoda BIM</t>
  </si>
  <si>
    <t>zaměření objektu neodpovídá KN po digitalizaci</t>
  </si>
  <si>
    <t>nutnost zlepšení povrchu silnice. Nárůst intenzity vozidel vlivem přestavby křiž. silnice I/3</t>
  </si>
  <si>
    <t>Modernizace SW pro oběh financí  v rámci KSÚS</t>
  </si>
  <si>
    <t>Špatný stav tělesa silnice, zařazeno dle prioritizace do realizace 2023</t>
  </si>
  <si>
    <t>III/11210 Městečko</t>
  </si>
  <si>
    <t>III/1761 Pročevily – Bubovice</t>
  </si>
  <si>
    <t>III/1911 Chrást – Březnice</t>
  </si>
  <si>
    <t>II/101 Kralupy nad Vltavou, most ev.č. 101-059 přes Vltavu Kralupy n.Vl.- výměna zbývajících MZ + oprava poruchy vozovky u MZ 7 - neodkladné opravy 2022</t>
  </si>
  <si>
    <t>064-31/2022/RK ze dne 25.8.2022  015-18/2022/ZK ze dne 12.9.2022</t>
  </si>
  <si>
    <t>III/33338 Sobočice – Vavřinec</t>
  </si>
  <si>
    <t>III/2403 Horoměřice</t>
  </si>
  <si>
    <t>Rekonstrukce sportovního areálu-Dvořákovo G, Kralupy n.Vl.</t>
  </si>
  <si>
    <t>Přístavba budovy - čajovny-DD a ŠJ Kralupy n. Vl.</t>
  </si>
  <si>
    <t>EPCII - CELKEM 09 - Odbor řízení dotačních projektů</t>
  </si>
  <si>
    <t>Zásobník investic Středočeského kraje na rok 2023 - změna č. 1</t>
  </si>
  <si>
    <t>EPCII - CELKEM 07 - Odbor zdravotnictví</t>
  </si>
  <si>
    <t>požadavek r. 2024(+)</t>
  </si>
  <si>
    <t>čerpáno r.2023</t>
  </si>
  <si>
    <t>Předpoklad r. 2025+</t>
  </si>
  <si>
    <t>Předpoklad r. 2024</t>
  </si>
  <si>
    <t>Finanční prostředky r. 2023-kap.12</t>
  </si>
  <si>
    <t>Plán čerpání r.  2023</t>
  </si>
  <si>
    <t>070-42/2022/RK ze dne 10.11.2022       020-20/2022/ZK ze dne 28.11.2022</t>
  </si>
  <si>
    <t>022-37/2022/RK ze dne 6. 10. 2022  070-42/2022/RK ze dne 10.11.2022       020-20/2022/ZK ze dne 28.11.2022</t>
  </si>
  <si>
    <t>Limit čerpání r. 2023 - 1 mil. Kč z vlastních prostředků SK</t>
  </si>
  <si>
    <t>Limit čerpání r. 2023 - 10 mil. Kč z vlastních prostředků SK</t>
  </si>
  <si>
    <t>Dílčí plnění - po etapách</t>
  </si>
  <si>
    <t>nutná obměna vozového parku</t>
  </si>
  <si>
    <t xml:space="preserve">  Rozhodnutí vedení Krajského úřadu Středočeského kraje - chytrý vnitřní informační  a navigační systém</t>
  </si>
  <si>
    <t>rámcová smlouva, podněty PČR, připraveny návrhy zlepšení BESIP</t>
  </si>
  <si>
    <t xml:space="preserve"> Stavba má vydané stavební povolení platné v rámci rekonstrukce celého monobloku nemocnice s prodloužením dokončení stavby do 31.12.2023. </t>
  </si>
  <si>
    <t>Probíhá soudní spor</t>
  </si>
  <si>
    <t>Rozvoj IS Portál krizového řízení využívaný v rámci celého Středočeského kraje orgány krizové řízení</t>
  </si>
  <si>
    <t>25/2022/OHS</t>
  </si>
  <si>
    <t>1/2011/OHS</t>
  </si>
  <si>
    <t>2/2011/OHS</t>
  </si>
  <si>
    <t>3/2015/OHS</t>
  </si>
  <si>
    <t>8/2019/OHS</t>
  </si>
  <si>
    <t>11/2019/OHS</t>
  </si>
  <si>
    <t>15/2020/OHS</t>
  </si>
  <si>
    <t>16/2020/OHS</t>
  </si>
  <si>
    <t>19/2020/OHS</t>
  </si>
  <si>
    <t>20/2021/OHS</t>
  </si>
  <si>
    <t>21/2021/OHS</t>
  </si>
  <si>
    <t>22/2021/OHS</t>
  </si>
  <si>
    <t>23/2021/OHS</t>
  </si>
  <si>
    <t>24/2021/OHS</t>
  </si>
  <si>
    <t>CELKEM 02 - Odbor hospodářské správy</t>
  </si>
  <si>
    <t>1/2022/MAJ</t>
  </si>
  <si>
    <t>2/2022/MAJ</t>
  </si>
  <si>
    <t>CELKEM 11 - Odbor majetku</t>
  </si>
  <si>
    <t>07182</t>
  </si>
  <si>
    <t>01911</t>
  </si>
  <si>
    <t>01513</t>
  </si>
  <si>
    <t>03151</t>
  </si>
  <si>
    <t>06071</t>
  </si>
  <si>
    <t>07083</t>
  </si>
  <si>
    <t>06767</t>
  </si>
  <si>
    <t>06860</t>
  </si>
  <si>
    <t>07042</t>
  </si>
  <si>
    <t>07124</t>
  </si>
  <si>
    <t>01514</t>
  </si>
  <si>
    <t>02821</t>
  </si>
  <si>
    <t>04972</t>
  </si>
  <si>
    <t>04971</t>
  </si>
  <si>
    <t>05482</t>
  </si>
  <si>
    <t>05549</t>
  </si>
  <si>
    <t>06243</t>
  </si>
  <si>
    <t>06908</t>
  </si>
  <si>
    <t>00120</t>
  </si>
  <si>
    <t>00121</t>
  </si>
  <si>
    <t>06044</t>
  </si>
  <si>
    <t>06432</t>
  </si>
  <si>
    <t>06290</t>
  </si>
  <si>
    <t>06589</t>
  </si>
  <si>
    <t>07070</t>
  </si>
  <si>
    <t>06748</t>
  </si>
  <si>
    <t>05940</t>
  </si>
  <si>
    <t>05954</t>
  </si>
  <si>
    <t>04844</t>
  </si>
  <si>
    <t>06721</t>
  </si>
  <si>
    <t>06720</t>
  </si>
  <si>
    <t>06828</t>
  </si>
  <si>
    <t>06218</t>
  </si>
  <si>
    <t>06744</t>
  </si>
  <si>
    <t>06745</t>
  </si>
  <si>
    <t>07103</t>
  </si>
  <si>
    <t>06903</t>
  </si>
  <si>
    <t>07123</t>
  </si>
  <si>
    <t>07111</t>
  </si>
  <si>
    <t>04848</t>
  </si>
  <si>
    <t>07116</t>
  </si>
  <si>
    <t>03174</t>
  </si>
  <si>
    <t>07106</t>
  </si>
  <si>
    <t>07165</t>
  </si>
  <si>
    <t>07173</t>
  </si>
  <si>
    <t>04841</t>
  </si>
  <si>
    <t>03388</t>
  </si>
  <si>
    <t>03709</t>
  </si>
  <si>
    <t>03847</t>
  </si>
  <si>
    <t>03848</t>
  </si>
  <si>
    <t>04093</t>
  </si>
  <si>
    <t>04063</t>
  </si>
  <si>
    <t>04066</t>
  </si>
  <si>
    <t>04988</t>
  </si>
  <si>
    <t>04962</t>
  </si>
  <si>
    <t>05247</t>
  </si>
  <si>
    <t>06078</t>
  </si>
  <si>
    <t>04912</t>
  </si>
  <si>
    <t>06983</t>
  </si>
  <si>
    <t>06984</t>
  </si>
  <si>
    <t>06082</t>
  </si>
  <si>
    <t>06256</t>
  </si>
  <si>
    <t>07110</t>
  </si>
  <si>
    <t>07107</t>
  </si>
  <si>
    <t>06985</t>
  </si>
  <si>
    <t>07108</t>
  </si>
  <si>
    <t>06981</t>
  </si>
  <si>
    <t>07102</t>
  </si>
  <si>
    <t>01913</t>
  </si>
  <si>
    <t>05086</t>
  </si>
  <si>
    <t>05458</t>
  </si>
  <si>
    <t>05464</t>
  </si>
  <si>
    <t>05560</t>
  </si>
  <si>
    <t>05563</t>
  </si>
  <si>
    <t>05564</t>
  </si>
  <si>
    <t>05571</t>
  </si>
  <si>
    <t>05866</t>
  </si>
  <si>
    <t>05868</t>
  </si>
  <si>
    <t>05876</t>
  </si>
  <si>
    <t>05783</t>
  </si>
  <si>
    <t>06269</t>
  </si>
  <si>
    <t>06944</t>
  </si>
  <si>
    <t>06703</t>
  </si>
  <si>
    <t>06705</t>
  </si>
  <si>
    <t>06706</t>
  </si>
  <si>
    <t>06709</t>
  </si>
  <si>
    <t>06710</t>
  </si>
  <si>
    <t>06642</t>
  </si>
  <si>
    <t>06943</t>
  </si>
  <si>
    <t>06888</t>
  </si>
  <si>
    <t>07170</t>
  </si>
  <si>
    <t>07046</t>
  </si>
  <si>
    <t>07151</t>
  </si>
  <si>
    <t>07105</t>
  </si>
  <si>
    <t>07167</t>
  </si>
  <si>
    <t>07153</t>
  </si>
  <si>
    <t>07169</t>
  </si>
  <si>
    <t>07172</t>
  </si>
  <si>
    <t>07149</t>
  </si>
  <si>
    <t>07104</t>
  </si>
  <si>
    <t>02170</t>
  </si>
  <si>
    <t>01500</t>
  </si>
  <si>
    <t>02923</t>
  </si>
  <si>
    <t>06412</t>
  </si>
  <si>
    <t>06414</t>
  </si>
  <si>
    <t>06413</t>
  </si>
  <si>
    <t>06730</t>
  </si>
  <si>
    <t>02348</t>
  </si>
  <si>
    <t>04312</t>
  </si>
  <si>
    <t>07112</t>
  </si>
  <si>
    <t>07113</t>
  </si>
  <si>
    <t>07114</t>
  </si>
  <si>
    <t>04267</t>
  </si>
  <si>
    <t>04634</t>
  </si>
  <si>
    <t>04649</t>
  </si>
  <si>
    <t>05471</t>
  </si>
  <si>
    <t>07041</t>
  </si>
  <si>
    <t>06724</t>
  </si>
  <si>
    <t>06294</t>
  </si>
  <si>
    <t>06053</t>
  </si>
  <si>
    <t>07044</t>
  </si>
  <si>
    <t>06885</t>
  </si>
  <si>
    <t>06922</t>
  </si>
  <si>
    <t>07068</t>
  </si>
  <si>
    <t>07056</t>
  </si>
  <si>
    <t>07109</t>
  </si>
  <si>
    <t>07185</t>
  </si>
  <si>
    <t>07187</t>
  </si>
  <si>
    <t>07101</t>
  </si>
  <si>
    <t>07154</t>
  </si>
  <si>
    <t>07155</t>
  </si>
  <si>
    <t>07121</t>
  </si>
  <si>
    <t>07164</t>
  </si>
  <si>
    <t>07163</t>
  </si>
  <si>
    <t>07162</t>
  </si>
  <si>
    <t>07181</t>
  </si>
  <si>
    <t>04724</t>
  </si>
  <si>
    <t>03475</t>
  </si>
  <si>
    <t>03947</t>
  </si>
  <si>
    <t>06124</t>
  </si>
  <si>
    <t>06932</t>
  </si>
  <si>
    <t>06961</t>
  </si>
  <si>
    <t>06958</t>
  </si>
  <si>
    <t>06959</t>
  </si>
  <si>
    <t>06960</t>
  </si>
  <si>
    <t>06962</t>
  </si>
  <si>
    <t>07183</t>
  </si>
  <si>
    <t>07188</t>
  </si>
  <si>
    <t>07201</t>
  </si>
  <si>
    <t>07202</t>
  </si>
  <si>
    <t>07204</t>
  </si>
  <si>
    <t>07220</t>
  </si>
  <si>
    <t>06722</t>
  </si>
  <si>
    <t>07122</t>
  </si>
  <si>
    <t>Celkové požadavky na financování akcí v r. 2023 vycházející ze Zásobníku investic - změna č. 1</t>
  </si>
  <si>
    <t>Finanční zdroje r. 2023 v tis. Kč</t>
  </si>
  <si>
    <t>Finanční zdroje v r. 2023 celkem</t>
  </si>
  <si>
    <t>07175</t>
  </si>
  <si>
    <t>07184</t>
  </si>
  <si>
    <t>07197</t>
  </si>
  <si>
    <t>07198</t>
  </si>
  <si>
    <t>07199</t>
  </si>
  <si>
    <t>07200</t>
  </si>
  <si>
    <t>07221</t>
  </si>
  <si>
    <t>07222</t>
  </si>
  <si>
    <t>07224</t>
  </si>
  <si>
    <t>07233</t>
  </si>
  <si>
    <t>07235</t>
  </si>
  <si>
    <t>07239</t>
  </si>
  <si>
    <t>07240</t>
  </si>
  <si>
    <t>07241</t>
  </si>
  <si>
    <t>07246</t>
  </si>
  <si>
    <t>07262</t>
  </si>
  <si>
    <t>07263</t>
  </si>
  <si>
    <t>07168</t>
  </si>
  <si>
    <t>07189</t>
  </si>
  <si>
    <t>07190</t>
  </si>
  <si>
    <t>07191</t>
  </si>
  <si>
    <t>07192</t>
  </si>
  <si>
    <t>07193</t>
  </si>
  <si>
    <t>07194</t>
  </si>
  <si>
    <t>07195</t>
  </si>
  <si>
    <t>07230</t>
  </si>
  <si>
    <t>07232</t>
  </si>
  <si>
    <t>07231</t>
  </si>
  <si>
    <t xml:space="preserve">Doplnění LED svítidel ke stávajícímu lištovému systému ve výstavních prostorách </t>
  </si>
  <si>
    <t>07236</t>
  </si>
  <si>
    <t>07256</t>
  </si>
  <si>
    <t>07237</t>
  </si>
  <si>
    <t>07238</t>
  </si>
  <si>
    <t>07254</t>
  </si>
  <si>
    <t>07255</t>
  </si>
  <si>
    <t>07257</t>
  </si>
  <si>
    <t>07264</t>
  </si>
  <si>
    <t>07148</t>
  </si>
  <si>
    <t>07159</t>
  </si>
  <si>
    <t>07196</t>
  </si>
  <si>
    <t>07247</t>
  </si>
  <si>
    <t>07248</t>
  </si>
  <si>
    <t>07249</t>
  </si>
  <si>
    <t>07250</t>
  </si>
  <si>
    <t>07251</t>
  </si>
  <si>
    <t>07252</t>
  </si>
  <si>
    <t>07253</t>
  </si>
  <si>
    <t>07265</t>
  </si>
  <si>
    <t>07152</t>
  </si>
  <si>
    <t>čerpáno r.2021 + r. 2022</t>
  </si>
  <si>
    <t>Priorita    1/ 2023                  (hodnoty 1-4)</t>
  </si>
  <si>
    <t>7295</t>
  </si>
  <si>
    <t>Změna financování - převod 60 tis. z r. 2024 do r. 2023.  Zajištění možnosti připojení obcí Středočeského kraje ohrožených nedostatkem vody na kapacitní skupinové vodovody se zdrojem vodní nádrže Želivka.</t>
  </si>
  <si>
    <t xml:space="preserve">Nákup potřebných licencí programového vybavení.  </t>
  </si>
  <si>
    <t>Nákupy serverových licencí v rámci centrálního nákupu přes MV ČR.</t>
  </si>
  <si>
    <t>Navýšení celkových nákladů o 486 tis.Kč. Změna financování - převod 3,54 mil. Kč z r.2024 do r.2023.      Využití opce ze smlouvy na dokoupení zbývajících stavebních bloků, dokoupení dalších prvků k zachování funkčnosti TCK.</t>
  </si>
  <si>
    <t>Změna financování - převod 1,603 mil. Kč z r.2023 do r.2024.  Prostředky na rozšíření bezpečnostní infrastruktury KÚ.</t>
  </si>
  <si>
    <t>Změna financování - převod 1,603 mil. Kč z r.2023 do r.2024.  Plánován nákup nového potru, GPS zařízení a několika velkokapacitních tiskáren pro KÚ.</t>
  </si>
  <si>
    <t>Modernizace zasedacích a technických místností</t>
  </si>
  <si>
    <t>Změna financování - převod 1,501 mil. Kč z r.2023 do r.2024. Připravovány VZ na úpravu místností Krajského úřadu</t>
  </si>
  <si>
    <t>Změna financování - převod 2,944 mil. Kč z r.2024 do r.2023.  Využití opce ze smlouvy k dokoupení potřebné techniky.</t>
  </si>
  <si>
    <t>Snížení celkových nákladů o 486 tis.Kč     Náhrada stávajících (nevyhovujících) internetových stránek</t>
  </si>
  <si>
    <t xml:space="preserve">Změna financování - převod 62,492 mil. Kč z r. 2023 do r. 2024. </t>
  </si>
  <si>
    <t xml:space="preserve">Změna financování - převod 45,5 mil. Kč z r. 2023 do r. 2024.    Nemožnost souběžné rekonstrukce s pavilonem "O" z důvodu nedostatečné prostorové kapacity potřebné pro dotčená oddělení.                                                                                                                        Rekonstrukci pavilonu "E" bude tedy možné zahájit až po ukončení rekonstrukce pavilonu "O" </t>
  </si>
  <si>
    <t>6731</t>
  </si>
  <si>
    <t>6732</t>
  </si>
  <si>
    <t xml:space="preserve">Navýšení celkových nákladů o 13,896 mil. Kč (z vlastních prostředků PO)  dle dodatku č. 3 smlouvy o dílo z důvodu dodatečných prací a dodávek. </t>
  </si>
  <si>
    <t>Ano</t>
  </si>
  <si>
    <t>06/2023</t>
  </si>
  <si>
    <t>03/2023</t>
  </si>
  <si>
    <t>02/2023</t>
  </si>
  <si>
    <t>snížení celkových nákladů o 183 tis.Kč</t>
  </si>
  <si>
    <t>změna financování - převod 468 tis.Kč z r. 2023 do r. 2024</t>
  </si>
  <si>
    <t>1/2023/ZDR-EPCII</t>
  </si>
  <si>
    <t xml:space="preserve">akce převedena na akci č. 1/2023/ZDR  </t>
  </si>
  <si>
    <t>3/2022/ŘDP-EPCII</t>
  </si>
  <si>
    <t>4/2022/ŘDP-EPCII</t>
  </si>
  <si>
    <t>5/2022/ŘDP-EPCII</t>
  </si>
  <si>
    <t>6/2022/ŘDP-EPCII</t>
  </si>
  <si>
    <t>7/2022/ŘDP-EPCII</t>
  </si>
  <si>
    <t>Převod z akce 6/2022/ŘDP-EPCII.        r. 2023 - náklady na TDS a BOZP, r. 2024 - navýšení celkových nákladů o 2,389 mil. Kč po aktualizaci rozpočtu akcí EPC II.  Hrazeno zcela nebo částečně z dosažených úspor v rámci EPC projektu.</t>
  </si>
  <si>
    <t>Snížení CN o 3 mil. Kč z důvodu zúžení rozsahu prací ovlivněného památkovou ochranou  objektu</t>
  </si>
  <si>
    <t>změna financování - převod 7 mil. Kč z r. 2023 do r. 2024</t>
  </si>
  <si>
    <t>změna financování - převod 12 mil. Kč z r. 2023 do r. 2024</t>
  </si>
  <si>
    <t>oprava dat o čerpání v r. 2021 - chybný záznam</t>
  </si>
  <si>
    <t xml:space="preserve">Navýšení CN o 3,506 mil. Kč na základě výběru dodavatele. Ukončeno výběrové řízení,  fyzická realizace akce bude zahájena v 2/2023. </t>
  </si>
  <si>
    <t>5/2024</t>
  </si>
  <si>
    <t>Snížení CN o 67 tis. Kč. Fyzická realizace ukončena.</t>
  </si>
  <si>
    <t>změna financování - převod 6,1 mil. Kč z r. 2023 do r. 2024</t>
  </si>
  <si>
    <t>změna financování - převod 11,1 mil. Kč z r. 2023 do r. 2024</t>
  </si>
  <si>
    <t xml:space="preserve"> Snížení CN o 237 tis. Kč v průběhu realizace akce</t>
  </si>
  <si>
    <t>Snížení CN o 10 tis. Kč</t>
  </si>
  <si>
    <t xml:space="preserve"> Snížení CN o 101 tis. Kč v průběhu realizace akce</t>
  </si>
  <si>
    <t xml:space="preserve"> Revitalizace plášťů budov včetně balkońů a technického vybavení Domova seniorů Sedlčany</t>
  </si>
  <si>
    <t>změna financování - převod 25,375 mil. Kč z r. 2023 do r. 2024.   Probíhá zpracovávání PD</t>
  </si>
  <si>
    <t>Akce vyjmuta ze zásobníku investic. Akce zrealizována, ale hrazena z. kap. 17.  Pův. CN 3,506 mil. Kč</t>
  </si>
  <si>
    <t xml:space="preserve"> Snížení CN o 157 tis. Kč v průběhu realizace akce</t>
  </si>
  <si>
    <t xml:space="preserve"> Snížení CN o 5 tis. Kč v průběhu realizace akce</t>
  </si>
  <si>
    <t xml:space="preserve"> Snížení CN o 58 tis. Kč v průběhu realizace akce</t>
  </si>
  <si>
    <t xml:space="preserve"> Snížení CN o 3 tis. Kč v průběhu realizace akce.  </t>
  </si>
  <si>
    <t xml:space="preserve"> Snížení CN o 1 tis. Kč v průběhu realizace akce. </t>
  </si>
  <si>
    <t xml:space="preserve"> Snížení CN o 160 tis. Kč v průběhu realizace akce. </t>
  </si>
  <si>
    <t>Akce fyzicky ukončena, probíhá úhrada poslední fa vydané z 15.12.2022</t>
  </si>
  <si>
    <t>Akce fyzicky ukončena, probíhá úhrada poslední fa vydané z 14.12.2022</t>
  </si>
  <si>
    <t xml:space="preserve"> Snížení CN o 7 tis. Kč v průběhu realizace akce. </t>
  </si>
  <si>
    <t xml:space="preserve"> Snížení CN o 3 tis. Kč v průběhu realizace akce. </t>
  </si>
  <si>
    <t xml:space="preserve"> Snížení CN o 1,003 mil. Kč v průběhu realizace akce (povolení památkářů ke zhotovení replik oken).</t>
  </si>
  <si>
    <t xml:space="preserve"> Snížení CN o 165 tis. Kč v průběhu realizace akce. </t>
  </si>
  <si>
    <t xml:space="preserve"> Snížení CN o 140 tis. Kč v průběhu realizace akce. </t>
  </si>
  <si>
    <t>181/2022/SOC</t>
  </si>
  <si>
    <t>182/2023/SOC</t>
  </si>
  <si>
    <t>Dodávka a instalace EPS v organizaci Nalžovický Zámek pss</t>
  </si>
  <si>
    <t>183/2023/SOC</t>
  </si>
  <si>
    <t>Komunikační a dorozumívací zařízení pro klienty a zaměstnance</t>
  </si>
  <si>
    <t>Původní zařízení je téměř nefunkční a technologicky zastaralé</t>
  </si>
  <si>
    <t>184/2023/SOC</t>
  </si>
  <si>
    <t>Zabezpečovací prvky v domově</t>
  </si>
  <si>
    <t>Zabezpečovací prvky jsou součástí nového PBŘ</t>
  </si>
  <si>
    <t>185/2023/SOC</t>
  </si>
  <si>
    <t>186/2023/SOC</t>
  </si>
  <si>
    <t>Výměna osvětlení na LED</t>
  </si>
  <si>
    <t>Původní osvětlení je již v nevyhovujícím stavu, návratnost vyměny je spočtena na cca 4 roky</t>
  </si>
  <si>
    <t>187/2023/SOC</t>
  </si>
  <si>
    <t>Revitalizace soklu a izolace budovy</t>
  </si>
  <si>
    <t xml:space="preserve">Z důvodu pronikání zemní vlhkosti dochází k poškozování stěn budovy </t>
  </si>
  <si>
    <t>188/2023/SOC</t>
  </si>
  <si>
    <t>Revitalizace střechy budovy dílen</t>
  </si>
  <si>
    <t xml:space="preserve">Revitalizace střechy je nutná z důvodu poškození střešní krytiny stářím </t>
  </si>
  <si>
    <t>189/2023/SOC</t>
  </si>
  <si>
    <t>Komunikační zařízení sestra klient</t>
  </si>
  <si>
    <t>Zařízení je v současné době v částečně nefunkčním stavu</t>
  </si>
  <si>
    <t>190/2023/SOC</t>
  </si>
  <si>
    <t>Revitalizace střechy levé křídlo</t>
  </si>
  <si>
    <t>Střechou zatéká</t>
  </si>
  <si>
    <t>191/2023/SOC</t>
  </si>
  <si>
    <t xml:space="preserve">Rekonstrukce historické pavlače </t>
  </si>
  <si>
    <t>Stav historické pavlače neumožňuje bezpečné užívání klienty</t>
  </si>
  <si>
    <t>192/2023/SOC</t>
  </si>
  <si>
    <t xml:space="preserve">Rekonstrukce prádelny </t>
  </si>
  <si>
    <t>Vzhledem ke stavu el. instalace v prádelně je nutná rekonstrukce včetně nákupu pračky</t>
  </si>
  <si>
    <t>193/2023/SOC</t>
  </si>
  <si>
    <t>Revitalizace zámecké zdi včetně brány</t>
  </si>
  <si>
    <t>Plotová zeď zámeckého areálu je na mnoha místech porušená a vykazuje velké praskliny</t>
  </si>
  <si>
    <t>194/2023/SOC</t>
  </si>
  <si>
    <t>Rekonstrukce klimatizace a VZT kuchyně</t>
  </si>
  <si>
    <t>Z důvodu stáří je část klimatizace a VZT v kuchyni nefunkční</t>
  </si>
  <si>
    <t>195/2023/SOC</t>
  </si>
  <si>
    <t>Vybudování EPS</t>
  </si>
  <si>
    <t>196/2023/SOC</t>
  </si>
  <si>
    <t>Domov Iváň</t>
  </si>
  <si>
    <t>Dovybaveni EPS k zapojení na CP</t>
  </si>
  <si>
    <t>197/2023/SOC</t>
  </si>
  <si>
    <t>Domov Krajánek</t>
  </si>
  <si>
    <t xml:space="preserve">Rekonstrukce EPS </t>
  </si>
  <si>
    <t>198/2023/SOC</t>
  </si>
  <si>
    <t>Vybudování EPS včetně PBŘ</t>
  </si>
  <si>
    <t>199/2023/SOC</t>
  </si>
  <si>
    <t>Domov Mladá</t>
  </si>
  <si>
    <t>200/2023/SOC</t>
  </si>
  <si>
    <t>Elektronická požární signalizace a nouzový zvukový systém Domov Sedlčany</t>
  </si>
  <si>
    <t>Červený mlýn Všestudy</t>
  </si>
  <si>
    <t>201/2023/SOC</t>
  </si>
  <si>
    <t xml:space="preserve">Domov Velvary </t>
  </si>
  <si>
    <t>Domov Velvary</t>
  </si>
  <si>
    <t>Elektrická požární signalizace - EPS</t>
  </si>
  <si>
    <t>Limit čerpání r. 2022 - 27 mil. Kč z vlastních prostředků SK,  limit čerpání r. 2023 - 10 mil. Kč z vlastních prostředků SK</t>
  </si>
  <si>
    <t>Limit čerpání r. 2022 - 21,5 mil. Kč z vlastních prostředků SK,  limit čerpání r. 2023 - 23 mil. Kč z vlastních prostředků SK</t>
  </si>
  <si>
    <t>Limity čerpání r. 2022  - 389,90901 mil. Kč z vlastních prostředků SK,    260 mil. Kč z prostředků EIB,  limit čerpání r. 2023 - 240 mil. Kč z vlastních prostředků SK,    156 mil. Kč z prostředků EIB</t>
  </si>
  <si>
    <t>Limity čerpání r. 2022 - 91 mil. Kč z vlastních prostředků SK,    130 mil. Kč z prostředků EIB,  limit čerpání r. 2023 - 60 mil. Kč z vlastních prostředků SK,  140 mil. Kč z prostředků EIB</t>
  </si>
  <si>
    <t>Limit čerpání r. 2022 - 55 mil. Kč z vlastních prostředků SK,  limit čerpání r. 2023 - 36 mil. Kč z vlastních prostředků SK</t>
  </si>
  <si>
    <t>Limity čerpání r. 2022 - 10,5 mil. Kč z vlastních prostředků SK,    1300 mil. Kč z prostředků EIB,  limit čerpání r. 2023 - 22 mil. Kč z vlastních prostředků SK, 800 mil. Kč z prostředků EIB</t>
  </si>
  <si>
    <t>Limit čerpání r. 2022 - 2 mil. Kč z vlastních prostředků SK,  limit čerpání r. 2023 - 1 mil. Kč z vlastních prostředků SK</t>
  </si>
  <si>
    <t>Limit čerpání r. 2022 - 0,734 mil. Kč z vlastních prostředků SK,  limit čerpání r. 2023 - 8 mil. Kč z vlastních prostředků SK</t>
  </si>
  <si>
    <t>Limit čerpání r. 2022 - 10 mil. Kč z vlastních prostředků SK,  limit čerpání r. 2023 - 24 mil. Kč z vlastních prostředků SK</t>
  </si>
  <si>
    <t>Limity čerpání r. 2022 - 78 mil. Kč z vlastních prostředků SK,   100 mil. Kč z prostředků EIB,   limit čerpání r. 2023 - 150 mil. Kč z vlastních prostředků SK, 200 mil. Kč z prostředků EIB</t>
  </si>
  <si>
    <t>Limit čerpání r. 2022 - 1,6 mil. Kč z vlastních prostředků SK,  limit čerpání r. 2023 - 10 mil. Kč z vlastních prostředků SK</t>
  </si>
  <si>
    <t>Limit čerpání r. 2022 - 4,4 mil. Kč z vlastních prostředků SK,  limit čerpání r. 2023 - 5 mil. Kč z vlastních prostředků SK</t>
  </si>
  <si>
    <t>Limity čerpání r. 2022 - 691,643 mil. Kč z vlastních prostředků SK,    1,79 mld. Kč z prostředků EIB.   Limity čerpání r. 2023 - 600 mil. Kč z vlastních prostředků, 1296 mil. Kč z prostředků EIB</t>
  </si>
  <si>
    <t>probíhající soudní spor</t>
  </si>
  <si>
    <t>Navýšení CN o 100 mil. Kč - z toho 27 mil. Kč v r. 2023 (nová rámcová smlouva).     Podněty PČR, připraveny návrhy zlepšení BESIP.</t>
  </si>
  <si>
    <t>změna financování - převod 9,6 mil. Kč z r. 2023 do r. 2024</t>
  </si>
  <si>
    <t>změna financování - převod 1 mil. Kč z r. 2023 do r. 2025</t>
  </si>
  <si>
    <t>změna financování - převod 532 tis. Kč z r. 2023 do r. 2024 a 2025,      stavba realizovaná, servis vah + každoroční kalibrace</t>
  </si>
  <si>
    <t>Změna financování - převod 1 mil. Kč z r. 2023 do r. 2025.         Příprava PD na stavbu</t>
  </si>
  <si>
    <t>snížení CN o 130 tis Kč, inv akce dále financována ze SFDI (realizece rekonstrukce mostu), v ZI ukončena</t>
  </si>
  <si>
    <t>změna financování - převod 3,283 mil. Kč z r. 2023 do r. 2025</t>
  </si>
  <si>
    <t>8/2023</t>
  </si>
  <si>
    <t>Změna financování - převod 13 mil. Kč z r. 2023 do r. 2025.   Podněty PČR, připraveny návrhy zlepšení BESIP</t>
  </si>
  <si>
    <t>změna financování - převod 500 tis.Kč z r. 2023 do r. 2024</t>
  </si>
  <si>
    <t>snížení CN o 179 tis Kč soutěží</t>
  </si>
  <si>
    <t>snížení CN o 470 tis Kč soutěží</t>
  </si>
  <si>
    <t>snížení CN o 3,198 mil. Kč soutěží</t>
  </si>
  <si>
    <t>snížení CN o 479 tis Kč soutěží</t>
  </si>
  <si>
    <t>snížení CN o 1,134 mil. Kč soutěží</t>
  </si>
  <si>
    <t>snížení CN o 802 tis Kč soutěží</t>
  </si>
  <si>
    <t>snížení CN o 1,298 mil. Kč soutěží</t>
  </si>
  <si>
    <t>snížení CN o 810 tis Kč soutěží</t>
  </si>
  <si>
    <t>snížení CN o 367 tis Kč soutěží</t>
  </si>
  <si>
    <t>snížení CN o 600 tis Kč soutěží</t>
  </si>
  <si>
    <t>snížení CN o 125 tis Kč soutěží</t>
  </si>
  <si>
    <t>snížení CN o 640 tis Kč soutěží</t>
  </si>
  <si>
    <t>snížení CN o 725 tis Kč soutěží</t>
  </si>
  <si>
    <t>snížení CN o 630 tis Kč soutěží</t>
  </si>
  <si>
    <t>snížení CN o 201 tis Kč soutěží</t>
  </si>
  <si>
    <t>snížení CN o 861 tis Kč soutěží</t>
  </si>
  <si>
    <t>snížení CN o 2,118 mil. Kč soutěží</t>
  </si>
  <si>
    <t>snížení CN o 1,012 mil. Kč soutěží</t>
  </si>
  <si>
    <t>III/12520 Vranice</t>
  </si>
  <si>
    <t>snížení CN o 1,139 mil. Kč soutěží</t>
  </si>
  <si>
    <t>snížení CN o 2,364 mil.Kč soutěží</t>
  </si>
  <si>
    <t>snížení CN o 2,181 mil. Kč soutěží</t>
  </si>
  <si>
    <t>snížení CN o 1,765 mil. Kč soutěží</t>
  </si>
  <si>
    <t>snížení CN o 1,264 mil. Kč soutěží</t>
  </si>
  <si>
    <t>snížení CN o 2,364 mil. Kč soutěží</t>
  </si>
  <si>
    <t>snížení CN o 365 tis Kč soutěží</t>
  </si>
  <si>
    <t>314/2023/DOP</t>
  </si>
  <si>
    <t>Silnice II/120 Dobrošovice – rekonstrukce opěrné zdi</t>
  </si>
  <si>
    <t>315/2023/DOP</t>
  </si>
  <si>
    <t>II/112, II/125 Vlašim</t>
  </si>
  <si>
    <t>316/2023/DOP</t>
  </si>
  <si>
    <t>II/112 Benešov, Červené Vršky</t>
  </si>
  <si>
    <t>317/2023/DOP</t>
  </si>
  <si>
    <t>III/1911 Modřovice – Chrást</t>
  </si>
  <si>
    <t>318/2023/DOP</t>
  </si>
  <si>
    <t>III/1204 Červený Újezd – Dvorce</t>
  </si>
  <si>
    <t>319/2023/DOP</t>
  </si>
  <si>
    <t>III/33838 Paběnice – kř. S II/339</t>
  </si>
  <si>
    <t>320/2023/DOP</t>
  </si>
  <si>
    <t>III/00325 Jažlovice</t>
  </si>
  <si>
    <t>321/2023/DOP</t>
  </si>
  <si>
    <t>II/275 Křinec  - kř. III/27522</t>
  </si>
  <si>
    <t>322/2023/DOP</t>
  </si>
  <si>
    <t>II/240 Tursko</t>
  </si>
  <si>
    <t>323/2023/DOP</t>
  </si>
  <si>
    <t>II/605 Chrášťany-Rudná</t>
  </si>
  <si>
    <t>324/2023/DOP</t>
  </si>
  <si>
    <t>III/0066 Hostouň</t>
  </si>
  <si>
    <t>325/2023/DOP</t>
  </si>
  <si>
    <t>III/26817 Strážiště - hranice kraje LBC</t>
  </si>
  <si>
    <t>326/2023/DOP</t>
  </si>
  <si>
    <t>II/279 Žehrov - hr. kraje HK</t>
  </si>
  <si>
    <t>327/2023/DOP</t>
  </si>
  <si>
    <t>III/27229 Rokytovec - Vinec</t>
  </si>
  <si>
    <t>328/2023/DOP</t>
  </si>
  <si>
    <t>III/27940 Domousnice - Bačálka</t>
  </si>
  <si>
    <t>329/2023/DOP</t>
  </si>
  <si>
    <t>II/605 Cerhovice</t>
  </si>
  <si>
    <t>Navýšení celkových nákladů o 3,025 mil. Kč, z důvodu výměny rozvodů řídícího systému vytápění</t>
  </si>
  <si>
    <t>Navýšení celkových nákladů o 4,9 mil. Kč - aktualizace PD</t>
  </si>
  <si>
    <t>Stavebně ukončeno</t>
  </si>
  <si>
    <t>07302</t>
  </si>
  <si>
    <t>1/2024</t>
  </si>
  <si>
    <t>07242</t>
  </si>
  <si>
    <t>07243</t>
  </si>
  <si>
    <t>07245</t>
  </si>
  <si>
    <t>07244</t>
  </si>
  <si>
    <t>194/2023/SKOL</t>
  </si>
  <si>
    <t>sloučené, rozdělené akce, změna názvu akce, změna financování, změna způsobu financování, převod do jiného odboru, změna realizátora</t>
  </si>
  <si>
    <t>změna realizátora akce</t>
  </si>
  <si>
    <t>změna financování - částka 5 mil. Kč převedena z r. 2023 do roku 2025+</t>
  </si>
  <si>
    <t>12/2025</t>
  </si>
  <si>
    <t>změna financování - částka 242,93 mil. Kč převedena z r. 2023 do roku 2025+</t>
  </si>
  <si>
    <t>změna financování - částka 8,703 mil. Kč převedena z r. 2023 do roku 2024</t>
  </si>
  <si>
    <t>změna financování - částka 30,411 mil. Kč převedena z r. 2023 do roku 2025+</t>
  </si>
  <si>
    <t>změna financování - částka 4,952 mil. Kč převedena z r. 2023 do roku 2024</t>
  </si>
  <si>
    <t>změna financování - částka 11,803 mil. Kč převedena z r. 2023 do roku 2024</t>
  </si>
  <si>
    <t>snížení CN o 1,782  mil. Kč, akce ukončena</t>
  </si>
  <si>
    <t>změna financování - částka 9 mil. Kč převedena z r. 2023 do roku 2024</t>
  </si>
  <si>
    <t>Rozvoj informačního centra keltské kultury - 3 významná sídliště – oppida Závist, Stradonice a Hrazany</t>
  </si>
  <si>
    <t>změna názvu akce, změna financování - částka 7 mil. Kč převedena z r. 2023 do roku 2024</t>
  </si>
  <si>
    <t>snížení CN o 290 tis. Kč, akce ukončena</t>
  </si>
  <si>
    <t>snížení CN o 2 tis. Kč, akce ukončena</t>
  </si>
  <si>
    <t>snížení CN o 11 tis. Kč, akce ukončena</t>
  </si>
  <si>
    <t>změna financování - částka 2,913 mil. Kč převedena z r. 2023 do roku 2024</t>
  </si>
  <si>
    <t>snížení CN o 17 tis. Kč, akce ukončena</t>
  </si>
  <si>
    <t>snížení CN o 26 tis. Kč, akce ukončena</t>
  </si>
  <si>
    <t>akce ukončena</t>
  </si>
  <si>
    <t>6/2024</t>
  </si>
  <si>
    <t>snížení CN o 1 tis. Kč, akce ukončena</t>
  </si>
  <si>
    <t>snížení CN o 12 tis. Kč</t>
  </si>
  <si>
    <t>navýšení celkových nákladů o 429 tis. Kč, jedná se o vícepráce a náklady, které nebyly známé</t>
  </si>
  <si>
    <t>snížení CN o 5 tis. Kč, akce ukončena</t>
  </si>
  <si>
    <t>snížení CN o 37 tis. Kč, akce ukončena</t>
  </si>
  <si>
    <t>snížení CN o 3 tis. Kč, akce ukončena</t>
  </si>
  <si>
    <t>snížení CN o 500 tis. Kč, akce ukončena</t>
  </si>
  <si>
    <t>snížení CN o 18 tis. Kč, akce ukončena</t>
  </si>
  <si>
    <t>125/2023/KUL</t>
  </si>
  <si>
    <t>Obnova střech objektů na rychtě z Bradlecké Lhoty, sýpka u chalupy z Budče, další sýpka z Budče a pecí v chalupě z Budče a statku z Týřovic v areálu Muzea lidových staveb v Kouřimi</t>
  </si>
  <si>
    <t>nutná obnova, přirozený proces chátrání stavebních prvků z přírodních materiálů</t>
  </si>
  <si>
    <t>126/2023/KUL</t>
  </si>
  <si>
    <t>Demontáž a převoz sýpky z Bakova nad Jizerou do MLS Kouřim</t>
  </si>
  <si>
    <t>vytvoření nových prostor pro expozice, rozšíření nabídky návštěvnicky atraktivních instalací</t>
  </si>
  <si>
    <t>127/2023/KUL</t>
  </si>
  <si>
    <t>Rekonstrukce obvodové zdi depozitárního areálu v Kralupech nad Vltavou</t>
  </si>
  <si>
    <t>trhlina ve zdi se rozšiřuje, nezbytná rekonstrukce, jinak havarijní stav</t>
  </si>
  <si>
    <t>128/2023/KUL</t>
  </si>
  <si>
    <t>Úprava prostor po vysoké škole</t>
  </si>
  <si>
    <t>vytvoření projektu a dalších přípravných prací pro úpravu prostor</t>
  </si>
  <si>
    <t>129/2023/KUL</t>
  </si>
  <si>
    <t>Souhrn opatření pro dopravu v klidu pro areál Jezuitské koleje</t>
  </si>
  <si>
    <t>zabránění vjezdu automobilů do zahrad a zabezpečení klidného provoz na nově vzniklém parkovišti pro návštěvníky Kongresového centra</t>
  </si>
  <si>
    <t>130/2023/KUL</t>
  </si>
  <si>
    <t>Adaptace činností v souladu s novým nájemcem prostor v Husově ulici</t>
  </si>
  <si>
    <t>záměrem je pronajmout nevyužívané prostory v Husově ulici s ohledem na činnosti SCCR</t>
  </si>
  <si>
    <t>Praha</t>
  </si>
  <si>
    <t>131/2023/KUL</t>
  </si>
  <si>
    <t>Náklady na zabezpečení digitalizačního pracoviště</t>
  </si>
  <si>
    <t>navazující investiční výdaje na dotační projekt podpořený z Národního plánu obnovy</t>
  </si>
  <si>
    <t>132/2023/KUL</t>
  </si>
  <si>
    <t>Posílení IT techniky ve Středočeském muzeu v Roztokách</t>
  </si>
  <si>
    <t>modernizace IT vybavení - vyšší míra zabezpečení a širší využitelnost IT techniky</t>
  </si>
  <si>
    <t>133/2023/KUL</t>
  </si>
  <si>
    <t>Pořízení spektrometru pro konzervátorské pracoviště Středočeského muzea</t>
  </si>
  <si>
    <t>přístroj zkvalitní pracovní postupy konzervace kovů, prvkové složení umožňuje správný postup konzervace a restaurování sbírkových předmětů</t>
  </si>
  <si>
    <t>134/2023/KUL</t>
  </si>
  <si>
    <t>Nákup odvlhčovače vzduchu: REMKO LTE 60 SP</t>
  </si>
  <si>
    <t>náhrada stávajícího poruchového odvlhčovače vzduchu do laboratoře konzervačního ozařovacího pracoviště</t>
  </si>
  <si>
    <t>135/2023/KUL</t>
  </si>
  <si>
    <t>Nákup pozemku pod Leteckým muzeem Metoděje Vlacha v Mladé Boleslavi</t>
  </si>
  <si>
    <t>rozšíří možnosti využívání prostor Leteckého muzea Metoděje Vlacha</t>
  </si>
  <si>
    <t>136/2023/KUL</t>
  </si>
  <si>
    <t>Říše zvuků na Strži</t>
  </si>
  <si>
    <t>aplikace pro návštěvníky provede vzpomínkami na skladatele a v doprovodu jeho hudby</t>
  </si>
  <si>
    <t>137/2023/KUL</t>
  </si>
  <si>
    <t>Obnova naučné stezky Karla Čapka</t>
  </si>
  <si>
    <t>nutná obnova stezky</t>
  </si>
  <si>
    <t>138/2023/KUL</t>
  </si>
  <si>
    <t>Obnova technologie vytápění</t>
  </si>
  <si>
    <t>dosažení energetických úspor</t>
  </si>
  <si>
    <t>139/2023/KUL</t>
  </si>
  <si>
    <t>Revitalizace kamerového systému v zámku Vlašim</t>
  </si>
  <si>
    <t>revitalizace technicky a morálně zastaralého systému CCTV v zámku ve Vlašimi</t>
  </si>
  <si>
    <t>140/2023/KUL</t>
  </si>
  <si>
    <t>Nákup koncertního klavíru</t>
  </si>
  <si>
    <t>zajištění koncertní sezóny v muzeu, původní klavír je za hranicí životnosti</t>
  </si>
  <si>
    <t>141/2023/KUL</t>
  </si>
  <si>
    <t>Zpracování studie proveditelnosti a projektové dokumentace potřebné k instalaci tepelných čerpadel a FVE v objektech SM</t>
  </si>
  <si>
    <t>úsporná opatření - instalace TČ a FVE, potřeba zpracovat studii proveditelnosti a následně projektovou dokumentaci</t>
  </si>
  <si>
    <t>142/2023/KUL</t>
  </si>
  <si>
    <t>EPS a EZS Muzea na pracovištích v Mladé Boleslavi a v Bělé p. B.</t>
  </si>
  <si>
    <t>zajištění bezpečnosti a ochrany sbírek a majetku</t>
  </si>
  <si>
    <t>143/2023/KUL</t>
  </si>
  <si>
    <t>Implementace informačního a prezentačního systému digitálního zpracování sbírek</t>
  </si>
  <si>
    <t>zkvalitnění péče o sbírky jejich digitalizací, větší zpřístupnění sbírek veřejnosti</t>
  </si>
  <si>
    <t xml:space="preserve">stavebně hotovo I. etapa, proplacení I etapy, II. Etapa v roce 2023 </t>
  </si>
  <si>
    <t>financování ze SFDI</t>
  </si>
  <si>
    <t xml:space="preserve">Vzhledem ke skutečnostem, které vznikly v průběhu provádění díla a které mají podstatný vliv na cenu a možnost dokončení celé akce z důvodu vývoje na trhu se stavebním materiálem způsobeným pandemií Covid-19 a válečným konfliktem na východě Evropy došlo k navýšení celkových nákladů o 8,274 mil. Kč </t>
  </si>
  <si>
    <t>Změna financování - převod 7 mil. Kč z r. 2023 do r. 2024</t>
  </si>
  <si>
    <t>Navýšení celkových nákladů o 11,199 mil. Kč na základě aktualizace PD</t>
  </si>
  <si>
    <t>Změna financování - převod 4,562 mil. Kč z r. 2023 do r. 2024</t>
  </si>
  <si>
    <t>Změna financování - převod 6,3 mil. Kč z r. 2023 do r. 2024</t>
  </si>
  <si>
    <t>Změna financování - převod 1,4 mil. Kč z r. 2023 do r. 2024</t>
  </si>
  <si>
    <t>Změna financování - převod 1,381 mil. Kč z r. 2023 do r. 2024</t>
  </si>
  <si>
    <t>Změna financování - převod 55 tis.Kč z r. 2024 do r. 2023</t>
  </si>
  <si>
    <t>Navýšení celkových nákladů o 27,89 mil. Kč na základě aktualizace PD</t>
  </si>
  <si>
    <t xml:space="preserve">Gymnázium, Příbram, Legionářů 402 </t>
  </si>
  <si>
    <t>Nástavba budovy Gymnázia Příbram</t>
  </si>
  <si>
    <t>Zefektivnění výuky na příbramském gymnáziu</t>
  </si>
  <si>
    <t>snížení CN o 600 tis. Kč</t>
  </si>
  <si>
    <t>snížení CN o 913 tis. Kč</t>
  </si>
  <si>
    <t>navýšení celkových nákladů o 60 tis. Kč z důvodu nutnosti realizace VZ na expozici</t>
  </si>
  <si>
    <t>navýšení celkových nákladů o 186 tis. Kč, navýšení nákladů v souladu s VZMR - nejvýhodnější nabídka</t>
  </si>
  <si>
    <t>snížení CN o 127 tis. Kč</t>
  </si>
  <si>
    <t>04/2023</t>
  </si>
  <si>
    <t>Opakování VZ</t>
  </si>
  <si>
    <t>05/2023</t>
  </si>
  <si>
    <t xml:space="preserve">Navýšení celkových nákladů o 1,1 mil. - rozšíření zastoupení ekologických vozidel </t>
  </si>
  <si>
    <t>oranžově podbarveno (celý řádek) + poznámka (komentář k důvodu zařazení nové akce)</t>
  </si>
  <si>
    <t>červené písmo (celý řádek)+ poznámka (odůvodnění)</t>
  </si>
  <si>
    <t>modré písmo (celý řádek) + poznámka</t>
  </si>
  <si>
    <t>písmo škrtnuto (celý řádek)</t>
  </si>
  <si>
    <t>zeleně podbarveno (celý řádek) + poznámka</t>
  </si>
  <si>
    <t>navýšení CN o 1 tis. Kč na základě cenové nabídky</t>
  </si>
  <si>
    <t xml:space="preserve">Změna způsobu financování - bude celé financován mimo kap. 12 (pův. CN 30 mil. Kč),  nebude čerpáno z EIB, přesun finančních prostředků z EIB na akce "Vybudování nového stanoviště ZZS SK, Benešov" a "Vybudování nového stanoviště ZZS SK, Brandýs nad Labem". </t>
  </si>
  <si>
    <t>Navýšení celkových nákladů o 15 mil. Kč z akce "Vybudování nového stanoviště ZZS SK, Říčany"(na základě aktuálně zpracované studie).</t>
  </si>
  <si>
    <t>Navýšení celkových nákladů o 15 mil. Kč z akce "Vybudování nového stanoviště ZZS SK, Říčany"(na základě aktuálně zpracovávané studie).</t>
  </si>
  <si>
    <t>čerpáno v r. 2022</t>
  </si>
  <si>
    <t>Schválený rozpočet 2023 (usnesení č.   011-20/2022/ZK ze dne 28. 11. 2022)</t>
  </si>
  <si>
    <t>Nevyčerpané účelové finanční prostředky z roku 2022 (zůstatek hospodaření z roku 2022)</t>
  </si>
  <si>
    <t>změna financování - převod 28 mil. Kč z r. 2023 do r. 2025</t>
  </si>
  <si>
    <t>změna financování - převod 3 mil. Kč z r. 2023 do r. 2025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</si>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</sst>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.0000000"/>
    <numFmt numFmtId="166" formatCode="#,##0.00000"/>
    <numFmt numFmtId="167" formatCode="0.00000"/>
    <numFmt numFmtId="168" formatCode="#,##0.000000"/>
    <numFmt numFmtId="169" formatCode="0.0000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trike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trike/>
      <sz val="10"/>
      <color rgb="FF0000FB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color rgb="FF0000FB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rgb="FF0000FB"/>
      <name val="Arial"/>
      <family val="2"/>
      <charset val="238"/>
    </font>
    <font>
      <sz val="12"/>
      <color theme="1"/>
      <name val="Arial"/>
      <family val="2"/>
      <charset val="238"/>
    </font>
    <font>
      <strike/>
      <sz val="10"/>
      <color theme="7" tint="0.59999389629810485"/>
      <name val="Arial"/>
      <family val="2"/>
      <charset val="238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8" fillId="0" borderId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4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239">
    <xf numFmtId="0" fontId="0" fillId="0" borderId="0" xfId="0"/>
    <xf numFmtId="3" fontId="15" fillId="0" borderId="26" xfId="1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 shrinkToFit="1"/>
    </xf>
    <xf numFmtId="0" fontId="10" fillId="6" borderId="6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5" fillId="0" borderId="26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3" fontId="8" fillId="0" borderId="36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10" fillId="0" borderId="26" xfId="1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4" fillId="0" borderId="40" xfId="0" applyNumberFormat="1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/>
    </xf>
    <xf numFmtId="3" fontId="15" fillId="0" borderId="23" xfId="1" applyNumberFormat="1" applyFont="1" applyBorder="1" applyAlignment="1">
      <alignment vertical="center"/>
    </xf>
    <xf numFmtId="0" fontId="8" fillId="5" borderId="29" xfId="0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 wrapText="1"/>
    </xf>
    <xf numFmtId="49" fontId="8" fillId="6" borderId="18" xfId="1" applyNumberForma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3" fontId="15" fillId="0" borderId="18" xfId="1" applyNumberFormat="1" applyFont="1" applyBorder="1" applyAlignment="1">
      <alignment vertical="center" wrapText="1"/>
    </xf>
    <xf numFmtId="3" fontId="10" fillId="0" borderId="31" xfId="1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3" fontId="10" fillId="5" borderId="26" xfId="1" applyNumberFormat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9" fillId="0" borderId="0" xfId="0" applyFont="1"/>
    <xf numFmtId="0" fontId="9" fillId="0" borderId="19" xfId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" fontId="10" fillId="2" borderId="23" xfId="1" applyNumberFormat="1" applyFont="1" applyFill="1" applyBorder="1" applyAlignment="1">
      <alignment vertical="center" wrapText="1"/>
    </xf>
    <xf numFmtId="3" fontId="8" fillId="2" borderId="37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10" fillId="2" borderId="26" xfId="1" applyNumberFormat="1" applyFont="1" applyFill="1" applyBorder="1" applyAlignment="1">
      <alignment vertical="center" wrapText="1"/>
    </xf>
    <xf numFmtId="3" fontId="8" fillId="2" borderId="34" xfId="0" applyNumberFormat="1" applyFont="1" applyFill="1" applyBorder="1" applyAlignment="1">
      <alignment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3" fontId="8" fillId="2" borderId="31" xfId="0" applyNumberFormat="1" applyFont="1" applyFill="1" applyBorder="1" applyAlignment="1">
      <alignment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1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vertical="center" wrapText="1"/>
    </xf>
    <xf numFmtId="3" fontId="8" fillId="2" borderId="15" xfId="0" applyNumberFormat="1" applyFont="1" applyFill="1" applyBorder="1" applyAlignment="1">
      <alignment vertical="center"/>
    </xf>
    <xf numFmtId="3" fontId="8" fillId="2" borderId="25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 wrapText="1"/>
    </xf>
    <xf numFmtId="3" fontId="10" fillId="5" borderId="28" xfId="1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vertical="center"/>
    </xf>
    <xf numFmtId="3" fontId="8" fillId="5" borderId="37" xfId="0" applyNumberFormat="1" applyFont="1" applyFill="1" applyBorder="1" applyAlignment="1">
      <alignment vertical="center"/>
    </xf>
    <xf numFmtId="3" fontId="8" fillId="5" borderId="26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0" fontId="8" fillId="2" borderId="44" xfId="0" applyFont="1" applyFill="1" applyBorder="1" applyAlignment="1">
      <alignment horizontal="center" vertical="center" wrapText="1"/>
    </xf>
    <xf numFmtId="3" fontId="8" fillId="0" borderId="37" xfId="0" applyNumberFormat="1" applyFont="1" applyBorder="1" applyAlignment="1">
      <alignment vertical="center" wrapText="1"/>
    </xf>
    <xf numFmtId="3" fontId="8" fillId="2" borderId="32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2" borderId="13" xfId="0" applyNumberFormat="1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vertical="center" wrapText="1"/>
    </xf>
    <xf numFmtId="1" fontId="8" fillId="6" borderId="18" xfId="1" applyNumberForma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 horizontal="center" vertical="center" wrapText="1"/>
    </xf>
    <xf numFmtId="4" fontId="10" fillId="0" borderId="54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 shrinkToFit="1"/>
    </xf>
    <xf numFmtId="0" fontId="10" fillId="0" borderId="12" xfId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vertical="center"/>
    </xf>
    <xf numFmtId="49" fontId="8" fillId="5" borderId="26" xfId="0" applyNumberFormat="1" applyFont="1" applyFill="1" applyBorder="1" applyAlignment="1">
      <alignment horizontal="center" vertical="center" wrapText="1"/>
    </xf>
    <xf numFmtId="3" fontId="10" fillId="2" borderId="25" xfId="1" applyNumberFormat="1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71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8" fillId="0" borderId="71" xfId="0" applyNumberFormat="1" applyFont="1" applyBorder="1" applyAlignment="1">
      <alignment horizontal="center" vertical="center"/>
    </xf>
    <xf numFmtId="3" fontId="29" fillId="0" borderId="0" xfId="0" applyNumberFormat="1" applyFont="1"/>
    <xf numFmtId="49" fontId="8" fillId="5" borderId="22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vertical="center"/>
    </xf>
    <xf numFmtId="3" fontId="8" fillId="5" borderId="22" xfId="0" applyNumberFormat="1" applyFont="1" applyFill="1" applyBorder="1" applyAlignment="1">
      <alignment vertical="center"/>
    </xf>
    <xf numFmtId="3" fontId="10" fillId="2" borderId="23" xfId="1" applyNumberFormat="1" applyFont="1" applyFill="1" applyBorder="1" applyAlignment="1">
      <alignment vertical="center"/>
    </xf>
    <xf numFmtId="3" fontId="8" fillId="2" borderId="43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21" xfId="0" applyNumberFormat="1" applyFont="1" applyFill="1" applyBorder="1" applyAlignment="1">
      <alignment vertical="center"/>
    </xf>
    <xf numFmtId="3" fontId="8" fillId="2" borderId="56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49" fontId="8" fillId="2" borderId="26" xfId="0" applyNumberFormat="1" applyFont="1" applyFill="1" applyBorder="1" applyAlignment="1">
      <alignment horizontal="center" vertical="center"/>
    </xf>
    <xf numFmtId="3" fontId="10" fillId="2" borderId="26" xfId="1" applyNumberFormat="1" applyFont="1" applyFill="1" applyBorder="1" applyAlignment="1">
      <alignment vertical="center"/>
    </xf>
    <xf numFmtId="3" fontId="8" fillId="2" borderId="36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 wrapText="1"/>
    </xf>
    <xf numFmtId="3" fontId="8" fillId="2" borderId="20" xfId="0" applyNumberFormat="1" applyFont="1" applyFill="1" applyBorder="1" applyAlignment="1">
      <alignment vertical="center" wrapText="1"/>
    </xf>
    <xf numFmtId="3" fontId="8" fillId="2" borderId="32" xfId="0" applyNumberFormat="1" applyFont="1" applyFill="1" applyBorder="1" applyAlignment="1">
      <alignment vertical="center" wrapText="1"/>
    </xf>
    <xf numFmtId="3" fontId="8" fillId="2" borderId="32" xfId="0" applyNumberFormat="1" applyFont="1" applyFill="1" applyBorder="1" applyAlignment="1">
      <alignment horizontal="right" vertical="center"/>
    </xf>
    <xf numFmtId="49" fontId="12" fillId="2" borderId="26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right" vertical="center"/>
    </xf>
    <xf numFmtId="3" fontId="10" fillId="2" borderId="13" xfId="1" applyNumberFormat="1" applyFont="1" applyFill="1" applyBorder="1" applyAlignment="1">
      <alignment vertical="center"/>
    </xf>
    <xf numFmtId="3" fontId="10" fillId="2" borderId="30" xfId="1" applyNumberFormat="1" applyFont="1" applyFill="1" applyBorder="1" applyAlignment="1">
      <alignment vertical="center" wrapText="1"/>
    </xf>
    <xf numFmtId="3" fontId="8" fillId="2" borderId="52" xfId="0" applyNumberFormat="1" applyFont="1" applyFill="1" applyBorder="1" applyAlignment="1">
      <alignment vertical="center"/>
    </xf>
    <xf numFmtId="3" fontId="8" fillId="2" borderId="19" xfId="0" applyNumberFormat="1" applyFont="1" applyFill="1" applyBorder="1" applyAlignment="1">
      <alignment vertical="center"/>
    </xf>
    <xf numFmtId="3" fontId="8" fillId="2" borderId="47" xfId="0" applyNumberFormat="1" applyFont="1" applyFill="1" applyBorder="1" applyAlignment="1">
      <alignment vertical="center"/>
    </xf>
    <xf numFmtId="3" fontId="8" fillId="2" borderId="47" xfId="0" applyNumberFormat="1" applyFont="1" applyFill="1" applyBorder="1" applyAlignment="1">
      <alignment vertical="center" wrapText="1"/>
    </xf>
    <xf numFmtId="49" fontId="8" fillId="2" borderId="13" xfId="0" applyNumberFormat="1" applyFont="1" applyFill="1" applyBorder="1" applyAlignment="1">
      <alignment horizontal="center" vertical="center"/>
    </xf>
    <xf numFmtId="49" fontId="8" fillId="5" borderId="23" xfId="0" applyNumberFormat="1" applyFont="1" applyFill="1" applyBorder="1" applyAlignment="1">
      <alignment horizontal="center" vertical="center" wrapText="1"/>
    </xf>
    <xf numFmtId="3" fontId="8" fillId="5" borderId="32" xfId="0" applyNumberFormat="1" applyFont="1" applyFill="1" applyBorder="1" applyAlignment="1">
      <alignment vertical="center" wrapText="1"/>
    </xf>
    <xf numFmtId="3" fontId="10" fillId="2" borderId="13" xfId="0" applyNumberFormat="1" applyFont="1" applyFill="1" applyBorder="1" applyAlignment="1">
      <alignment horizontal="right" vertical="center" wrapText="1"/>
    </xf>
    <xf numFmtId="3" fontId="10" fillId="2" borderId="15" xfId="1" applyNumberFormat="1" applyFont="1" applyFill="1" applyBorder="1" applyAlignment="1">
      <alignment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3" fontId="10" fillId="0" borderId="25" xfId="1" applyNumberFormat="1" applyFont="1" applyBorder="1" applyAlignment="1">
      <alignment vertical="center" wrapText="1"/>
    </xf>
    <xf numFmtId="3" fontId="8" fillId="2" borderId="63" xfId="0" applyNumberFormat="1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vertical="center" wrapText="1"/>
    </xf>
    <xf numFmtId="3" fontId="8" fillId="2" borderId="36" xfId="0" applyNumberFormat="1" applyFont="1" applyFill="1" applyBorder="1" applyAlignment="1">
      <alignment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vertical="center" wrapText="1"/>
    </xf>
    <xf numFmtId="3" fontId="10" fillId="2" borderId="14" xfId="1" applyNumberFormat="1" applyFont="1" applyFill="1" applyBorder="1" applyAlignment="1">
      <alignment vertical="center" wrapText="1"/>
    </xf>
    <xf numFmtId="49" fontId="8" fillId="0" borderId="30" xfId="1" applyNumberFormat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3" fontId="15" fillId="0" borderId="23" xfId="1" applyNumberFormat="1" applyFont="1" applyBorder="1" applyAlignment="1">
      <alignment horizontal="right" vertical="center" wrapText="1"/>
    </xf>
    <xf numFmtId="3" fontId="10" fillId="0" borderId="2" xfId="1" applyNumberFormat="1" applyFont="1" applyBorder="1" applyAlignment="1">
      <alignment horizontal="right" vertical="center" wrapText="1"/>
    </xf>
    <xf numFmtId="3" fontId="8" fillId="0" borderId="57" xfId="0" applyNumberFormat="1" applyFont="1" applyBorder="1" applyAlignment="1">
      <alignment horizontal="center" vertical="center" wrapText="1"/>
    </xf>
    <xf numFmtId="49" fontId="8" fillId="0" borderId="13" xfId="1" applyNumberForma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right" vertical="center" wrapText="1"/>
    </xf>
    <xf numFmtId="3" fontId="10" fillId="0" borderId="4" xfId="1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right" vertical="center" wrapText="1"/>
    </xf>
    <xf numFmtId="3" fontId="10" fillId="5" borderId="26" xfId="1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3" fontId="14" fillId="11" borderId="13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2" borderId="23" xfId="1" applyNumberFormat="1" applyFont="1" applyFill="1" applyBorder="1" applyAlignment="1">
      <alignment horizontal="right" vertical="center" wrapText="1"/>
    </xf>
    <xf numFmtId="3" fontId="10" fillId="2" borderId="13" xfId="1" applyNumberFormat="1" applyFont="1" applyFill="1" applyBorder="1" applyAlignment="1">
      <alignment horizontal="right" vertical="center" wrapText="1"/>
    </xf>
    <xf numFmtId="3" fontId="8" fillId="2" borderId="59" xfId="0" applyNumberFormat="1" applyFont="1" applyFill="1" applyBorder="1" applyAlignment="1">
      <alignment vertical="center" wrapText="1"/>
    </xf>
    <xf numFmtId="3" fontId="8" fillId="2" borderId="23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3" fontId="10" fillId="2" borderId="31" xfId="1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3" fontId="10" fillId="2" borderId="15" xfId="1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3" fontId="10" fillId="2" borderId="26" xfId="1" applyNumberFormat="1" applyFont="1" applyFill="1" applyBorder="1" applyAlignment="1">
      <alignment horizontal="right" vertical="center" wrapText="1"/>
    </xf>
    <xf numFmtId="3" fontId="10" fillId="0" borderId="28" xfId="1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 wrapText="1"/>
    </xf>
    <xf numFmtId="3" fontId="10" fillId="5" borderId="31" xfId="1" applyNumberFormat="1" applyFont="1" applyFill="1" applyBorder="1" applyAlignment="1">
      <alignment horizontal="right" vertical="center" wrapText="1"/>
    </xf>
    <xf numFmtId="3" fontId="10" fillId="2" borderId="25" xfId="1" applyNumberFormat="1" applyFont="1" applyFill="1" applyBorder="1" applyAlignment="1">
      <alignment horizontal="right" vertical="center" wrapText="1"/>
    </xf>
    <xf numFmtId="3" fontId="8" fillId="0" borderId="66" xfId="0" applyNumberFormat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wrapText="1"/>
    </xf>
    <xf numFmtId="4" fontId="10" fillId="0" borderId="67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3" fontId="8" fillId="5" borderId="25" xfId="0" applyNumberFormat="1" applyFont="1" applyFill="1" applyBorder="1" applyAlignment="1">
      <alignment horizontal="right" vertical="center" wrapText="1"/>
    </xf>
    <xf numFmtId="3" fontId="14" fillId="11" borderId="14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5" fillId="0" borderId="44" xfId="0" applyNumberFormat="1" applyFont="1" applyBorder="1" applyAlignment="1">
      <alignment horizontal="center" vertical="center" wrapText="1" shrinkToFit="1"/>
    </xf>
    <xf numFmtId="3" fontId="8" fillId="2" borderId="25" xfId="0" applyNumberFormat="1" applyFont="1" applyFill="1" applyBorder="1" applyAlignment="1">
      <alignment horizontal="right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0" fontId="30" fillId="0" borderId="0" xfId="0" applyFont="1"/>
    <xf numFmtId="0" fontId="8" fillId="0" borderId="22" xfId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right" vertical="center" wrapText="1"/>
    </xf>
    <xf numFmtId="3" fontId="8" fillId="0" borderId="13" xfId="1" applyNumberFormat="1" applyBorder="1" applyAlignment="1">
      <alignment horizontal="center" vertical="center" wrapText="1"/>
    </xf>
    <xf numFmtId="3" fontId="8" fillId="0" borderId="14" xfId="1" applyNumberForma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169" fontId="9" fillId="0" borderId="0" xfId="0" applyNumberFormat="1" applyFont="1" applyAlignment="1">
      <alignment horizontal="right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8" fillId="0" borderId="14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 shrinkToFit="1"/>
    </xf>
    <xf numFmtId="165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1" applyBorder="1" applyAlignment="1">
      <alignment horizontal="center" vertical="center" wrapText="1"/>
    </xf>
    <xf numFmtId="3" fontId="8" fillId="0" borderId="46" xfId="0" applyNumberFormat="1" applyFont="1" applyBorder="1" applyAlignment="1">
      <alignment vertical="center" wrapText="1"/>
    </xf>
    <xf numFmtId="49" fontId="8" fillId="6" borderId="12" xfId="0" applyNumberFormat="1" applyFont="1" applyFill="1" applyBorder="1" applyAlignment="1">
      <alignment horizontal="center" vertical="center" wrapText="1"/>
    </xf>
    <xf numFmtId="3" fontId="8" fillId="6" borderId="18" xfId="1" applyNumberFormat="1" applyFill="1" applyBorder="1" applyAlignment="1">
      <alignment horizontal="center" vertical="center" wrapText="1"/>
    </xf>
    <xf numFmtId="3" fontId="8" fillId="6" borderId="12" xfId="1" applyNumberFormat="1" applyFill="1" applyBorder="1" applyAlignment="1">
      <alignment horizontal="center" vertical="center" wrapText="1"/>
    </xf>
    <xf numFmtId="3" fontId="8" fillId="6" borderId="30" xfId="1" applyNumberFormat="1" applyFill="1" applyBorder="1" applyAlignment="1">
      <alignment horizontal="center" vertical="center" wrapText="1"/>
    </xf>
    <xf numFmtId="49" fontId="8" fillId="6" borderId="12" xfId="1" applyNumberFormat="1" applyFill="1" applyBorder="1" applyAlignment="1">
      <alignment horizontal="center" vertical="center" wrapText="1"/>
    </xf>
    <xf numFmtId="4" fontId="8" fillId="6" borderId="12" xfId="1" applyNumberForma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10" fillId="11" borderId="13" xfId="0" applyNumberFormat="1" applyFont="1" applyFill="1" applyBorder="1" applyAlignment="1">
      <alignment horizontal="right" vertical="center" wrapText="1"/>
    </xf>
    <xf numFmtId="3" fontId="15" fillId="11" borderId="13" xfId="0" applyNumberFormat="1" applyFont="1" applyFill="1" applyBorder="1" applyAlignment="1">
      <alignment horizontal="right" vertical="center" wrapText="1"/>
    </xf>
    <xf numFmtId="3" fontId="10" fillId="11" borderId="18" xfId="0" applyNumberFormat="1" applyFont="1" applyFill="1" applyBorder="1" applyAlignment="1">
      <alignment horizontal="right" vertical="center" wrapText="1"/>
    </xf>
    <xf numFmtId="3" fontId="10" fillId="11" borderId="2" xfId="0" applyNumberFormat="1" applyFont="1" applyFill="1" applyBorder="1" applyAlignment="1">
      <alignment horizontal="right" vertical="center" wrapText="1"/>
    </xf>
    <xf numFmtId="3" fontId="15" fillId="11" borderId="26" xfId="0" applyNumberFormat="1" applyFont="1" applyFill="1" applyBorder="1" applyAlignment="1">
      <alignment horizontal="right" vertical="center" wrapText="1"/>
    </xf>
    <xf numFmtId="3" fontId="15" fillId="11" borderId="23" xfId="0" applyNumberFormat="1" applyFont="1" applyFill="1" applyBorder="1" applyAlignment="1">
      <alignment horizontal="right" vertical="center" wrapText="1"/>
    </xf>
    <xf numFmtId="3" fontId="15" fillId="11" borderId="14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8" fillId="2" borderId="12" xfId="0" applyNumberFormat="1" applyFont="1" applyFill="1" applyBorder="1" applyAlignment="1">
      <alignment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3" fontId="10" fillId="11" borderId="18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3" fontId="10" fillId="3" borderId="14" xfId="0" applyNumberFormat="1" applyFont="1" applyFill="1" applyBorder="1" applyAlignment="1">
      <alignment horizontal="right" vertical="center" wrapText="1"/>
    </xf>
    <xf numFmtId="3" fontId="15" fillId="3" borderId="13" xfId="0" applyNumberFormat="1" applyFont="1" applyFill="1" applyBorder="1" applyAlignment="1">
      <alignment horizontal="right" vertical="center" wrapText="1"/>
    </xf>
    <xf numFmtId="3" fontId="15" fillId="3" borderId="23" xfId="0" applyNumberFormat="1" applyFont="1" applyFill="1" applyBorder="1" applyAlignment="1">
      <alignment horizontal="right" vertical="center" wrapText="1"/>
    </xf>
    <xf numFmtId="3" fontId="15" fillId="3" borderId="26" xfId="0" applyNumberFormat="1" applyFont="1" applyFill="1" applyBorder="1" applyAlignment="1">
      <alignment horizontal="right" vertical="center" wrapText="1"/>
    </xf>
    <xf numFmtId="3" fontId="15" fillId="3" borderId="14" xfId="0" applyNumberFormat="1" applyFont="1" applyFill="1" applyBorder="1" applyAlignment="1">
      <alignment horizontal="right" vertical="center" wrapText="1"/>
    </xf>
    <xf numFmtId="3" fontId="8" fillId="0" borderId="30" xfId="1" applyNumberFormat="1" applyBorder="1" applyAlignment="1">
      <alignment horizontal="center" vertical="center" wrapText="1"/>
    </xf>
    <xf numFmtId="3" fontId="8" fillId="0" borderId="15" xfId="1" applyNumberFormat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49" fontId="8" fillId="2" borderId="18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3" fontId="10" fillId="5" borderId="25" xfId="1" applyNumberFormat="1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15" fillId="3" borderId="18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 wrapText="1"/>
    </xf>
    <xf numFmtId="3" fontId="10" fillId="6" borderId="18" xfId="0" applyNumberFormat="1" applyFont="1" applyFill="1" applyBorder="1" applyAlignment="1">
      <alignment horizontal="center" vertical="center" wrapText="1" shrinkToFit="1"/>
    </xf>
    <xf numFmtId="166" fontId="8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 wrapText="1"/>
    </xf>
    <xf numFmtId="4" fontId="10" fillId="12" borderId="66" xfId="0" applyNumberFormat="1" applyFont="1" applyFill="1" applyBorder="1" applyAlignment="1">
      <alignment horizontal="center" vertical="center" wrapText="1"/>
    </xf>
    <xf numFmtId="4" fontId="10" fillId="12" borderId="54" xfId="0" applyNumberFormat="1" applyFont="1" applyFill="1" applyBorder="1" applyAlignment="1">
      <alignment horizontal="center" vertical="center" wrapText="1"/>
    </xf>
    <xf numFmtId="4" fontId="10" fillId="12" borderId="16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/>
    </xf>
    <xf numFmtId="3" fontId="32" fillId="2" borderId="0" xfId="0" applyNumberFormat="1" applyFont="1" applyFill="1"/>
    <xf numFmtId="3" fontId="27" fillId="2" borderId="0" xfId="0" applyNumberFormat="1" applyFont="1" applyFill="1"/>
    <xf numFmtId="0" fontId="32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2" fillId="0" borderId="0" xfId="0" applyFont="1"/>
    <xf numFmtId="0" fontId="26" fillId="0" borderId="0" xfId="0" applyFont="1" applyAlignment="1">
      <alignment horizontal="center"/>
    </xf>
    <xf numFmtId="3" fontId="10" fillId="0" borderId="34" xfId="1" applyNumberFormat="1" applyFont="1" applyBorder="1" applyAlignment="1">
      <alignment vertical="center" wrapText="1"/>
    </xf>
    <xf numFmtId="3" fontId="10" fillId="0" borderId="30" xfId="1" applyNumberFormat="1" applyFont="1" applyBorder="1" applyAlignment="1">
      <alignment vertical="center" wrapText="1"/>
    </xf>
    <xf numFmtId="3" fontId="10" fillId="0" borderId="22" xfId="1" applyNumberFormat="1" applyFont="1" applyBorder="1" applyAlignment="1">
      <alignment vertical="center" wrapText="1"/>
    </xf>
    <xf numFmtId="0" fontId="29" fillId="2" borderId="0" xfId="0" applyFont="1" applyFill="1"/>
    <xf numFmtId="0" fontId="26" fillId="0" borderId="0" xfId="0" applyFont="1" applyAlignment="1">
      <alignment horizontal="center" vertical="center"/>
    </xf>
    <xf numFmtId="0" fontId="29" fillId="0" borderId="1" xfId="0" applyFont="1" applyBorder="1"/>
    <xf numFmtId="0" fontId="26" fillId="0" borderId="0" xfId="0" applyFont="1"/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3" fontId="27" fillId="0" borderId="0" xfId="0" applyNumberFormat="1" applyFont="1"/>
    <xf numFmtId="4" fontId="10" fillId="5" borderId="16" xfId="0" applyNumberFormat="1" applyFont="1" applyFill="1" applyBorder="1" applyAlignment="1">
      <alignment horizontal="center" vertical="center" wrapText="1"/>
    </xf>
    <xf numFmtId="4" fontId="10" fillId="15" borderId="18" xfId="0" applyNumberFormat="1" applyFont="1" applyFill="1" applyBorder="1" applyAlignment="1">
      <alignment horizontal="center" vertical="center" wrapText="1"/>
    </xf>
    <xf numFmtId="4" fontId="10" fillId="15" borderId="12" xfId="0" applyNumberFormat="1" applyFont="1" applyFill="1" applyBorder="1" applyAlignment="1">
      <alignment horizontal="center" vertical="center" wrapText="1"/>
    </xf>
    <xf numFmtId="4" fontId="10" fillId="12" borderId="14" xfId="0" applyNumberFormat="1" applyFont="1" applyFill="1" applyBorder="1" applyAlignment="1">
      <alignment horizontal="center" vertical="center" wrapText="1"/>
    </xf>
    <xf numFmtId="3" fontId="8" fillId="2" borderId="67" xfId="0" applyNumberFormat="1" applyFont="1" applyFill="1" applyBorder="1" applyAlignment="1">
      <alignment vertical="center" wrapText="1"/>
    </xf>
    <xf numFmtId="3" fontId="8" fillId="5" borderId="63" xfId="0" applyNumberFormat="1" applyFont="1" applyFill="1" applyBorder="1" applyAlignment="1">
      <alignment vertical="center"/>
    </xf>
    <xf numFmtId="3" fontId="8" fillId="5" borderId="20" xfId="0" applyNumberFormat="1" applyFont="1" applyFill="1" applyBorder="1" applyAlignment="1">
      <alignment vertical="center"/>
    </xf>
    <xf numFmtId="3" fontId="8" fillId="5" borderId="31" xfId="0" applyNumberFormat="1" applyFont="1" applyFill="1" applyBorder="1" applyAlignment="1">
      <alignment vertical="center"/>
    </xf>
    <xf numFmtId="0" fontId="8" fillId="6" borderId="18" xfId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vertical="center" wrapText="1"/>
    </xf>
    <xf numFmtId="0" fontId="8" fillId="0" borderId="14" xfId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3" fontId="10" fillId="6" borderId="18" xfId="1" applyNumberFormat="1" applyFont="1" applyFill="1" applyBorder="1" applyAlignment="1">
      <alignment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 wrapText="1"/>
    </xf>
    <xf numFmtId="4" fontId="8" fillId="6" borderId="18" xfId="1" applyNumberFormat="1" applyFill="1" applyBorder="1" applyAlignment="1">
      <alignment horizontal="center" vertical="center" wrapText="1"/>
    </xf>
    <xf numFmtId="3" fontId="10" fillId="11" borderId="23" xfId="0" applyNumberFormat="1" applyFont="1" applyFill="1" applyBorder="1" applyAlignment="1">
      <alignment horizontal="right" vertical="center" wrapText="1"/>
    </xf>
    <xf numFmtId="3" fontId="10" fillId="11" borderId="26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3" fontId="10" fillId="2" borderId="18" xfId="1" applyNumberFormat="1" applyFont="1" applyFill="1" applyBorder="1" applyAlignment="1">
      <alignment vertical="center" wrapText="1"/>
    </xf>
    <xf numFmtId="3" fontId="8" fillId="2" borderId="54" xfId="0" applyNumberFormat="1" applyFont="1" applyFill="1" applyBorder="1" applyAlignment="1">
      <alignment vertical="center" wrapText="1"/>
    </xf>
    <xf numFmtId="3" fontId="8" fillId="2" borderId="18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3" fontId="15" fillId="11" borderId="22" xfId="0" applyNumberFormat="1" applyFont="1" applyFill="1" applyBorder="1" applyAlignment="1">
      <alignment horizontal="right" vertical="center" wrapText="1"/>
    </xf>
    <xf numFmtId="2" fontId="8" fillId="5" borderId="24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3" fontId="15" fillId="11" borderId="23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166" fontId="9" fillId="0" borderId="0" xfId="0" applyNumberFormat="1" applyFont="1" applyAlignment="1">
      <alignment vertical="center" wrapText="1"/>
    </xf>
    <xf numFmtId="3" fontId="14" fillId="11" borderId="26" xfId="0" applyNumberFormat="1" applyFont="1" applyFill="1" applyBorder="1" applyAlignment="1">
      <alignment horizontal="right" vertical="center"/>
    </xf>
    <xf numFmtId="3" fontId="10" fillId="11" borderId="14" xfId="0" applyNumberFormat="1" applyFont="1" applyFill="1" applyBorder="1" applyAlignment="1">
      <alignment horizontal="right" vertical="center" wrapText="1"/>
    </xf>
    <xf numFmtId="4" fontId="10" fillId="9" borderId="1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 shrinkToFit="1"/>
    </xf>
    <xf numFmtId="0" fontId="38" fillId="0" borderId="0" xfId="0" applyFont="1"/>
    <xf numFmtId="0" fontId="8" fillId="6" borderId="14" xfId="1" applyFill="1" applyBorder="1" applyAlignment="1">
      <alignment horizontal="center" vertical="center" wrapText="1"/>
    </xf>
    <xf numFmtId="0" fontId="40" fillId="0" borderId="0" xfId="0" applyFont="1"/>
    <xf numFmtId="49" fontId="8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0" fontId="8" fillId="0" borderId="23" xfId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24" xfId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right" vertical="center"/>
    </xf>
    <xf numFmtId="3" fontId="14" fillId="0" borderId="56" xfId="0" applyNumberFormat="1" applyFont="1" applyBorder="1" applyAlignment="1">
      <alignment horizontal="right" vertical="center"/>
    </xf>
    <xf numFmtId="3" fontId="14" fillId="0" borderId="4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3" fontId="10" fillId="5" borderId="22" xfId="1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 shrinkToFit="1"/>
    </xf>
    <xf numFmtId="0" fontId="23" fillId="0" borderId="27" xfId="1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horizontal="right" vertical="center"/>
    </xf>
    <xf numFmtId="3" fontId="14" fillId="0" borderId="24" xfId="0" applyNumberFormat="1" applyFont="1" applyBorder="1" applyAlignment="1">
      <alignment horizontal="right" vertical="center"/>
    </xf>
    <xf numFmtId="49" fontId="8" fillId="5" borderId="25" xfId="0" applyNumberFormat="1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41" fillId="3" borderId="14" xfId="0" applyNumberFormat="1" applyFont="1" applyFill="1" applyBorder="1" applyAlignment="1">
      <alignment horizontal="right" vertical="center" wrapText="1"/>
    </xf>
    <xf numFmtId="3" fontId="16" fillId="0" borderId="67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 wrapText="1"/>
    </xf>
    <xf numFmtId="0" fontId="43" fillId="0" borderId="0" xfId="0" applyFont="1"/>
    <xf numFmtId="0" fontId="42" fillId="0" borderId="14" xfId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3" fontId="16" fillId="0" borderId="66" xfId="0" applyNumberFormat="1" applyFont="1" applyBorder="1" applyAlignment="1">
      <alignment horizontal="right" vertical="center"/>
    </xf>
    <xf numFmtId="3" fontId="16" fillId="0" borderId="71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3" fontId="41" fillId="11" borderId="14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3" fontId="15" fillId="0" borderId="26" xfId="1" applyNumberFormat="1" applyFont="1" applyBorder="1" applyAlignment="1">
      <alignment horizontal="right" vertical="center" wrapText="1"/>
    </xf>
    <xf numFmtId="3" fontId="14" fillId="0" borderId="46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15" fillId="0" borderId="46" xfId="0" applyNumberFormat="1" applyFont="1" applyBorder="1" applyAlignment="1">
      <alignment horizontal="right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49" fontId="8" fillId="5" borderId="31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3" fontId="14" fillId="0" borderId="46" xfId="0" applyNumberFormat="1" applyFont="1" applyBorder="1" applyAlignment="1">
      <alignment vertical="center" wrapText="1"/>
    </xf>
    <xf numFmtId="3" fontId="14" fillId="0" borderId="31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14" fillId="0" borderId="46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3" fontId="14" fillId="0" borderId="57" xfId="0" applyNumberFormat="1" applyFont="1" applyBorder="1" applyAlignment="1">
      <alignment vertical="center" wrapText="1"/>
    </xf>
    <xf numFmtId="3" fontId="14" fillId="0" borderId="44" xfId="0" applyNumberFormat="1" applyFont="1" applyBorder="1" applyAlignment="1">
      <alignment vertical="center" wrapText="1"/>
    </xf>
    <xf numFmtId="3" fontId="14" fillId="0" borderId="57" xfId="0" applyNumberFormat="1" applyFont="1" applyBorder="1" applyAlignment="1">
      <alignment vertical="center"/>
    </xf>
    <xf numFmtId="3" fontId="14" fillId="0" borderId="47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3" fontId="14" fillId="0" borderId="67" xfId="0" applyNumberFormat="1" applyFont="1" applyBorder="1" applyAlignment="1">
      <alignment horizontal="right" vertical="center"/>
    </xf>
    <xf numFmtId="3" fontId="14" fillId="0" borderId="52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 shrinkToFit="1"/>
    </xf>
    <xf numFmtId="3" fontId="14" fillId="0" borderId="47" xfId="0" applyNumberFormat="1" applyFont="1" applyBorder="1" applyAlignment="1">
      <alignment vertical="center" wrapText="1"/>
    </xf>
    <xf numFmtId="0" fontId="14" fillId="0" borderId="32" xfId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3" fontId="10" fillId="11" borderId="32" xfId="0" applyNumberFormat="1" applyFont="1" applyFill="1" applyBorder="1" applyAlignment="1">
      <alignment horizontal="right" vertical="center" wrapText="1"/>
    </xf>
    <xf numFmtId="3" fontId="15" fillId="0" borderId="26" xfId="1" applyNumberFormat="1" applyFont="1" applyBorder="1" applyAlignment="1">
      <alignment vertical="center"/>
    </xf>
    <xf numFmtId="3" fontId="14" fillId="11" borderId="23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 wrapText="1" shrinkToFit="1"/>
    </xf>
    <xf numFmtId="0" fontId="16" fillId="0" borderId="13" xfId="1" applyFont="1" applyBorder="1" applyAlignment="1">
      <alignment horizontal="center" vertical="center" wrapText="1"/>
    </xf>
    <xf numFmtId="3" fontId="41" fillId="0" borderId="13" xfId="1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3" fontId="16" fillId="0" borderId="1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8" fillId="0" borderId="44" xfId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3" fontId="15" fillId="0" borderId="13" xfId="1" applyNumberFormat="1" applyFont="1" applyBorder="1" applyAlignment="1">
      <alignment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4" fillId="0" borderId="52" xfId="0" applyNumberFormat="1" applyFont="1" applyBorder="1" applyAlignment="1">
      <alignment horizontal="righ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3" fontId="15" fillId="3" borderId="23" xfId="0" applyNumberFormat="1" applyFont="1" applyFill="1" applyBorder="1" applyAlignment="1">
      <alignment horizontal="right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3" fontId="14" fillId="11" borderId="26" xfId="0" applyNumberFormat="1" applyFont="1" applyFill="1" applyBorder="1" applyAlignment="1">
      <alignment horizontal="right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41" fillId="11" borderId="13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3" fontId="41" fillId="3" borderId="23" xfId="0" applyNumberFormat="1" applyFont="1" applyFill="1" applyBorder="1" applyAlignment="1">
      <alignment horizontal="right" vertical="center" wrapText="1"/>
    </xf>
    <xf numFmtId="3" fontId="41" fillId="11" borderId="26" xfId="0" applyNumberFormat="1" applyFont="1" applyFill="1" applyBorder="1" applyAlignment="1">
      <alignment horizontal="right" vertical="center" wrapText="1"/>
    </xf>
    <xf numFmtId="0" fontId="16" fillId="0" borderId="23" xfId="0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3" fontId="18" fillId="11" borderId="26" xfId="0" applyNumberFormat="1" applyFont="1" applyFill="1" applyBorder="1" applyAlignment="1">
      <alignment horizontal="right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3" fontId="16" fillId="11" borderId="14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16" fillId="0" borderId="23" xfId="1" applyFont="1" applyBorder="1" applyAlignment="1">
      <alignment horizontal="center" vertical="center" wrapText="1"/>
    </xf>
    <xf numFmtId="3" fontId="41" fillId="0" borderId="23" xfId="1" applyNumberFormat="1" applyFont="1" applyBorder="1" applyAlignment="1">
      <alignment vertical="center" wrapText="1"/>
    </xf>
    <xf numFmtId="3" fontId="41" fillId="0" borderId="26" xfId="1" applyNumberFormat="1" applyFont="1" applyBorder="1" applyAlignment="1">
      <alignment horizontal="right" vertical="center" wrapText="1"/>
    </xf>
    <xf numFmtId="3" fontId="16" fillId="0" borderId="56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11" borderId="23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3" fontId="15" fillId="0" borderId="31" xfId="1" applyNumberFormat="1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right" vertical="center" wrapText="1"/>
    </xf>
    <xf numFmtId="3" fontId="14" fillId="0" borderId="57" xfId="0" applyNumberFormat="1" applyFont="1" applyBorder="1" applyAlignment="1">
      <alignment horizontal="right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 shrinkToFit="1"/>
    </xf>
    <xf numFmtId="3" fontId="41" fillId="0" borderId="23" xfId="1" applyNumberFormat="1" applyFont="1" applyBorder="1" applyAlignment="1">
      <alignment horizontal="right" vertical="center" wrapText="1"/>
    </xf>
    <xf numFmtId="3" fontId="16" fillId="0" borderId="46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41" fillId="0" borderId="46" xfId="0" applyNumberFormat="1" applyFont="1" applyBorder="1" applyAlignment="1">
      <alignment horizontal="right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right" vertical="center" wrapText="1"/>
    </xf>
    <xf numFmtId="3" fontId="14" fillId="3" borderId="26" xfId="0" applyNumberFormat="1" applyFont="1" applyFill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18" fillId="11" borderId="13" xfId="0" applyNumberFormat="1" applyFont="1" applyFill="1" applyBorder="1" applyAlignment="1">
      <alignment horizontal="right" vertical="center" wrapText="1"/>
    </xf>
    <xf numFmtId="0" fontId="14" fillId="0" borderId="2" xfId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0" fontId="26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8" fillId="5" borderId="3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8" fillId="0" borderId="37" xfId="0" applyNumberFormat="1" applyFont="1" applyBorder="1" applyAlignment="1">
      <alignment horizontal="center" vertical="center" wrapText="1"/>
    </xf>
    <xf numFmtId="4" fontId="10" fillId="12" borderId="1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right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left" vertical="center" wrapText="1"/>
    </xf>
    <xf numFmtId="0" fontId="9" fillId="0" borderId="30" xfId="1" applyFont="1" applyBorder="1" applyAlignment="1">
      <alignment horizontal="center" vertical="center" wrapText="1"/>
    </xf>
    <xf numFmtId="4" fontId="11" fillId="6" borderId="12" xfId="1" applyNumberFormat="1" applyFont="1" applyFill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3" fontId="15" fillId="11" borderId="32" xfId="0" applyNumberFormat="1" applyFont="1" applyFill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 shrinkToFi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61" xfId="0" applyNumberFormat="1" applyFont="1" applyBorder="1" applyAlignment="1">
      <alignment horizontal="right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 shrinkToFit="1"/>
    </xf>
    <xf numFmtId="3" fontId="8" fillId="0" borderId="46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10" fillId="0" borderId="60" xfId="0" applyNumberFormat="1" applyFont="1" applyBorder="1" applyAlignment="1">
      <alignment horizontal="right"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3" fontId="8" fillId="0" borderId="32" xfId="1" applyNumberFormat="1" applyBorder="1" applyAlignment="1">
      <alignment vertical="center" wrapText="1"/>
    </xf>
    <xf numFmtId="0" fontId="9" fillId="0" borderId="37" xfId="1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15" fillId="0" borderId="23" xfId="1" applyNumberFormat="1" applyFont="1" applyBorder="1" applyAlignment="1">
      <alignment vertical="center" wrapText="1"/>
    </xf>
    <xf numFmtId="3" fontId="15" fillId="0" borderId="56" xfId="0" applyNumberFormat="1" applyFont="1" applyBorder="1" applyAlignment="1">
      <alignment horizontal="right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10" fillId="0" borderId="23" xfId="1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right" vertical="center" wrapText="1"/>
    </xf>
    <xf numFmtId="0" fontId="8" fillId="0" borderId="32" xfId="1" applyBorder="1" applyAlignment="1">
      <alignment horizontal="center" vertical="center" wrapText="1"/>
    </xf>
    <xf numFmtId="3" fontId="10" fillId="0" borderId="26" xfId="1" applyNumberFormat="1" applyFont="1" applyBorder="1" applyAlignment="1">
      <alignment horizontal="right" vertical="center" wrapText="1"/>
    </xf>
    <xf numFmtId="3" fontId="10" fillId="0" borderId="25" xfId="1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3" fontId="15" fillId="0" borderId="2" xfId="1" applyNumberFormat="1" applyFont="1" applyBorder="1" applyAlignment="1">
      <alignment vertical="center" wrapText="1"/>
    </xf>
    <xf numFmtId="3" fontId="15" fillId="0" borderId="2" xfId="1" applyNumberFormat="1" applyFont="1" applyBorder="1" applyAlignment="1">
      <alignment horizontal="right" vertical="center" wrapText="1"/>
    </xf>
    <xf numFmtId="3" fontId="14" fillId="0" borderId="8" xfId="1" applyNumberFormat="1" applyFont="1" applyBorder="1" applyAlignment="1">
      <alignment horizontal="right" vertical="center" wrapText="1"/>
    </xf>
    <xf numFmtId="3" fontId="14" fillId="0" borderId="60" xfId="0" applyNumberFormat="1" applyFont="1" applyBorder="1" applyAlignment="1">
      <alignment horizontal="right" vertical="center" wrapText="1"/>
    </xf>
    <xf numFmtId="3" fontId="14" fillId="0" borderId="61" xfId="0" applyNumberFormat="1" applyFont="1" applyBorder="1" applyAlignment="1">
      <alignment horizontal="right" vertical="center" wrapText="1"/>
    </xf>
    <xf numFmtId="3" fontId="14" fillId="11" borderId="2" xfId="0" applyNumberFormat="1" applyFont="1" applyFill="1" applyBorder="1" applyAlignment="1">
      <alignment horizontal="right" vertical="center" wrapText="1"/>
    </xf>
    <xf numFmtId="3" fontId="15" fillId="11" borderId="2" xfId="0" applyNumberFormat="1" applyFont="1" applyFill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3" fontId="15" fillId="0" borderId="60" xfId="0" applyNumberFormat="1" applyFont="1" applyBorder="1" applyAlignment="1">
      <alignment horizontal="right" vertical="center" wrapText="1"/>
    </xf>
    <xf numFmtId="3" fontId="14" fillId="0" borderId="51" xfId="0" applyNumberFormat="1" applyFont="1" applyBorder="1" applyAlignment="1">
      <alignment horizontal="right" vertical="center" wrapText="1"/>
    </xf>
    <xf numFmtId="3" fontId="8" fillId="0" borderId="63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10" fillId="0" borderId="14" xfId="1" applyNumberFormat="1" applyFont="1" applyBorder="1" applyAlignment="1">
      <alignment vertical="center" wrapText="1"/>
    </xf>
    <xf numFmtId="3" fontId="8" fillId="0" borderId="67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23" fillId="0" borderId="30" xfId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vertical="center" wrapText="1"/>
    </xf>
    <xf numFmtId="3" fontId="8" fillId="0" borderId="54" xfId="0" applyNumberFormat="1" applyFont="1" applyBorder="1" applyAlignment="1">
      <alignment vertical="center" wrapText="1"/>
    </xf>
    <xf numFmtId="3" fontId="14" fillId="0" borderId="54" xfId="0" applyNumberFormat="1" applyFont="1" applyBorder="1" applyAlignment="1">
      <alignment vertical="center" wrapText="1"/>
    </xf>
    <xf numFmtId="3" fontId="14" fillId="11" borderId="18" xfId="0" applyNumberFormat="1" applyFont="1" applyFill="1" applyBorder="1" applyAlignment="1">
      <alignment horizontal="right" vertical="center" wrapText="1"/>
    </xf>
    <xf numFmtId="3" fontId="15" fillId="11" borderId="18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vertical="center" wrapText="1"/>
    </xf>
    <xf numFmtId="3" fontId="14" fillId="0" borderId="53" xfId="0" applyNumberFormat="1" applyFont="1" applyBorder="1" applyAlignment="1">
      <alignment vertical="center" wrapText="1"/>
    </xf>
    <xf numFmtId="3" fontId="14" fillId="0" borderId="53" xfId="0" applyNumberFormat="1" applyFont="1" applyBorder="1" applyAlignment="1">
      <alignment horizontal="right" vertical="center" wrapText="1"/>
    </xf>
    <xf numFmtId="3" fontId="14" fillId="0" borderId="54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0" fontId="14" fillId="0" borderId="18" xfId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10" fillId="0" borderId="34" xfId="1" applyNumberFormat="1" applyFont="1" applyBorder="1" applyAlignment="1">
      <alignment horizontal="right" vertical="center" wrapText="1"/>
    </xf>
    <xf numFmtId="3" fontId="8" fillId="0" borderId="62" xfId="0" applyNumberFormat="1" applyFont="1" applyBorder="1" applyAlignment="1">
      <alignment vertical="center" wrapText="1"/>
    </xf>
    <xf numFmtId="3" fontId="10" fillId="0" borderId="18" xfId="1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23" fillId="0" borderId="31" xfId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vertical="center" wrapText="1"/>
    </xf>
    <xf numFmtId="0" fontId="14" fillId="0" borderId="23" xfId="1" applyFont="1" applyBorder="1" applyAlignment="1">
      <alignment horizontal="center" vertical="center"/>
    </xf>
    <xf numFmtId="3" fontId="8" fillId="0" borderId="4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10" fillId="0" borderId="26" xfId="1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10" fillId="0" borderId="2" xfId="1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/>
    </xf>
    <xf numFmtId="3" fontId="10" fillId="0" borderId="31" xfId="1" applyNumberFormat="1" applyFont="1" applyBorder="1" applyAlignment="1">
      <alignment vertical="center"/>
    </xf>
    <xf numFmtId="3" fontId="10" fillId="0" borderId="23" xfId="1" applyNumberFormat="1" applyFont="1" applyBorder="1" applyAlignment="1">
      <alignment horizontal="right" vertical="center" wrapText="1"/>
    </xf>
    <xf numFmtId="3" fontId="8" fillId="0" borderId="46" xfId="0" applyNumberFormat="1" applyFont="1" applyBorder="1" applyAlignment="1">
      <alignment vertical="center"/>
    </xf>
    <xf numFmtId="3" fontId="10" fillId="0" borderId="23" xfId="1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right" vertical="center" wrapText="1"/>
    </xf>
    <xf numFmtId="3" fontId="10" fillId="3" borderId="13" xfId="0" applyNumberFormat="1" applyFont="1" applyFill="1" applyBorder="1" applyAlignment="1">
      <alignment horizontal="right" vertical="center" wrapText="1"/>
    </xf>
    <xf numFmtId="3" fontId="15" fillId="0" borderId="57" xfId="0" applyNumberFormat="1" applyFont="1" applyBorder="1" applyAlignment="1">
      <alignment horizontal="right" vertical="center" wrapText="1"/>
    </xf>
    <xf numFmtId="3" fontId="14" fillId="0" borderId="44" xfId="0" applyNumberFormat="1" applyFont="1" applyBorder="1" applyAlignment="1">
      <alignment horizontal="right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right" vertical="center" wrapText="1"/>
    </xf>
    <xf numFmtId="3" fontId="8" fillId="3" borderId="27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3" fontId="8" fillId="11" borderId="2" xfId="0" applyNumberFormat="1" applyFont="1" applyFill="1" applyBorder="1" applyAlignment="1">
      <alignment horizontal="right" vertical="center" wrapText="1"/>
    </xf>
    <xf numFmtId="3" fontId="8" fillId="11" borderId="23" xfId="0" applyNumberFormat="1" applyFont="1" applyFill="1" applyBorder="1" applyAlignment="1">
      <alignment horizontal="right" vertical="center" wrapText="1"/>
    </xf>
    <xf numFmtId="3" fontId="8" fillId="11" borderId="14" xfId="0" applyNumberFormat="1" applyFont="1" applyFill="1" applyBorder="1" applyAlignment="1">
      <alignment horizontal="right" vertical="center" wrapText="1"/>
    </xf>
    <xf numFmtId="3" fontId="8" fillId="11" borderId="18" xfId="0" applyNumberFormat="1" applyFont="1" applyFill="1" applyBorder="1" applyAlignment="1">
      <alignment horizontal="right" vertical="center" wrapText="1"/>
    </xf>
    <xf numFmtId="3" fontId="8" fillId="11" borderId="26" xfId="0" applyNumberFormat="1" applyFont="1" applyFill="1" applyBorder="1" applyAlignment="1">
      <alignment horizontal="right" vertical="center" wrapText="1"/>
    </xf>
    <xf numFmtId="3" fontId="8" fillId="11" borderId="13" xfId="0" applyNumberFormat="1" applyFont="1" applyFill="1" applyBorder="1" applyAlignment="1">
      <alignment horizontal="right" vertical="center" wrapText="1"/>
    </xf>
    <xf numFmtId="3" fontId="8" fillId="11" borderId="14" xfId="0" applyNumberFormat="1" applyFont="1" applyFill="1" applyBorder="1" applyAlignment="1">
      <alignment horizontal="center" vertical="center" wrapText="1"/>
    </xf>
    <xf numFmtId="3" fontId="8" fillId="11" borderId="23" xfId="0" applyNumberFormat="1" applyFont="1" applyFill="1" applyBorder="1" applyAlignment="1">
      <alignment horizontal="right" vertical="center"/>
    </xf>
    <xf numFmtId="3" fontId="8" fillId="11" borderId="26" xfId="0" applyNumberFormat="1" applyFont="1" applyFill="1" applyBorder="1" applyAlignment="1">
      <alignment horizontal="right" vertical="center"/>
    </xf>
    <xf numFmtId="3" fontId="8" fillId="11" borderId="13" xfId="0" applyNumberFormat="1" applyFont="1" applyFill="1" applyBorder="1" applyAlignment="1">
      <alignment horizontal="right" vertical="center"/>
    </xf>
    <xf numFmtId="3" fontId="8" fillId="11" borderId="14" xfId="0" applyNumberFormat="1" applyFont="1" applyFill="1" applyBorder="1" applyAlignment="1">
      <alignment horizontal="right" vertical="center"/>
    </xf>
    <xf numFmtId="3" fontId="8" fillId="11" borderId="18" xfId="0" applyNumberFormat="1" applyFont="1" applyFill="1" applyBorder="1" applyAlignment="1">
      <alignment horizontal="right" vertical="center"/>
    </xf>
    <xf numFmtId="3" fontId="14" fillId="11" borderId="14" xfId="0" applyNumberFormat="1" applyFont="1" applyFill="1" applyBorder="1" applyAlignment="1">
      <alignment horizontal="right" vertical="center"/>
    </xf>
    <xf numFmtId="3" fontId="8" fillId="11" borderId="13" xfId="0" applyNumberFormat="1" applyFont="1" applyFill="1" applyBorder="1" applyAlignment="1">
      <alignment horizontal="center" vertical="center" wrapText="1"/>
    </xf>
    <xf numFmtId="3" fontId="8" fillId="11" borderId="33" xfId="0" applyNumberFormat="1" applyFont="1" applyFill="1" applyBorder="1" applyAlignment="1">
      <alignment horizontal="right" vertical="center" wrapText="1"/>
    </xf>
    <xf numFmtId="3" fontId="14" fillId="11" borderId="22" xfId="0" applyNumberFormat="1" applyFont="1" applyFill="1" applyBorder="1" applyAlignment="1">
      <alignment horizontal="right" vertical="center" wrapText="1"/>
    </xf>
    <xf numFmtId="3" fontId="14" fillId="11" borderId="33" xfId="0" applyNumberFormat="1" applyFont="1" applyFill="1" applyBorder="1" applyAlignment="1">
      <alignment horizontal="right" vertical="center" wrapText="1"/>
    </xf>
    <xf numFmtId="3" fontId="10" fillId="11" borderId="18" xfId="0" applyNumberFormat="1" applyFont="1" applyFill="1" applyBorder="1" applyAlignment="1">
      <alignment horizontal="right" vertical="center"/>
    </xf>
    <xf numFmtId="3" fontId="15" fillId="11" borderId="14" xfId="0" applyNumberFormat="1" applyFont="1" applyFill="1" applyBorder="1" applyAlignment="1">
      <alignment horizontal="right" vertical="center"/>
    </xf>
    <xf numFmtId="3" fontId="10" fillId="11" borderId="24" xfId="0" applyNumberFormat="1" applyFont="1" applyFill="1" applyBorder="1" applyAlignment="1">
      <alignment horizontal="right" vertical="center"/>
    </xf>
    <xf numFmtId="3" fontId="10" fillId="11" borderId="32" xfId="0" applyNumberFormat="1" applyFont="1" applyFill="1" applyBorder="1" applyAlignment="1">
      <alignment horizontal="right" vertical="center"/>
    </xf>
    <xf numFmtId="3" fontId="10" fillId="11" borderId="44" xfId="0" applyNumberFormat="1" applyFont="1" applyFill="1" applyBorder="1" applyAlignment="1">
      <alignment horizontal="right" vertical="center"/>
    </xf>
    <xf numFmtId="3" fontId="10" fillId="11" borderId="26" xfId="1" applyNumberFormat="1" applyFont="1" applyFill="1" applyBorder="1" applyAlignment="1">
      <alignment vertical="center" wrapText="1"/>
    </xf>
    <xf numFmtId="3" fontId="10" fillId="11" borderId="35" xfId="0" applyNumberFormat="1" applyFont="1" applyFill="1" applyBorder="1" applyAlignment="1">
      <alignment horizontal="right" vertical="center"/>
    </xf>
    <xf numFmtId="3" fontId="8" fillId="11" borderId="32" xfId="0" applyNumberFormat="1" applyFont="1" applyFill="1" applyBorder="1" applyAlignment="1">
      <alignment horizontal="right" vertical="center"/>
    </xf>
    <xf numFmtId="3" fontId="10" fillId="11" borderId="33" xfId="0" applyNumberFormat="1" applyFont="1" applyFill="1" applyBorder="1" applyAlignment="1">
      <alignment horizontal="right" vertical="center" wrapText="1"/>
    </xf>
    <xf numFmtId="3" fontId="15" fillId="11" borderId="33" xfId="0" applyNumberFormat="1" applyFont="1" applyFill="1" applyBorder="1" applyAlignment="1">
      <alignment horizontal="right" vertical="center" wrapText="1"/>
    </xf>
    <xf numFmtId="3" fontId="10" fillId="11" borderId="24" xfId="0" applyNumberFormat="1" applyFont="1" applyFill="1" applyBorder="1" applyAlignment="1">
      <alignment horizontal="right" vertical="center" wrapText="1"/>
    </xf>
    <xf numFmtId="3" fontId="10" fillId="3" borderId="23" xfId="0" applyNumberFormat="1" applyFont="1" applyFill="1" applyBorder="1" applyAlignment="1">
      <alignment horizontal="right" vertical="center" wrapText="1"/>
    </xf>
    <xf numFmtId="3" fontId="10" fillId="3" borderId="18" xfId="0" applyNumberFormat="1" applyFont="1" applyFill="1" applyBorder="1" applyAlignment="1">
      <alignment horizontal="right" vertical="center" wrapText="1"/>
    </xf>
    <xf numFmtId="3" fontId="10" fillId="3" borderId="26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3" fontId="8" fillId="3" borderId="23" xfId="0" applyNumberFormat="1" applyFont="1" applyFill="1" applyBorder="1" applyAlignment="1">
      <alignment horizontal="right" vertical="center" wrapText="1"/>
    </xf>
    <xf numFmtId="3" fontId="8" fillId="3" borderId="26" xfId="0" applyNumberFormat="1" applyFont="1" applyFill="1" applyBorder="1" applyAlignment="1">
      <alignment horizontal="right" vertical="center" wrapText="1"/>
    </xf>
    <xf numFmtId="3" fontId="8" fillId="3" borderId="14" xfId="0" applyNumberFormat="1" applyFont="1" applyFill="1" applyBorder="1" applyAlignment="1">
      <alignment horizontal="right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3" fontId="10" fillId="3" borderId="18" xfId="0" applyNumberFormat="1" applyFont="1" applyFill="1" applyBorder="1" applyAlignment="1">
      <alignment horizontal="right" vertical="center"/>
    </xf>
    <xf numFmtId="3" fontId="10" fillId="3" borderId="24" xfId="0" applyNumberFormat="1" applyFont="1" applyFill="1" applyBorder="1" applyAlignment="1">
      <alignment horizontal="right" vertical="center"/>
    </xf>
    <xf numFmtId="3" fontId="10" fillId="3" borderId="24" xfId="0" applyNumberFormat="1" applyFont="1" applyFill="1" applyBorder="1" applyAlignment="1">
      <alignment horizontal="right" vertical="center" wrapText="1"/>
    </xf>
    <xf numFmtId="3" fontId="10" fillId="3" borderId="32" xfId="0" applyNumberFormat="1" applyFont="1" applyFill="1" applyBorder="1" applyAlignment="1">
      <alignment horizontal="right" vertical="center"/>
    </xf>
    <xf numFmtId="3" fontId="10" fillId="3" borderId="44" xfId="0" applyNumberFormat="1" applyFont="1" applyFill="1" applyBorder="1" applyAlignment="1">
      <alignment horizontal="right" vertical="center"/>
    </xf>
    <xf numFmtId="3" fontId="10" fillId="3" borderId="26" xfId="1" applyNumberFormat="1" applyFont="1" applyFill="1" applyBorder="1" applyAlignment="1">
      <alignment vertical="center" wrapText="1"/>
    </xf>
    <xf numFmtId="3" fontId="10" fillId="3" borderId="32" xfId="0" applyNumberFormat="1" applyFont="1" applyFill="1" applyBorder="1" applyAlignment="1">
      <alignment horizontal="right" vertical="center" wrapText="1"/>
    </xf>
    <xf numFmtId="3" fontId="10" fillId="3" borderId="3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center" vertical="center" wrapText="1"/>
    </xf>
    <xf numFmtId="3" fontId="10" fillId="3" borderId="20" xfId="0" applyNumberFormat="1" applyFont="1" applyFill="1" applyBorder="1" applyAlignment="1">
      <alignment horizontal="right" vertical="center" wrapText="1"/>
    </xf>
    <xf numFmtId="3" fontId="10" fillId="3" borderId="42" xfId="0" applyNumberFormat="1" applyFont="1" applyFill="1" applyBorder="1" applyAlignment="1">
      <alignment horizontal="right" vertical="center" wrapText="1"/>
    </xf>
    <xf numFmtId="3" fontId="15" fillId="3" borderId="34" xfId="0" applyNumberFormat="1" applyFont="1" applyFill="1" applyBorder="1" applyAlignment="1">
      <alignment horizontal="right" vertical="center" wrapText="1"/>
    </xf>
    <xf numFmtId="3" fontId="10" fillId="3" borderId="35" xfId="0" applyNumberFormat="1" applyFont="1" applyFill="1" applyBorder="1" applyAlignment="1">
      <alignment horizontal="right" vertical="center" wrapText="1"/>
    </xf>
    <xf numFmtId="3" fontId="15" fillId="3" borderId="2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vertical="center" wrapText="1"/>
    </xf>
    <xf numFmtId="3" fontId="8" fillId="0" borderId="57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49" fontId="8" fillId="0" borderId="15" xfId="1" applyNumberForma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 shrinkToFit="1"/>
    </xf>
    <xf numFmtId="0" fontId="9" fillId="0" borderId="8" xfId="1" applyFont="1" applyBorder="1" applyAlignment="1">
      <alignment horizontal="center" vertical="center" wrapText="1"/>
    </xf>
    <xf numFmtId="3" fontId="8" fillId="0" borderId="9" xfId="1" applyNumberFormat="1" applyBorder="1" applyAlignment="1">
      <alignment vertical="center" wrapText="1"/>
    </xf>
    <xf numFmtId="3" fontId="8" fillId="0" borderId="60" xfId="0" applyNumberFormat="1" applyFont="1" applyBorder="1" applyAlignment="1">
      <alignment vertical="center" wrapText="1"/>
    </xf>
    <xf numFmtId="3" fontId="8" fillId="0" borderId="61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horizontal="right" vertical="center"/>
    </xf>
    <xf numFmtId="3" fontId="8" fillId="0" borderId="61" xfId="0" applyNumberFormat="1" applyFont="1" applyBorder="1" applyAlignment="1">
      <alignment horizontal="right" vertical="center"/>
    </xf>
    <xf numFmtId="3" fontId="8" fillId="0" borderId="51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8" fillId="0" borderId="4" xfId="1" applyNumberFormat="1" applyBorder="1" applyAlignment="1">
      <alignment horizontal="center" vertical="center" wrapText="1"/>
    </xf>
    <xf numFmtId="49" fontId="8" fillId="0" borderId="2" xfId="1" applyNumberForma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8" fillId="0" borderId="31" xfId="1" applyNumberFormat="1" applyBorder="1" applyAlignment="1">
      <alignment horizontal="right" vertical="center" wrapText="1"/>
    </xf>
    <xf numFmtId="0" fontId="8" fillId="0" borderId="37" xfId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3" fontId="8" fillId="0" borderId="51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45" fillId="0" borderId="26" xfId="0" applyFont="1" applyBorder="1" applyAlignment="1">
      <alignment horizontal="center" vertical="center" wrapText="1"/>
    </xf>
    <xf numFmtId="0" fontId="23" fillId="0" borderId="37" xfId="1" applyFont="1" applyBorder="1" applyAlignment="1">
      <alignment horizontal="center" vertical="center" wrapText="1"/>
    </xf>
    <xf numFmtId="3" fontId="14" fillId="0" borderId="32" xfId="1" applyNumberFormat="1" applyFont="1" applyBorder="1" applyAlignment="1">
      <alignment vertical="center" wrapText="1"/>
    </xf>
    <xf numFmtId="3" fontId="14" fillId="0" borderId="36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3" fontId="14" fillId="0" borderId="31" xfId="0" applyNumberFormat="1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 shrinkToFit="1"/>
    </xf>
    <xf numFmtId="0" fontId="8" fillId="2" borderId="26" xfId="1" applyFill="1" applyBorder="1" applyAlignment="1">
      <alignment horizontal="center" vertical="center" wrapText="1"/>
    </xf>
    <xf numFmtId="0" fontId="8" fillId="2" borderId="32" xfId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3" fontId="8" fillId="2" borderId="31" xfId="1" applyNumberFormat="1" applyFill="1" applyBorder="1" applyAlignment="1">
      <alignment horizontal="right" vertical="center" wrapText="1"/>
    </xf>
    <xf numFmtId="3" fontId="8" fillId="2" borderId="26" xfId="0" applyNumberFormat="1" applyFont="1" applyFill="1" applyBorder="1" applyAlignment="1">
      <alignment horizontal="right" vertical="center" wrapText="1"/>
    </xf>
    <xf numFmtId="3" fontId="10" fillId="2" borderId="32" xfId="0" applyNumberFormat="1" applyFont="1" applyFill="1" applyBorder="1" applyAlignment="1">
      <alignment horizontal="right" vertical="center" wrapText="1"/>
    </xf>
    <xf numFmtId="3" fontId="8" fillId="2" borderId="46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36" xfId="0" applyNumberFormat="1" applyFont="1" applyFill="1" applyBorder="1" applyAlignment="1">
      <alignment horizontal="right" vertical="center" wrapText="1"/>
    </xf>
    <xf numFmtId="3" fontId="8" fillId="2" borderId="32" xfId="0" applyNumberFormat="1" applyFont="1" applyFill="1" applyBorder="1" applyAlignment="1">
      <alignment horizontal="right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3" fontId="10" fillId="0" borderId="33" xfId="1" applyNumberFormat="1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center" vertical="center" wrapText="1" shrinkToFit="1"/>
    </xf>
    <xf numFmtId="0" fontId="12" fillId="2" borderId="26" xfId="1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3" fontId="13" fillId="2" borderId="26" xfId="1" applyNumberFormat="1" applyFont="1" applyFill="1" applyBorder="1" applyAlignment="1">
      <alignment vertical="center" wrapText="1"/>
    </xf>
    <xf numFmtId="3" fontId="13" fillId="2" borderId="23" xfId="1" applyNumberFormat="1" applyFont="1" applyFill="1" applyBorder="1" applyAlignment="1">
      <alignment vertical="center" wrapText="1"/>
    </xf>
    <xf numFmtId="3" fontId="12" fillId="2" borderId="46" xfId="0" applyNumberFormat="1" applyFont="1" applyFill="1" applyBorder="1" applyAlignment="1">
      <alignment vertical="center" wrapText="1"/>
    </xf>
    <xf numFmtId="3" fontId="12" fillId="2" borderId="20" xfId="0" applyNumberFormat="1" applyFont="1" applyFill="1" applyBorder="1" applyAlignment="1">
      <alignment vertical="center" wrapText="1"/>
    </xf>
    <xf numFmtId="3" fontId="12" fillId="2" borderId="32" xfId="0" applyNumberFormat="1" applyFont="1" applyFill="1" applyBorder="1" applyAlignment="1">
      <alignment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3" fillId="2" borderId="23" xfId="0" applyNumberFormat="1" applyFont="1" applyFill="1" applyBorder="1" applyAlignment="1">
      <alignment horizontal="right" vertical="center" wrapText="1"/>
    </xf>
    <xf numFmtId="3" fontId="13" fillId="2" borderId="26" xfId="0" applyNumberFormat="1" applyFont="1" applyFill="1" applyBorder="1" applyAlignment="1">
      <alignment horizontal="right" vertical="center" wrapText="1"/>
    </xf>
    <xf numFmtId="3" fontId="12" fillId="2" borderId="26" xfId="0" applyNumberFormat="1" applyFont="1" applyFill="1" applyBorder="1" applyAlignment="1">
      <alignment vertical="center" wrapText="1"/>
    </xf>
    <xf numFmtId="3" fontId="12" fillId="2" borderId="31" xfId="0" applyNumberFormat="1" applyFont="1" applyFill="1" applyBorder="1" applyAlignment="1">
      <alignment vertical="center" wrapText="1"/>
    </xf>
    <xf numFmtId="3" fontId="12" fillId="2" borderId="37" xfId="0" applyNumberFormat="1" applyFont="1" applyFill="1" applyBorder="1" applyAlignment="1">
      <alignment vertical="center" wrapText="1"/>
    </xf>
    <xf numFmtId="3" fontId="12" fillId="2" borderId="46" xfId="0" applyNumberFormat="1" applyFont="1" applyFill="1" applyBorder="1" applyAlignment="1">
      <alignment horizontal="right" vertical="center" wrapText="1"/>
    </xf>
    <xf numFmtId="3" fontId="12" fillId="2" borderId="36" xfId="0" applyNumberFormat="1" applyFont="1" applyFill="1" applyBorder="1" applyAlignment="1">
      <alignment horizontal="right" vertical="center" wrapText="1"/>
    </xf>
    <xf numFmtId="3" fontId="12" fillId="2" borderId="43" xfId="0" applyNumberFormat="1" applyFont="1" applyFill="1" applyBorder="1" applyAlignment="1">
      <alignment horizontal="right" vertical="center" wrapText="1"/>
    </xf>
    <xf numFmtId="3" fontId="12" fillId="2" borderId="32" xfId="0" applyNumberFormat="1" applyFont="1" applyFill="1" applyBorder="1" applyAlignment="1">
      <alignment horizontal="right" vertical="center" wrapText="1"/>
    </xf>
    <xf numFmtId="0" fontId="12" fillId="2" borderId="31" xfId="0" applyFont="1" applyFill="1" applyBorder="1" applyAlignment="1">
      <alignment horizontal="center" vertical="center" wrapText="1"/>
    </xf>
    <xf numFmtId="49" fontId="12" fillId="2" borderId="31" xfId="0" applyNumberFormat="1" applyFont="1" applyFill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 shrinkToFit="1"/>
    </xf>
    <xf numFmtId="0" fontId="9" fillId="2" borderId="25" xfId="0" applyFont="1" applyFill="1" applyBorder="1" applyAlignment="1">
      <alignment horizontal="center" vertical="center" wrapText="1"/>
    </xf>
    <xf numFmtId="3" fontId="8" fillId="2" borderId="21" xfId="1" applyNumberForma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3" fontId="10" fillId="2" borderId="26" xfId="0" applyNumberFormat="1" applyFont="1" applyFill="1" applyBorder="1" applyAlignment="1">
      <alignment horizontal="right" vertical="center" wrapText="1"/>
    </xf>
    <xf numFmtId="3" fontId="8" fillId="2" borderId="43" xfId="0" applyNumberFormat="1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vertical="center" wrapText="1"/>
    </xf>
    <xf numFmtId="3" fontId="8" fillId="2" borderId="62" xfId="0" applyNumberFormat="1" applyFont="1" applyFill="1" applyBorder="1" applyAlignment="1">
      <alignment horizontal="right" vertical="center" wrapText="1"/>
    </xf>
    <xf numFmtId="3" fontId="8" fillId="2" borderId="70" xfId="0" applyNumberFormat="1" applyFont="1" applyFill="1" applyBorder="1" applyAlignment="1">
      <alignment horizontal="right" vertical="center" wrapText="1"/>
    </xf>
    <xf numFmtId="3" fontId="8" fillId="2" borderId="29" xfId="0" applyNumberFormat="1" applyFont="1" applyFill="1" applyBorder="1" applyAlignment="1">
      <alignment horizontal="right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 shrinkToFit="1"/>
    </xf>
    <xf numFmtId="0" fontId="8" fillId="2" borderId="13" xfId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3" fontId="8" fillId="2" borderId="57" xfId="0" applyNumberFormat="1" applyFont="1" applyFill="1" applyBorder="1" applyAlignment="1">
      <alignment vertical="center" wrapText="1"/>
    </xf>
    <xf numFmtId="3" fontId="8" fillId="2" borderId="44" xfId="0" applyNumberFormat="1" applyFont="1" applyFill="1" applyBorder="1" applyAlignment="1">
      <alignment vertical="center" wrapText="1"/>
    </xf>
    <xf numFmtId="3" fontId="8" fillId="2" borderId="14" xfId="0" applyNumberFormat="1" applyFont="1" applyFill="1" applyBorder="1" applyAlignment="1">
      <alignment horizontal="right" vertical="center" wrapText="1"/>
    </xf>
    <xf numFmtId="3" fontId="8" fillId="2" borderId="57" xfId="0" applyNumberFormat="1" applyFont="1" applyFill="1" applyBorder="1" applyAlignment="1">
      <alignment horizontal="right" vertical="center" wrapText="1"/>
    </xf>
    <xf numFmtId="3" fontId="8" fillId="2" borderId="47" xfId="0" applyNumberFormat="1" applyFont="1" applyFill="1" applyBorder="1" applyAlignment="1">
      <alignment horizontal="right" vertical="center" wrapText="1"/>
    </xf>
    <xf numFmtId="3" fontId="8" fillId="2" borderId="71" xfId="0" applyNumberFormat="1" applyFont="1" applyFill="1" applyBorder="1" applyAlignment="1">
      <alignment horizontal="right" vertical="center" wrapText="1"/>
    </xf>
    <xf numFmtId="3" fontId="8" fillId="2" borderId="52" xfId="0" applyNumberFormat="1" applyFont="1" applyFill="1" applyBorder="1" applyAlignment="1">
      <alignment horizontal="right" vertical="center" wrapText="1"/>
    </xf>
    <xf numFmtId="3" fontId="8" fillId="2" borderId="44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 shrinkToFit="1"/>
    </xf>
    <xf numFmtId="0" fontId="8" fillId="2" borderId="18" xfId="1" applyFill="1" applyBorder="1" applyAlignment="1">
      <alignment horizontal="center" vertical="center" wrapText="1"/>
    </xf>
    <xf numFmtId="3" fontId="8" fillId="2" borderId="53" xfId="0" applyNumberFormat="1" applyFont="1" applyFill="1" applyBorder="1" applyAlignment="1">
      <alignment vertical="center" wrapText="1"/>
    </xf>
    <xf numFmtId="3" fontId="8" fillId="2" borderId="55" xfId="0" applyNumberFormat="1" applyFont="1" applyFill="1" applyBorder="1" applyAlignment="1">
      <alignment vertical="center" wrapText="1"/>
    </xf>
    <xf numFmtId="3" fontId="8" fillId="2" borderId="18" xfId="0" applyNumberFormat="1" applyFont="1" applyFill="1" applyBorder="1" applyAlignment="1">
      <alignment horizontal="right" vertical="center" wrapText="1"/>
    </xf>
    <xf numFmtId="3" fontId="10" fillId="2" borderId="18" xfId="0" applyNumberFormat="1" applyFont="1" applyFill="1" applyBorder="1" applyAlignment="1">
      <alignment horizontal="right" vertical="center" wrapText="1"/>
    </xf>
    <xf numFmtId="3" fontId="8" fillId="2" borderId="53" xfId="0" applyNumberFormat="1" applyFont="1" applyFill="1" applyBorder="1" applyAlignment="1">
      <alignment horizontal="right" vertical="center" wrapText="1"/>
    </xf>
    <xf numFmtId="3" fontId="8" fillId="2" borderId="54" xfId="0" applyNumberFormat="1" applyFont="1" applyFill="1" applyBorder="1" applyAlignment="1">
      <alignment horizontal="right" vertical="center" wrapText="1"/>
    </xf>
    <xf numFmtId="3" fontId="8" fillId="2" borderId="38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41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3" fontId="41" fillId="0" borderId="2" xfId="1" applyNumberFormat="1" applyFont="1" applyBorder="1" applyAlignment="1">
      <alignment vertical="center" wrapText="1"/>
    </xf>
    <xf numFmtId="3" fontId="16" fillId="0" borderId="60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 wrapText="1"/>
    </xf>
    <xf numFmtId="3" fontId="16" fillId="0" borderId="61" xfId="0" applyNumberFormat="1" applyFont="1" applyBorder="1" applyAlignment="1">
      <alignment vertical="center" wrapText="1"/>
    </xf>
    <xf numFmtId="3" fontId="16" fillId="0" borderId="9" xfId="0" applyNumberFormat="1" applyFont="1" applyBorder="1" applyAlignment="1">
      <alignment vertical="center" wrapText="1"/>
    </xf>
    <xf numFmtId="3" fontId="16" fillId="11" borderId="2" xfId="0" applyNumberFormat="1" applyFont="1" applyFill="1" applyBorder="1" applyAlignment="1">
      <alignment horizontal="right" vertical="center" wrapText="1"/>
    </xf>
    <xf numFmtId="3" fontId="41" fillId="3" borderId="2" xfId="0" applyNumberFormat="1" applyFont="1" applyFill="1" applyBorder="1" applyAlignment="1">
      <alignment horizontal="right" vertical="center" wrapText="1"/>
    </xf>
    <xf numFmtId="3" fontId="41" fillId="11" borderId="2" xfId="0" applyNumberFormat="1" applyFont="1" applyFill="1" applyBorder="1" applyAlignment="1">
      <alignment horizontal="right" vertical="center" wrapText="1"/>
    </xf>
    <xf numFmtId="3" fontId="16" fillId="0" borderId="60" xfId="0" applyNumberFormat="1" applyFont="1" applyBorder="1" applyAlignment="1">
      <alignment horizontal="right" vertical="center" wrapText="1"/>
    </xf>
    <xf numFmtId="3" fontId="16" fillId="0" borderId="51" xfId="0" applyNumberFormat="1" applyFont="1" applyBorder="1" applyAlignment="1">
      <alignment horizontal="right" vertical="center" wrapText="1"/>
    </xf>
    <xf numFmtId="3" fontId="16" fillId="0" borderId="9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 shrinkToFit="1"/>
    </xf>
    <xf numFmtId="0" fontId="8" fillId="0" borderId="18" xfId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3" fontId="8" fillId="0" borderId="54" xfId="0" applyNumberFormat="1" applyFont="1" applyBorder="1" applyAlignment="1">
      <alignment horizontal="right" vertical="center" wrapText="1"/>
    </xf>
    <xf numFmtId="3" fontId="8" fillId="0" borderId="55" xfId="0" applyNumberFormat="1" applyFont="1" applyBorder="1" applyAlignment="1">
      <alignment horizontal="right" vertical="center" wrapText="1"/>
    </xf>
    <xf numFmtId="0" fontId="8" fillId="0" borderId="6" xfId="1" applyBorder="1" applyAlignment="1">
      <alignment horizontal="center" vertical="center" wrapText="1"/>
    </xf>
    <xf numFmtId="3" fontId="8" fillId="0" borderId="49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0" fontId="9" fillId="0" borderId="31" xfId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vertical="center" wrapText="1"/>
    </xf>
    <xf numFmtId="49" fontId="10" fillId="0" borderId="33" xfId="0" applyNumberFormat="1" applyFont="1" applyBorder="1" applyAlignment="1">
      <alignment horizontal="center" vertical="center" wrapText="1" shrinkToFit="1"/>
    </xf>
    <xf numFmtId="0" fontId="8" fillId="0" borderId="33" xfId="1" applyBorder="1" applyAlignment="1">
      <alignment horizontal="center" vertical="center" wrapText="1"/>
    </xf>
    <xf numFmtId="0" fontId="8" fillId="0" borderId="35" xfId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vertical="center" wrapText="1"/>
    </xf>
    <xf numFmtId="3" fontId="8" fillId="0" borderId="42" xfId="0" applyNumberFormat="1" applyFont="1" applyBorder="1" applyAlignment="1">
      <alignment vertical="center" wrapText="1"/>
    </xf>
    <xf numFmtId="3" fontId="15" fillId="0" borderId="13" xfId="1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8" fillId="2" borderId="23" xfId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right" vertical="center"/>
    </xf>
    <xf numFmtId="3" fontId="8" fillId="2" borderId="60" xfId="0" applyNumberFormat="1" applyFont="1" applyFill="1" applyBorder="1" applyAlignment="1">
      <alignment vertical="center" wrapText="1"/>
    </xf>
    <xf numFmtId="3" fontId="8" fillId="2" borderId="56" xfId="0" applyNumberFormat="1" applyFont="1" applyFill="1" applyBorder="1" applyAlignment="1">
      <alignment horizontal="right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3" fontId="8" fillId="2" borderId="24" xfId="0" applyNumberFormat="1" applyFont="1" applyFill="1" applyBorder="1" applyAlignment="1">
      <alignment horizontal="right" vertical="center" wrapText="1"/>
    </xf>
    <xf numFmtId="0" fontId="44" fillId="0" borderId="24" xfId="0" applyFont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vertical="center" wrapText="1"/>
    </xf>
    <xf numFmtId="3" fontId="8" fillId="2" borderId="40" xfId="0" applyNumberFormat="1" applyFont="1" applyFill="1" applyBorder="1" applyAlignment="1">
      <alignment horizontal="right" vertical="center" wrapText="1"/>
    </xf>
    <xf numFmtId="0" fontId="44" fillId="0" borderId="44" xfId="0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73" xfId="0" applyNumberFormat="1" applyFont="1" applyBorder="1" applyAlignment="1">
      <alignment vertical="center" wrapText="1"/>
    </xf>
    <xf numFmtId="3" fontId="8" fillId="0" borderId="57" xfId="0" applyNumberFormat="1" applyFont="1" applyBorder="1" applyAlignment="1">
      <alignment horizontal="right" vertical="center" wrapText="1"/>
    </xf>
    <xf numFmtId="3" fontId="8" fillId="0" borderId="68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horizontal="right" vertical="center" wrapText="1"/>
    </xf>
    <xf numFmtId="3" fontId="8" fillId="0" borderId="42" xfId="0" applyNumberFormat="1" applyFont="1" applyBorder="1" applyAlignment="1">
      <alignment horizontal="righ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3" fontId="10" fillId="0" borderId="18" xfId="1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46" fillId="0" borderId="28" xfId="1" applyFont="1" applyBorder="1" applyAlignment="1">
      <alignment horizontal="center" vertical="center" wrapText="1"/>
    </xf>
    <xf numFmtId="3" fontId="13" fillId="0" borderId="22" xfId="1" applyNumberFormat="1" applyFont="1" applyBorder="1" applyAlignment="1">
      <alignment vertical="center" wrapText="1"/>
    </xf>
    <xf numFmtId="3" fontId="12" fillId="0" borderId="22" xfId="1" applyNumberFormat="1" applyFont="1" applyBorder="1" applyAlignment="1">
      <alignment horizontal="right" vertical="center" wrapText="1"/>
    </xf>
    <xf numFmtId="3" fontId="12" fillId="0" borderId="28" xfId="1" applyNumberFormat="1" applyFont="1" applyBorder="1" applyAlignment="1">
      <alignment horizontal="right" vertical="center" wrapText="1"/>
    </xf>
    <xf numFmtId="3" fontId="12" fillId="0" borderId="62" xfId="0" applyNumberFormat="1" applyFont="1" applyBorder="1" applyAlignment="1">
      <alignment horizontal="right" vertical="center" wrapText="1"/>
    </xf>
    <xf numFmtId="3" fontId="12" fillId="0" borderId="63" xfId="0" applyNumberFormat="1" applyFont="1" applyBorder="1" applyAlignment="1">
      <alignment horizontal="right" vertical="center" wrapText="1"/>
    </xf>
    <xf numFmtId="3" fontId="12" fillId="0" borderId="29" xfId="0" applyNumberFormat="1" applyFont="1" applyBorder="1" applyAlignment="1">
      <alignment horizontal="right" vertical="center" wrapText="1"/>
    </xf>
    <xf numFmtId="3" fontId="12" fillId="11" borderId="22" xfId="0" applyNumberFormat="1" applyFont="1" applyFill="1" applyBorder="1" applyAlignment="1">
      <alignment horizontal="right" vertical="center" wrapText="1"/>
    </xf>
    <xf numFmtId="3" fontId="12" fillId="11" borderId="29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7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 shrinkToFit="1"/>
    </xf>
    <xf numFmtId="0" fontId="23" fillId="0" borderId="4" xfId="1" applyFont="1" applyBorder="1" applyAlignment="1">
      <alignment horizontal="center"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4" xfId="1" applyNumberFormat="1" applyFont="1" applyBorder="1" applyAlignment="1">
      <alignment horizontal="right" vertical="center" wrapText="1"/>
    </xf>
    <xf numFmtId="3" fontId="14" fillId="11" borderId="9" xfId="0" applyNumberFormat="1" applyFont="1" applyFill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168" fontId="10" fillId="0" borderId="18" xfId="0" applyNumberFormat="1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10" fillId="0" borderId="53" xfId="0" applyNumberFormat="1" applyFont="1" applyBorder="1" applyAlignment="1">
      <alignment horizontal="right" vertical="center" wrapText="1"/>
    </xf>
    <xf numFmtId="3" fontId="8" fillId="0" borderId="69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 wrapText="1"/>
    </xf>
    <xf numFmtId="3" fontId="14" fillId="0" borderId="31" xfId="1" applyNumberFormat="1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vertical="center" wrapText="1"/>
    </xf>
    <xf numFmtId="3" fontId="18" fillId="0" borderId="14" xfId="1" applyNumberFormat="1" applyFont="1" applyBorder="1" applyAlignment="1">
      <alignment horizontal="right" vertical="center" wrapText="1"/>
    </xf>
    <xf numFmtId="3" fontId="17" fillId="0" borderId="67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3" fontId="17" fillId="11" borderId="22" xfId="0" applyNumberFormat="1" applyFont="1" applyFill="1" applyBorder="1" applyAlignment="1">
      <alignment horizontal="right" vertical="center" wrapText="1"/>
    </xf>
    <xf numFmtId="3" fontId="18" fillId="3" borderId="33" xfId="0" applyNumberFormat="1" applyFont="1" applyFill="1" applyBorder="1" applyAlignment="1">
      <alignment horizontal="righ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3" fontId="17" fillId="0" borderId="30" xfId="0" applyNumberFormat="1" applyFont="1" applyBorder="1" applyAlignment="1">
      <alignment horizontal="right" vertical="center" wrapText="1"/>
    </xf>
    <xf numFmtId="3" fontId="17" fillId="0" borderId="66" xfId="0" applyNumberFormat="1" applyFont="1" applyBorder="1" applyAlignment="1">
      <alignment horizontal="right" vertical="center" wrapText="1"/>
    </xf>
    <xf numFmtId="3" fontId="18" fillId="0" borderId="66" xfId="0" applyNumberFormat="1" applyFont="1" applyBorder="1" applyAlignment="1">
      <alignment horizontal="right" vertical="center" wrapText="1"/>
    </xf>
    <xf numFmtId="3" fontId="17" fillId="0" borderId="71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3" fontId="8" fillId="0" borderId="26" xfId="1" applyNumberFormat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horizontal="right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10" fillId="0" borderId="57" xfId="0" applyNumberFormat="1" applyFont="1" applyBorder="1" applyAlignment="1">
      <alignment horizontal="right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4" xfId="0" applyNumberFormat="1" applyFont="1" applyBorder="1" applyAlignment="1">
      <alignment horizontal="right" vertical="center" wrapText="1"/>
    </xf>
    <xf numFmtId="49" fontId="10" fillId="2" borderId="23" xfId="0" applyNumberFormat="1" applyFont="1" applyFill="1" applyBorder="1" applyAlignment="1">
      <alignment horizontal="center" vertical="center"/>
    </xf>
    <xf numFmtId="3" fontId="8" fillId="2" borderId="72" xfId="0" applyNumberFormat="1" applyFont="1" applyFill="1" applyBorder="1" applyAlignment="1">
      <alignment horizontal="right" vertical="center" wrapText="1"/>
    </xf>
    <xf numFmtId="3" fontId="8" fillId="2" borderId="27" xfId="0" applyNumberFormat="1" applyFont="1" applyFill="1" applyBorder="1" applyAlignment="1">
      <alignment horizontal="right" vertical="center" wrapText="1"/>
    </xf>
    <xf numFmtId="3" fontId="10" fillId="2" borderId="56" xfId="0" applyNumberFormat="1" applyFont="1" applyFill="1" applyBorder="1" applyAlignment="1">
      <alignment horizontal="right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0" fontId="8" fillId="2" borderId="2" xfId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10" fillId="0" borderId="56" xfId="0" applyNumberFormat="1" applyFont="1" applyBorder="1" applyAlignment="1">
      <alignment horizontal="right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47" fillId="0" borderId="2" xfId="1" applyFont="1" applyBorder="1" applyAlignment="1">
      <alignment horizontal="center" vertical="center" wrapText="1"/>
    </xf>
    <xf numFmtId="0" fontId="47" fillId="0" borderId="4" xfId="1" applyFont="1" applyBorder="1" applyAlignment="1">
      <alignment horizontal="center" vertical="center" wrapText="1"/>
    </xf>
    <xf numFmtId="3" fontId="18" fillId="0" borderId="23" xfId="1" applyNumberFormat="1" applyFont="1" applyBorder="1" applyAlignment="1">
      <alignment vertical="center"/>
    </xf>
    <xf numFmtId="3" fontId="17" fillId="0" borderId="60" xfId="0" applyNumberFormat="1" applyFont="1" applyBorder="1" applyAlignment="1">
      <alignment vertical="center" wrapText="1"/>
    </xf>
    <xf numFmtId="3" fontId="17" fillId="0" borderId="61" xfId="0" applyNumberFormat="1" applyFont="1" applyBorder="1" applyAlignment="1">
      <alignment vertical="center" wrapText="1"/>
    </xf>
    <xf numFmtId="3" fontId="17" fillId="0" borderId="9" xfId="0" applyNumberFormat="1" applyFont="1" applyBorder="1" applyAlignment="1">
      <alignment vertical="center" wrapText="1"/>
    </xf>
    <xf numFmtId="3" fontId="17" fillId="11" borderId="23" xfId="0" applyNumberFormat="1" applyFont="1" applyFill="1" applyBorder="1" applyAlignment="1">
      <alignment horizontal="right" vertical="center" wrapText="1"/>
    </xf>
    <xf numFmtId="3" fontId="18" fillId="3" borderId="23" xfId="0" applyNumberFormat="1" applyFont="1" applyFill="1" applyBorder="1" applyAlignment="1">
      <alignment horizontal="right" vertical="center" wrapText="1"/>
    </xf>
    <xf numFmtId="3" fontId="18" fillId="11" borderId="23" xfId="0" applyNumberFormat="1" applyFont="1" applyFill="1" applyBorder="1" applyAlignment="1">
      <alignment horizontal="right" vertical="center" wrapText="1"/>
    </xf>
    <xf numFmtId="3" fontId="17" fillId="0" borderId="23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56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3" fontId="17" fillId="0" borderId="56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vertical="center" wrapText="1"/>
    </xf>
    <xf numFmtId="3" fontId="8" fillId="2" borderId="56" xfId="0" applyNumberFormat="1" applyFont="1" applyFill="1" applyBorder="1" applyAlignment="1">
      <alignment vertical="center"/>
    </xf>
    <xf numFmtId="3" fontId="8" fillId="2" borderId="56" xfId="0" applyNumberFormat="1" applyFont="1" applyFill="1" applyBorder="1" applyAlignment="1">
      <alignment horizontal="right" vertical="center"/>
    </xf>
    <xf numFmtId="3" fontId="8" fillId="2" borderId="21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3" fontId="8" fillId="2" borderId="24" xfId="0" applyNumberFormat="1" applyFont="1" applyFill="1" applyBorder="1" applyAlignment="1">
      <alignment horizontal="right" vertical="center"/>
    </xf>
    <xf numFmtId="0" fontId="8" fillId="2" borderId="26" xfId="1" applyFill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3" fontId="14" fillId="0" borderId="24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49" fontId="15" fillId="0" borderId="44" xfId="0" applyNumberFormat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3" fontId="15" fillId="0" borderId="14" xfId="1" applyNumberFormat="1" applyFont="1" applyBorder="1" applyAlignment="1">
      <alignment vertical="center"/>
    </xf>
    <xf numFmtId="3" fontId="15" fillId="0" borderId="13" xfId="1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 wrapText="1"/>
    </xf>
    <xf numFmtId="3" fontId="14" fillId="0" borderId="67" xfId="0" applyNumberFormat="1" applyFont="1" applyBorder="1" applyAlignment="1">
      <alignment vertical="center" wrapText="1"/>
    </xf>
    <xf numFmtId="3" fontId="14" fillId="0" borderId="16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4" fillId="0" borderId="67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 vertical="center"/>
    </xf>
    <xf numFmtId="3" fontId="14" fillId="0" borderId="71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4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0" fontId="8" fillId="0" borderId="23" xfId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wrapText="1"/>
    </xf>
    <xf numFmtId="3" fontId="8" fillId="2" borderId="31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horizontal="right" vertical="center"/>
    </xf>
    <xf numFmtId="0" fontId="23" fillId="0" borderId="31" xfId="0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46" fillId="0" borderId="26" xfId="1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3" fontId="13" fillId="0" borderId="26" xfId="1" applyNumberFormat="1" applyFont="1" applyBorder="1" applyAlignment="1">
      <alignment vertical="center"/>
    </xf>
    <xf numFmtId="3" fontId="13" fillId="0" borderId="23" xfId="1" applyNumberFormat="1" applyFont="1" applyBorder="1" applyAlignment="1">
      <alignment vertical="center"/>
    </xf>
    <xf numFmtId="3" fontId="12" fillId="0" borderId="46" xfId="0" applyNumberFormat="1" applyFont="1" applyBorder="1" applyAlignment="1">
      <alignment vertical="center" wrapText="1"/>
    </xf>
    <xf numFmtId="3" fontId="12" fillId="0" borderId="20" xfId="0" applyNumberFormat="1" applyFont="1" applyBorder="1" applyAlignment="1">
      <alignment vertical="center" wrapText="1"/>
    </xf>
    <xf numFmtId="3" fontId="12" fillId="11" borderId="23" xfId="0" applyNumberFormat="1" applyFont="1" applyFill="1" applyBorder="1" applyAlignment="1">
      <alignment horizontal="right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11" borderId="2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3" fontId="12" fillId="0" borderId="46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49" fontId="12" fillId="0" borderId="31" xfId="0" applyNumberFormat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47" fillId="0" borderId="26" xfId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3" fontId="18" fillId="0" borderId="26" xfId="1" applyNumberFormat="1" applyFont="1" applyBorder="1" applyAlignment="1">
      <alignment vertical="center"/>
    </xf>
    <xf numFmtId="3" fontId="17" fillId="0" borderId="46" xfId="0" applyNumberFormat="1" applyFont="1" applyBorder="1" applyAlignment="1">
      <alignment vertical="center" wrapText="1"/>
    </xf>
    <xf numFmtId="3" fontId="17" fillId="0" borderId="20" xfId="0" applyNumberFormat="1" applyFont="1" applyBorder="1" applyAlignment="1">
      <alignment vertical="center" wrapText="1"/>
    </xf>
    <xf numFmtId="3" fontId="17" fillId="0" borderId="32" xfId="0" applyNumberFormat="1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/>
    </xf>
    <xf numFmtId="3" fontId="17" fillId="0" borderId="31" xfId="0" applyNumberFormat="1" applyFont="1" applyBorder="1" applyAlignment="1">
      <alignment horizontal="right" vertical="center"/>
    </xf>
    <xf numFmtId="3" fontId="17" fillId="0" borderId="46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7" fillId="0" borderId="37" xfId="0" applyNumberFormat="1" applyFont="1" applyBorder="1" applyAlignment="1">
      <alignment vertical="center"/>
    </xf>
    <xf numFmtId="3" fontId="17" fillId="0" borderId="46" xfId="0" applyNumberFormat="1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36" xfId="0" applyNumberFormat="1" applyFont="1" applyBorder="1" applyAlignment="1">
      <alignment horizontal="right" vertical="center"/>
    </xf>
    <xf numFmtId="3" fontId="17" fillId="0" borderId="32" xfId="0" applyNumberFormat="1" applyFont="1" applyBorder="1" applyAlignment="1">
      <alignment horizontal="right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49" fontId="8" fillId="2" borderId="25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vertical="center"/>
    </xf>
    <xf numFmtId="0" fontId="8" fillId="0" borderId="26" xfId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 shrinkToFit="1"/>
    </xf>
    <xf numFmtId="0" fontId="4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30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vertical="center" wrapText="1"/>
    </xf>
    <xf numFmtId="3" fontId="10" fillId="2" borderId="14" xfId="0" applyNumberFormat="1" applyFont="1" applyFill="1" applyBorder="1" applyAlignment="1">
      <alignment horizontal="right" vertical="center" wrapText="1"/>
    </xf>
    <xf numFmtId="3" fontId="8" fillId="2" borderId="14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66" xfId="0" applyNumberFormat="1" applyFont="1" applyFill="1" applyBorder="1" applyAlignment="1">
      <alignment vertical="center"/>
    </xf>
    <xf numFmtId="3" fontId="8" fillId="2" borderId="67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71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1" applyFill="1" applyBorder="1" applyAlignment="1">
      <alignment horizontal="center" vertical="center"/>
    </xf>
    <xf numFmtId="0" fontId="8" fillId="2" borderId="13" xfId="1" applyFill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15" fillId="0" borderId="22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62" xfId="0" applyNumberFormat="1" applyFont="1" applyBorder="1" applyAlignment="1">
      <alignment horizontal="right" vertical="center"/>
    </xf>
    <xf numFmtId="3" fontId="14" fillId="0" borderId="63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 vertical="center" wrapText="1"/>
    </xf>
    <xf numFmtId="3" fontId="8" fillId="0" borderId="63" xfId="0" applyNumberFormat="1" applyFont="1" applyBorder="1" applyAlignment="1">
      <alignment horizontal="right" vertical="center" wrapText="1"/>
    </xf>
    <xf numFmtId="3" fontId="14" fillId="0" borderId="63" xfId="0" applyNumberFormat="1" applyFont="1" applyBorder="1" applyAlignment="1">
      <alignment horizontal="right" vertical="center" wrapText="1"/>
    </xf>
    <xf numFmtId="3" fontId="14" fillId="0" borderId="29" xfId="0" applyNumberFormat="1" applyFont="1" applyBorder="1" applyAlignment="1">
      <alignment horizontal="right" vertical="center" wrapText="1"/>
    </xf>
    <xf numFmtId="3" fontId="14" fillId="0" borderId="28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70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14" fillId="0" borderId="68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2" fillId="0" borderId="26" xfId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3" fontId="41" fillId="0" borderId="33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42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 vertical="center"/>
    </xf>
    <xf numFmtId="3" fontId="16" fillId="0" borderId="34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5" xfId="0" applyNumberFormat="1" applyFont="1" applyBorder="1" applyAlignment="1">
      <alignment horizontal="right" vertical="center" wrapText="1"/>
    </xf>
    <xf numFmtId="3" fontId="16" fillId="11" borderId="33" xfId="0" applyNumberFormat="1" applyFont="1" applyFill="1" applyBorder="1" applyAlignment="1">
      <alignment horizontal="right" vertical="center" wrapText="1"/>
    </xf>
    <xf numFmtId="3" fontId="41" fillId="3" borderId="34" xfId="0" applyNumberFormat="1" applyFont="1" applyFill="1" applyBorder="1" applyAlignment="1">
      <alignment horizontal="right" vertical="center" wrapText="1"/>
    </xf>
    <xf numFmtId="3" fontId="41" fillId="11" borderId="33" xfId="0" applyNumberFormat="1" applyFont="1" applyFill="1" applyBorder="1" applyAlignment="1">
      <alignment horizontal="right" vertical="center" wrapText="1"/>
    </xf>
    <xf numFmtId="3" fontId="16" fillId="0" borderId="46" xfId="0" applyNumberFormat="1" applyFont="1" applyBorder="1" applyAlignment="1">
      <alignment horizontal="right" vertical="center"/>
    </xf>
    <xf numFmtId="3" fontId="16" fillId="0" borderId="68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0" fontId="47" fillId="0" borderId="13" xfId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57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horizontal="right" vertical="center"/>
    </xf>
    <xf numFmtId="3" fontId="17" fillId="0" borderId="57" xfId="0" applyNumberFormat="1" applyFont="1" applyBorder="1" applyAlignment="1">
      <alignment horizontal="right" vertical="center" wrapText="1"/>
    </xf>
    <xf numFmtId="3" fontId="17" fillId="0" borderId="47" xfId="0" applyNumberFormat="1" applyFont="1" applyBorder="1" applyAlignment="1">
      <alignment horizontal="right" vertical="center" wrapText="1"/>
    </xf>
    <xf numFmtId="3" fontId="17" fillId="0" borderId="44" xfId="0" applyNumberFormat="1" applyFont="1" applyBorder="1" applyAlignment="1">
      <alignment horizontal="right" vertical="center" wrapText="1"/>
    </xf>
    <xf numFmtId="3" fontId="17" fillId="11" borderId="13" xfId="0" applyNumberFormat="1" applyFont="1" applyFill="1" applyBorder="1" applyAlignment="1">
      <alignment horizontal="right" vertical="center" wrapText="1"/>
    </xf>
    <xf numFmtId="3" fontId="18" fillId="3" borderId="15" xfId="0" applyNumberFormat="1" applyFont="1" applyFill="1" applyBorder="1" applyAlignment="1">
      <alignment horizontal="right" vertical="center" wrapText="1"/>
    </xf>
    <xf numFmtId="3" fontId="17" fillId="0" borderId="52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horizontal="right" vertical="center"/>
    </xf>
    <xf numFmtId="3" fontId="8" fillId="2" borderId="53" xfId="0" applyNumberFormat="1" applyFont="1" applyFill="1" applyBorder="1" applyAlignment="1">
      <alignment horizontal="right" vertical="center"/>
    </xf>
    <xf numFmtId="3" fontId="8" fillId="2" borderId="54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53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38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17" fillId="0" borderId="37" xfId="0" applyNumberFormat="1" applyFont="1" applyBorder="1" applyAlignment="1">
      <alignment horizontal="right" vertical="center"/>
    </xf>
    <xf numFmtId="3" fontId="17" fillId="11" borderId="26" xfId="0" applyNumberFormat="1" applyFont="1" applyFill="1" applyBorder="1" applyAlignment="1">
      <alignment horizontal="right" vertical="center" wrapText="1"/>
    </xf>
    <xf numFmtId="3" fontId="18" fillId="3" borderId="26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0" fontId="14" fillId="0" borderId="33" xfId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32" xfId="0" applyNumberFormat="1" applyFont="1" applyBorder="1" applyAlignment="1">
      <alignment horizontal="right" vertical="center"/>
    </xf>
    <xf numFmtId="3" fontId="16" fillId="0" borderId="37" xfId="0" applyNumberFormat="1" applyFont="1" applyBorder="1" applyAlignment="1">
      <alignment horizontal="right" vertical="center"/>
    </xf>
    <xf numFmtId="3" fontId="16" fillId="11" borderId="26" xfId="0" applyNumberFormat="1" applyFont="1" applyFill="1" applyBorder="1" applyAlignment="1">
      <alignment horizontal="right" vertical="center" wrapText="1"/>
    </xf>
    <xf numFmtId="3" fontId="41" fillId="3" borderId="26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6" fillId="0" borderId="46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41" fillId="0" borderId="22" xfId="0" applyNumberFormat="1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 wrapText="1"/>
    </xf>
    <xf numFmtId="3" fontId="17" fillId="0" borderId="32" xfId="0" applyNumberFormat="1" applyFont="1" applyBorder="1" applyAlignment="1">
      <alignment horizontal="right" vertical="center" wrapText="1"/>
    </xf>
    <xf numFmtId="0" fontId="17" fillId="0" borderId="23" xfId="1" applyFont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right" vertical="center" wrapText="1"/>
    </xf>
    <xf numFmtId="0" fontId="48" fillId="0" borderId="37" xfId="0" applyFont="1" applyBorder="1" applyAlignment="1">
      <alignment horizontal="center" vertical="center" wrapText="1"/>
    </xf>
    <xf numFmtId="3" fontId="18" fillId="3" borderId="32" xfId="0" applyNumberFormat="1" applyFont="1" applyFill="1" applyBorder="1" applyAlignment="1">
      <alignment horizontal="right" vertical="center" wrapText="1"/>
    </xf>
    <xf numFmtId="3" fontId="18" fillId="11" borderId="32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3" fontId="18" fillId="3" borderId="44" xfId="0" applyNumberFormat="1" applyFont="1" applyFill="1" applyBorder="1" applyAlignment="1">
      <alignment horizontal="right" vertical="center" wrapText="1"/>
    </xf>
    <xf numFmtId="3" fontId="18" fillId="11" borderId="44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57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0" fontId="23" fillId="0" borderId="25" xfId="0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right" vertical="center"/>
    </xf>
    <xf numFmtId="3" fontId="15" fillId="3" borderId="29" xfId="0" applyNumberFormat="1" applyFont="1" applyFill="1" applyBorder="1" applyAlignment="1">
      <alignment horizontal="right" vertical="center" wrapText="1"/>
    </xf>
    <xf numFmtId="3" fontId="15" fillId="11" borderId="29" xfId="0" applyNumberFormat="1" applyFont="1" applyFill="1" applyBorder="1" applyAlignment="1">
      <alignment horizontal="right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49" fontId="10" fillId="5" borderId="26" xfId="0" applyNumberFormat="1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3" fontId="10" fillId="5" borderId="26" xfId="0" applyNumberFormat="1" applyFont="1" applyFill="1" applyBorder="1" applyAlignment="1">
      <alignment horizontal="right" vertical="center"/>
    </xf>
    <xf numFmtId="3" fontId="8" fillId="5" borderId="26" xfId="0" applyNumberFormat="1" applyFont="1" applyFill="1" applyBorder="1" applyAlignment="1">
      <alignment horizontal="right" vertical="center"/>
    </xf>
    <xf numFmtId="3" fontId="8" fillId="5" borderId="48" xfId="0" applyNumberFormat="1" applyFont="1" applyFill="1" applyBorder="1" applyAlignment="1">
      <alignment horizontal="right" vertical="center"/>
    </xf>
    <xf numFmtId="3" fontId="8" fillId="5" borderId="42" xfId="0" applyNumberFormat="1" applyFont="1" applyFill="1" applyBorder="1" applyAlignment="1">
      <alignment horizontal="right" vertical="center"/>
    </xf>
    <xf numFmtId="3" fontId="8" fillId="5" borderId="32" xfId="0" applyNumberFormat="1" applyFont="1" applyFill="1" applyBorder="1" applyAlignment="1">
      <alignment horizontal="right" vertical="center"/>
    </xf>
    <xf numFmtId="3" fontId="8" fillId="5" borderId="33" xfId="0" applyNumberFormat="1" applyFont="1" applyFill="1" applyBorder="1" applyAlignment="1">
      <alignment horizontal="right" vertical="center"/>
    </xf>
    <xf numFmtId="3" fontId="8" fillId="5" borderId="34" xfId="0" applyNumberFormat="1" applyFont="1" applyFill="1" applyBorder="1" applyAlignment="1">
      <alignment horizontal="right" vertical="center"/>
    </xf>
    <xf numFmtId="3" fontId="8" fillId="5" borderId="48" xfId="0" applyNumberFormat="1" applyFont="1" applyFill="1" applyBorder="1" applyAlignment="1">
      <alignment horizontal="right" vertical="center" wrapText="1"/>
    </xf>
    <xf numFmtId="3" fontId="8" fillId="5" borderId="42" xfId="0" applyNumberFormat="1" applyFont="1" applyFill="1" applyBorder="1" applyAlignment="1">
      <alignment horizontal="right" vertical="center" wrapText="1"/>
    </xf>
    <xf numFmtId="3" fontId="10" fillId="5" borderId="32" xfId="0" applyNumberFormat="1" applyFont="1" applyFill="1" applyBorder="1" applyAlignment="1">
      <alignment horizontal="right" vertical="center" wrapText="1"/>
    </xf>
    <xf numFmtId="3" fontId="10" fillId="5" borderId="26" xfId="0" applyNumberFormat="1" applyFont="1" applyFill="1" applyBorder="1" applyAlignment="1">
      <alignment horizontal="right" vertical="center" wrapText="1"/>
    </xf>
    <xf numFmtId="3" fontId="28" fillId="5" borderId="26" xfId="0" applyNumberFormat="1" applyFont="1" applyFill="1" applyBorder="1" applyAlignment="1">
      <alignment vertical="center"/>
    </xf>
    <xf numFmtId="3" fontId="28" fillId="5" borderId="31" xfId="0" applyNumberFormat="1" applyFont="1" applyFill="1" applyBorder="1" applyAlignment="1">
      <alignment vertical="center"/>
    </xf>
    <xf numFmtId="3" fontId="8" fillId="5" borderId="48" xfId="0" applyNumberFormat="1" applyFont="1" applyFill="1" applyBorder="1" applyAlignment="1">
      <alignment vertical="center"/>
    </xf>
    <xf numFmtId="3" fontId="8" fillId="5" borderId="42" xfId="0" applyNumberFormat="1" applyFont="1" applyFill="1" applyBorder="1" applyAlignment="1">
      <alignment vertical="center"/>
    </xf>
    <xf numFmtId="3" fontId="8" fillId="5" borderId="68" xfId="0" applyNumberFormat="1" applyFont="1" applyFill="1" applyBorder="1" applyAlignment="1">
      <alignment horizontal="right" vertical="center"/>
    </xf>
    <xf numFmtId="49" fontId="8" fillId="5" borderId="31" xfId="0" applyNumberFormat="1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8" fillId="5" borderId="26" xfId="1" applyFill="1" applyBorder="1" applyAlignment="1">
      <alignment horizontal="center" vertical="center" wrapText="1"/>
    </xf>
    <xf numFmtId="3" fontId="8" fillId="5" borderId="46" xfId="0" applyNumberFormat="1" applyFont="1" applyFill="1" applyBorder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3" fontId="8" fillId="5" borderId="31" xfId="0" applyNumberFormat="1" applyFont="1" applyFill="1" applyBorder="1" applyAlignment="1">
      <alignment horizontal="right" vertical="center"/>
    </xf>
    <xf numFmtId="3" fontId="8" fillId="5" borderId="46" xfId="0" applyNumberFormat="1" applyFont="1" applyFill="1" applyBorder="1" applyAlignment="1">
      <alignment horizontal="right" vertical="center" wrapText="1"/>
    </xf>
    <xf numFmtId="3" fontId="8" fillId="5" borderId="46" xfId="0" applyNumberFormat="1" applyFont="1" applyFill="1" applyBorder="1" applyAlignment="1">
      <alignment vertical="center"/>
    </xf>
    <xf numFmtId="3" fontId="8" fillId="5" borderId="36" xfId="0" applyNumberFormat="1" applyFont="1" applyFill="1" applyBorder="1" applyAlignment="1">
      <alignment horizontal="right" vertical="center"/>
    </xf>
    <xf numFmtId="3" fontId="8" fillId="5" borderId="40" xfId="0" applyNumberFormat="1" applyFont="1" applyFill="1" applyBorder="1" applyAlignment="1">
      <alignment horizontal="right" vertical="center"/>
    </xf>
    <xf numFmtId="0" fontId="8" fillId="11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48" fillId="5" borderId="27" xfId="0" applyFont="1" applyFill="1" applyBorder="1" applyAlignment="1">
      <alignment wrapText="1"/>
    </xf>
    <xf numFmtId="3" fontId="8" fillId="5" borderId="20" xfId="0" applyNumberFormat="1" applyFont="1" applyFill="1" applyBorder="1" applyAlignment="1">
      <alignment horizontal="right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8" fillId="5" borderId="26" xfId="0" applyFont="1" applyFill="1" applyBorder="1" applyAlignment="1">
      <alignment horizontal="center" vertical="center" wrapText="1"/>
    </xf>
    <xf numFmtId="3" fontId="49" fillId="0" borderId="20" xfId="0" applyNumberFormat="1" applyFont="1" applyBorder="1" applyAlignment="1">
      <alignment horizontal="right" vertical="center" wrapText="1"/>
    </xf>
    <xf numFmtId="168" fontId="10" fillId="2" borderId="3" xfId="0" applyNumberFormat="1" applyFont="1" applyFill="1" applyBorder="1" applyAlignment="1">
      <alignment horizontal="center" vertical="center" wrapText="1"/>
    </xf>
    <xf numFmtId="168" fontId="10" fillId="2" borderId="22" xfId="0" applyNumberFormat="1" applyFont="1" applyFill="1" applyBorder="1" applyAlignment="1">
      <alignment horizontal="center" vertical="center" wrapText="1" shrinkToFit="1"/>
    </xf>
    <xf numFmtId="0" fontId="8" fillId="2" borderId="22" xfId="1" applyFill="1" applyBorder="1" applyAlignment="1">
      <alignment horizontal="center" vertical="center" wrapText="1"/>
    </xf>
    <xf numFmtId="3" fontId="8" fillId="2" borderId="60" xfId="0" applyNumberFormat="1" applyFont="1" applyFill="1" applyBorder="1" applyAlignment="1">
      <alignment horizontal="right" vertical="center" wrapText="1"/>
    </xf>
    <xf numFmtId="3" fontId="8" fillId="2" borderId="58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8" fillId="2" borderId="63" xfId="0" applyNumberFormat="1" applyFont="1" applyFill="1" applyBorder="1" applyAlignment="1">
      <alignment horizontal="right" vertical="center" wrapText="1"/>
    </xf>
    <xf numFmtId="3" fontId="10" fillId="2" borderId="60" xfId="0" applyNumberFormat="1" applyFont="1" applyFill="1" applyBorder="1" applyAlignment="1">
      <alignment horizontal="right" vertical="center" wrapText="1"/>
    </xf>
    <xf numFmtId="3" fontId="8" fillId="2" borderId="61" xfId="0" applyNumberFormat="1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68" fontId="10" fillId="2" borderId="26" xfId="0" applyNumberFormat="1" applyFont="1" applyFill="1" applyBorder="1" applyAlignment="1">
      <alignment horizontal="center" vertical="center" wrapText="1"/>
    </xf>
    <xf numFmtId="168" fontId="10" fillId="2" borderId="26" xfId="0" applyNumberFormat="1" applyFont="1" applyFill="1" applyBorder="1" applyAlignment="1">
      <alignment horizontal="center" vertical="center" wrapText="1" shrinkToFit="1"/>
    </xf>
    <xf numFmtId="3" fontId="8" fillId="2" borderId="37" xfId="0" applyNumberFormat="1" applyFont="1" applyFill="1" applyBorder="1" applyAlignment="1">
      <alignment horizontal="right" vertical="center" wrapText="1"/>
    </xf>
    <xf numFmtId="3" fontId="10" fillId="2" borderId="46" xfId="0" applyNumberFormat="1" applyFont="1" applyFill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168" fontId="13" fillId="0" borderId="23" xfId="0" applyNumberFormat="1" applyFont="1" applyBorder="1" applyAlignment="1">
      <alignment horizontal="center" vertical="center" wrapText="1"/>
    </xf>
    <xf numFmtId="168" fontId="13" fillId="0" borderId="23" xfId="0" applyNumberFormat="1" applyFont="1" applyBorder="1" applyAlignment="1">
      <alignment horizontal="center" vertical="center" wrapText="1" shrinkToFit="1"/>
    </xf>
    <xf numFmtId="0" fontId="12" fillId="0" borderId="23" xfId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3" fontId="13" fillId="0" borderId="23" xfId="1" applyNumberFormat="1" applyFont="1" applyBorder="1" applyAlignment="1">
      <alignment vertical="center" wrapText="1"/>
    </xf>
    <xf numFmtId="3" fontId="13" fillId="0" borderId="23" xfId="1" applyNumberFormat="1" applyFont="1" applyBorder="1" applyAlignment="1">
      <alignment horizontal="right" vertical="center" wrapText="1"/>
    </xf>
    <xf numFmtId="3" fontId="12" fillId="0" borderId="56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2" fillId="11" borderId="27" xfId="0" applyNumberFormat="1" applyFont="1" applyFill="1" applyBorder="1" applyAlignment="1">
      <alignment horizontal="right" vertical="center" wrapText="1"/>
    </xf>
    <xf numFmtId="3" fontId="13" fillId="11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3" fillId="0" borderId="56" xfId="0" applyNumberFormat="1" applyFont="1" applyBorder="1" applyAlignment="1">
      <alignment horizontal="right" vertical="center" wrapText="1"/>
    </xf>
    <xf numFmtId="3" fontId="12" fillId="0" borderId="43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3" fontId="8" fillId="2" borderId="30" xfId="0" applyNumberFormat="1" applyFont="1" applyFill="1" applyBorder="1" applyAlignment="1">
      <alignment horizontal="right" vertical="center" wrapText="1"/>
    </xf>
    <xf numFmtId="3" fontId="8" fillId="2" borderId="66" xfId="0" applyNumberFormat="1" applyFont="1" applyFill="1" applyBorder="1" applyAlignment="1">
      <alignment horizontal="right" vertical="center" wrapText="1"/>
    </xf>
    <xf numFmtId="3" fontId="8" fillId="2" borderId="67" xfId="0" applyNumberFormat="1" applyFont="1" applyFill="1" applyBorder="1" applyAlignment="1">
      <alignment horizontal="right" vertical="center" wrapText="1"/>
    </xf>
    <xf numFmtId="3" fontId="10" fillId="2" borderId="66" xfId="0" applyNumberFormat="1" applyFont="1" applyFill="1" applyBorder="1" applyAlignment="1">
      <alignment horizontal="right"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3" fontId="8" fillId="2" borderId="51" xfId="0" applyNumberFormat="1" applyFont="1" applyFill="1" applyBorder="1" applyAlignment="1">
      <alignment horizontal="right" vertical="center" wrapText="1"/>
    </xf>
    <xf numFmtId="3" fontId="8" fillId="2" borderId="31" xfId="0" applyNumberFormat="1" applyFont="1" applyFill="1" applyBorder="1" applyAlignment="1">
      <alignment horizontal="right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168" fontId="41" fillId="0" borderId="26" xfId="0" applyNumberFormat="1" applyFont="1" applyBorder="1" applyAlignment="1">
      <alignment horizontal="center" vertical="center" wrapText="1"/>
    </xf>
    <xf numFmtId="168" fontId="41" fillId="0" borderId="26" xfId="0" applyNumberFormat="1" applyFont="1" applyBorder="1" applyAlignment="1">
      <alignment horizontal="center" vertical="center" wrapText="1" shrinkToFit="1"/>
    </xf>
    <xf numFmtId="0" fontId="42" fillId="0" borderId="31" xfId="0" applyFont="1" applyBorder="1" applyAlignment="1">
      <alignment horizontal="center" vertical="center" wrapText="1"/>
    </xf>
    <xf numFmtId="3" fontId="41" fillId="0" borderId="26" xfId="1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0" fontId="8" fillId="0" borderId="27" xfId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3" fontId="41" fillId="0" borderId="14" xfId="1" applyNumberFormat="1" applyFont="1" applyBorder="1" applyAlignment="1">
      <alignment horizontal="right" vertical="center" wrapText="1"/>
    </xf>
    <xf numFmtId="3" fontId="16" fillId="0" borderId="57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3" fontId="16" fillId="0" borderId="47" xfId="0" applyNumberFormat="1" applyFont="1" applyBorder="1" applyAlignment="1">
      <alignment horizontal="right"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3" fontId="41" fillId="0" borderId="56" xfId="0" applyNumberFormat="1" applyFont="1" applyBorder="1" applyAlignment="1">
      <alignment horizontal="right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8" fillId="0" borderId="19" xfId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right" vertical="center" wrapText="1"/>
    </xf>
    <xf numFmtId="3" fontId="8" fillId="0" borderId="67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8" fillId="0" borderId="16" xfId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3" fontId="15" fillId="0" borderId="18" xfId="1" applyNumberFormat="1" applyFont="1" applyBorder="1" applyAlignment="1">
      <alignment horizontal="right" vertical="center" wrapText="1"/>
    </xf>
    <xf numFmtId="3" fontId="14" fillId="0" borderId="18" xfId="1" applyNumberFormat="1" applyFont="1" applyBorder="1" applyAlignment="1">
      <alignment horizontal="right" vertical="center" wrapText="1"/>
    </xf>
    <xf numFmtId="3" fontId="14" fillId="0" borderId="12" xfId="1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5" fillId="0" borderId="53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3" fontId="10" fillId="0" borderId="66" xfId="0" applyNumberFormat="1" applyFont="1" applyBorder="1" applyAlignment="1">
      <alignment horizontal="right" vertical="center" wrapText="1"/>
    </xf>
    <xf numFmtId="3" fontId="8" fillId="0" borderId="71" xfId="0" applyNumberFormat="1" applyFont="1" applyBorder="1" applyAlignment="1">
      <alignment horizontal="right" vertical="center" wrapText="1"/>
    </xf>
    <xf numFmtId="3" fontId="8" fillId="0" borderId="72" xfId="0" applyNumberFormat="1" applyFont="1" applyBorder="1" applyAlignment="1">
      <alignment horizontal="right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2" fontId="42" fillId="0" borderId="25" xfId="0" applyNumberFormat="1" applyFont="1" applyBorder="1" applyAlignment="1">
      <alignment horizontal="center" vertical="center" wrapText="1"/>
    </xf>
    <xf numFmtId="3" fontId="16" fillId="0" borderId="72" xfId="0" applyNumberFormat="1" applyFont="1" applyBorder="1" applyAlignment="1">
      <alignment horizontal="right" vertical="center" wrapText="1"/>
    </xf>
    <xf numFmtId="3" fontId="41" fillId="11" borderId="23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 vertical="center" wrapText="1"/>
    </xf>
    <xf numFmtId="2" fontId="42" fillId="0" borderId="31" xfId="0" applyNumberFormat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2" fontId="23" fillId="0" borderId="41" xfId="0" applyNumberFormat="1" applyFont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 shrinkToFit="1"/>
    </xf>
    <xf numFmtId="2" fontId="9" fillId="5" borderId="41" xfId="0" applyNumberFormat="1" applyFont="1" applyFill="1" applyBorder="1" applyAlignment="1">
      <alignment horizontal="center" vertical="center" wrapText="1"/>
    </xf>
    <xf numFmtId="3" fontId="8" fillId="5" borderId="40" xfId="0" applyNumberFormat="1" applyFont="1" applyFill="1" applyBorder="1" applyAlignment="1">
      <alignment horizontal="right" vertical="center" wrapText="1"/>
    </xf>
    <xf numFmtId="3" fontId="8" fillId="5" borderId="31" xfId="0" applyNumberFormat="1" applyFont="1" applyFill="1" applyBorder="1" applyAlignment="1">
      <alignment horizontal="right" vertical="center" wrapText="1"/>
    </xf>
    <xf numFmtId="3" fontId="8" fillId="5" borderId="32" xfId="0" applyNumberFormat="1" applyFont="1" applyFill="1" applyBorder="1" applyAlignment="1">
      <alignment horizontal="right" vertical="center" wrapText="1"/>
    </xf>
    <xf numFmtId="3" fontId="10" fillId="5" borderId="46" xfId="0" applyNumberFormat="1" applyFont="1" applyFill="1" applyBorder="1" applyAlignment="1">
      <alignment horizontal="right" vertical="center" wrapText="1"/>
    </xf>
    <xf numFmtId="3" fontId="8" fillId="5" borderId="36" xfId="0" applyNumberFormat="1" applyFont="1" applyFill="1" applyBorder="1" applyAlignment="1">
      <alignment horizontal="right" vertical="center" wrapText="1"/>
    </xf>
    <xf numFmtId="49" fontId="8" fillId="5" borderId="37" xfId="0" applyNumberFormat="1" applyFont="1" applyFill="1" applyBorder="1" applyAlignment="1">
      <alignment horizontal="center" vertical="center" wrapText="1"/>
    </xf>
    <xf numFmtId="3" fontId="15" fillId="3" borderId="32" xfId="0" applyNumberFormat="1" applyFont="1" applyFill="1" applyBorder="1" applyAlignment="1">
      <alignment horizontal="right" vertical="center" wrapText="1"/>
    </xf>
    <xf numFmtId="0" fontId="8" fillId="5" borderId="23" xfId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 shrinkToFit="1"/>
    </xf>
    <xf numFmtId="49" fontId="13" fillId="0" borderId="33" xfId="0" applyNumberFormat="1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3" fontId="13" fillId="0" borderId="33" xfId="1" applyNumberFormat="1" applyFont="1" applyBorder="1" applyAlignment="1">
      <alignment vertical="center" wrapText="1"/>
    </xf>
    <xf numFmtId="3" fontId="13" fillId="0" borderId="26" xfId="1" applyNumberFormat="1" applyFont="1" applyBorder="1" applyAlignment="1">
      <alignment vertical="center" wrapText="1"/>
    </xf>
    <xf numFmtId="3" fontId="12" fillId="0" borderId="42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12" fillId="0" borderId="48" xfId="0" applyNumberFormat="1" applyFont="1" applyBorder="1" applyAlignment="1">
      <alignment vertical="center" wrapText="1"/>
    </xf>
    <xf numFmtId="3" fontId="12" fillId="0" borderId="39" xfId="0" applyNumberFormat="1" applyFont="1" applyBorder="1" applyAlignment="1">
      <alignment vertical="center" wrapText="1"/>
    </xf>
    <xf numFmtId="3" fontId="12" fillId="0" borderId="48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68" xfId="0" applyNumberFormat="1" applyFont="1" applyBorder="1" applyAlignment="1">
      <alignment horizontal="right" vertical="center" wrapText="1"/>
    </xf>
    <xf numFmtId="3" fontId="12" fillId="0" borderId="35" xfId="0" applyNumberFormat="1" applyFont="1" applyBorder="1" applyAlignment="1">
      <alignment horizontal="right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 shrinkToFit="1"/>
    </xf>
    <xf numFmtId="0" fontId="46" fillId="0" borderId="31" xfId="0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vertical="center" wrapText="1"/>
    </xf>
    <xf numFmtId="3" fontId="12" fillId="0" borderId="56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3" fontId="12" fillId="0" borderId="31" xfId="0" applyNumberFormat="1" applyFont="1" applyBorder="1" applyAlignment="1">
      <alignment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vertical="center" wrapText="1"/>
    </xf>
    <xf numFmtId="3" fontId="15" fillId="0" borderId="23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0" fontId="14" fillId="0" borderId="47" xfId="0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vertical="center" wrapText="1"/>
    </xf>
    <xf numFmtId="3" fontId="14" fillId="0" borderId="13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0" fillId="2" borderId="26" xfId="0" applyNumberFormat="1" applyFont="1" applyFill="1" applyBorder="1" applyAlignment="1">
      <alignment horizontal="right" vertical="center"/>
    </xf>
    <xf numFmtId="3" fontId="8" fillId="2" borderId="57" xfId="0" applyNumberFormat="1" applyFont="1" applyFill="1" applyBorder="1" applyAlignment="1">
      <alignment horizontal="right" vertical="center"/>
    </xf>
    <xf numFmtId="3" fontId="8" fillId="2" borderId="52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3" fontId="14" fillId="0" borderId="60" xfId="0" applyNumberFormat="1" applyFont="1" applyBorder="1" applyAlignment="1">
      <alignment horizontal="right" vertical="center"/>
    </xf>
    <xf numFmtId="3" fontId="14" fillId="0" borderId="51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 wrapText="1"/>
    </xf>
    <xf numFmtId="3" fontId="8" fillId="0" borderId="6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66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43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right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right" vertical="center"/>
    </xf>
    <xf numFmtId="3" fontId="8" fillId="2" borderId="19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47" xfId="0" applyNumberFormat="1" applyFont="1" applyFill="1" applyBorder="1" applyAlignment="1">
      <alignment horizontal="right" vertical="center"/>
    </xf>
    <xf numFmtId="3" fontId="8" fillId="2" borderId="19" xfId="0" applyNumberFormat="1" applyFont="1" applyFill="1" applyBorder="1" applyAlignment="1">
      <alignment horizontal="right"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71" xfId="0" applyNumberFormat="1" applyFont="1" applyFill="1" applyBorder="1" applyAlignment="1">
      <alignment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right" vertical="center"/>
    </xf>
    <xf numFmtId="3" fontId="12" fillId="11" borderId="23" xfId="0" applyNumberFormat="1" applyFont="1" applyFill="1" applyBorder="1" applyAlignment="1">
      <alignment horizontal="right" vertical="center"/>
    </xf>
    <xf numFmtId="3" fontId="12" fillId="3" borderId="27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3" fontId="12" fillId="0" borderId="56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3" borderId="19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right" vertical="center"/>
    </xf>
    <xf numFmtId="3" fontId="8" fillId="5" borderId="2" xfId="0" applyNumberFormat="1" applyFont="1" applyFill="1" applyBorder="1" applyAlignment="1">
      <alignment horizontal="right" vertical="center" wrapText="1"/>
    </xf>
    <xf numFmtId="3" fontId="8" fillId="5" borderId="60" xfId="0" applyNumberFormat="1" applyFont="1" applyFill="1" applyBorder="1" applyAlignment="1">
      <alignment horizontal="right" vertical="center" wrapText="1"/>
    </xf>
    <xf numFmtId="3" fontId="8" fillId="5" borderId="61" xfId="0" applyNumberFormat="1" applyFont="1" applyFill="1" applyBorder="1" applyAlignment="1">
      <alignment horizontal="right" vertical="center" wrapText="1"/>
    </xf>
    <xf numFmtId="3" fontId="8" fillId="5" borderId="9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vertical="center"/>
    </xf>
    <xf numFmtId="3" fontId="10" fillId="5" borderId="8" xfId="0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/>
    </xf>
    <xf numFmtId="3" fontId="8" fillId="5" borderId="60" xfId="0" applyNumberFormat="1" applyFont="1" applyFill="1" applyBorder="1" applyAlignment="1">
      <alignment horizontal="right" vertical="center"/>
    </xf>
    <xf numFmtId="3" fontId="8" fillId="5" borderId="61" xfId="0" applyNumberFormat="1" applyFont="1" applyFill="1" applyBorder="1" applyAlignment="1">
      <alignment horizontal="right" vertical="center"/>
    </xf>
    <xf numFmtId="3" fontId="8" fillId="5" borderId="8" xfId="0" applyNumberFormat="1" applyFont="1" applyFill="1" applyBorder="1" applyAlignment="1">
      <alignment horizontal="right" vertical="center"/>
    </xf>
    <xf numFmtId="3" fontId="8" fillId="5" borderId="51" xfId="0" applyNumberFormat="1" applyFont="1" applyFill="1" applyBorder="1" applyAlignment="1">
      <alignment horizontal="right" vertical="center"/>
    </xf>
    <xf numFmtId="3" fontId="8" fillId="5" borderId="9" xfId="0" applyNumberFormat="1" applyFont="1" applyFill="1" applyBorder="1" applyAlignment="1">
      <alignment horizontal="right" vertical="center"/>
    </xf>
    <xf numFmtId="49" fontId="8" fillId="5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8" fillId="2" borderId="61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vertical="center" wrapText="1"/>
    </xf>
    <xf numFmtId="3" fontId="8" fillId="2" borderId="33" xfId="0" applyNumberFormat="1" applyFont="1" applyFill="1" applyBorder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 wrapText="1"/>
    </xf>
    <xf numFmtId="3" fontId="10" fillId="2" borderId="65" xfId="0" applyNumberFormat="1" applyFont="1" applyFill="1" applyBorder="1" applyAlignment="1">
      <alignment vertical="center" wrapText="1"/>
    </xf>
    <xf numFmtId="3" fontId="10" fillId="2" borderId="61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vertical="center" wrapText="1"/>
    </xf>
    <xf numFmtId="3" fontId="8" fillId="2" borderId="65" xfId="0" applyNumberFormat="1" applyFont="1" applyFill="1" applyBorder="1" applyAlignment="1">
      <alignment horizontal="right" vertical="center" wrapText="1"/>
    </xf>
    <xf numFmtId="3" fontId="8" fillId="2" borderId="68" xfId="0" applyNumberFormat="1" applyFont="1" applyFill="1" applyBorder="1" applyAlignment="1">
      <alignment horizontal="right" vertical="center" wrapText="1"/>
    </xf>
    <xf numFmtId="3" fontId="8" fillId="2" borderId="39" xfId="0" applyNumberFormat="1" applyFont="1" applyFill="1" applyBorder="1" applyAlignment="1">
      <alignment horizontal="right" vertical="center" wrapText="1"/>
    </xf>
    <xf numFmtId="0" fontId="8" fillId="2" borderId="24" xfId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 shrinkToFit="1"/>
    </xf>
    <xf numFmtId="3" fontId="8" fillId="2" borderId="34" xfId="0" applyNumberFormat="1" applyFont="1" applyFill="1" applyBorder="1" applyAlignment="1">
      <alignment horizontal="right" vertical="center" wrapText="1"/>
    </xf>
    <xf numFmtId="3" fontId="10" fillId="2" borderId="48" xfId="0" applyNumberFormat="1" applyFont="1" applyFill="1" applyBorder="1" applyAlignment="1">
      <alignment vertical="center" wrapText="1"/>
    </xf>
    <xf numFmtId="3" fontId="10" fillId="2" borderId="20" xfId="0" applyNumberFormat="1" applyFont="1" applyFill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8" fillId="0" borderId="39" xfId="0" applyNumberFormat="1" applyFont="1" applyBorder="1" applyAlignment="1">
      <alignment horizontal="right" vertical="center" wrapText="1"/>
    </xf>
    <xf numFmtId="0" fontId="8" fillId="2" borderId="44" xfId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0" fontId="8" fillId="2" borderId="9" xfId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right" vertical="center" wrapText="1"/>
    </xf>
    <xf numFmtId="49" fontId="41" fillId="0" borderId="23" xfId="0" applyNumberFormat="1" applyFont="1" applyBorder="1" applyAlignment="1">
      <alignment horizontal="center" vertical="center" wrapText="1" shrinkToFit="1"/>
    </xf>
    <xf numFmtId="0" fontId="42" fillId="0" borderId="25" xfId="1" applyFont="1" applyBorder="1" applyAlignment="1">
      <alignment horizontal="center" vertical="center" wrapText="1"/>
    </xf>
    <xf numFmtId="3" fontId="16" fillId="0" borderId="56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24" xfId="0" applyNumberFormat="1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42" fillId="0" borderId="31" xfId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32" xfId="0" applyNumberFormat="1" applyFont="1" applyBorder="1" applyAlignment="1">
      <alignment vertical="center" wrapText="1"/>
    </xf>
    <xf numFmtId="49" fontId="10" fillId="2" borderId="26" xfId="0" applyNumberFormat="1" applyFont="1" applyFill="1" applyBorder="1" applyAlignment="1">
      <alignment horizontal="center" vertical="center" shrinkToFit="1"/>
    </xf>
    <xf numFmtId="3" fontId="8" fillId="2" borderId="32" xfId="0" applyNumberFormat="1" applyFont="1" applyFill="1" applyBorder="1" applyAlignment="1">
      <alignment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 shrinkToFit="1"/>
    </xf>
    <xf numFmtId="0" fontId="8" fillId="2" borderId="14" xfId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wrapText="1"/>
    </xf>
    <xf numFmtId="3" fontId="10" fillId="0" borderId="18" xfId="1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8" xfId="1" applyBorder="1" applyAlignment="1">
      <alignment horizontal="center" vertical="center"/>
    </xf>
    <xf numFmtId="3" fontId="14" fillId="11" borderId="23" xfId="0" applyNumberFormat="1" applyFont="1" applyFill="1" applyBorder="1" applyAlignment="1">
      <alignment horizontal="right" vertical="center"/>
    </xf>
    <xf numFmtId="0" fontId="14" fillId="8" borderId="23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 shrinkToFit="1"/>
    </xf>
    <xf numFmtId="0" fontId="42" fillId="0" borderId="27" xfId="1" applyFont="1" applyBorder="1" applyAlignment="1">
      <alignment horizontal="center" vertical="center" wrapText="1"/>
    </xf>
    <xf numFmtId="3" fontId="41" fillId="0" borderId="23" xfId="1" applyNumberFormat="1" applyFont="1" applyBorder="1" applyAlignment="1">
      <alignment vertical="center"/>
    </xf>
    <xf numFmtId="3" fontId="16" fillId="0" borderId="56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16" fillId="11" borderId="23" xfId="0" applyNumberFormat="1" applyFont="1" applyFill="1" applyBorder="1" applyAlignment="1">
      <alignment horizontal="right" vertical="center"/>
    </xf>
    <xf numFmtId="3" fontId="41" fillId="3" borderId="24" xfId="0" applyNumberFormat="1" applyFont="1" applyFill="1" applyBorder="1" applyAlignment="1">
      <alignment horizontal="right" vertical="center"/>
    </xf>
    <xf numFmtId="3" fontId="41" fillId="11" borderId="24" xfId="0" applyNumberFormat="1" applyFont="1" applyFill="1" applyBorder="1" applyAlignment="1">
      <alignment horizontal="right" vertical="center"/>
    </xf>
    <xf numFmtId="3" fontId="16" fillId="0" borderId="23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3" fontId="16" fillId="0" borderId="56" xfId="0" applyNumberFormat="1" applyFont="1" applyBorder="1" applyAlignment="1">
      <alignment horizontal="right" vertical="center"/>
    </xf>
    <xf numFmtId="3" fontId="16" fillId="0" borderId="43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3" fontId="41" fillId="3" borderId="24" xfId="0" applyNumberFormat="1" applyFont="1" applyFill="1" applyBorder="1" applyAlignment="1">
      <alignment horizontal="right" vertical="center" wrapText="1"/>
    </xf>
    <xf numFmtId="3" fontId="41" fillId="11" borderId="32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vertical="center" wrapText="1"/>
    </xf>
    <xf numFmtId="0" fontId="16" fillId="8" borderId="23" xfId="0" applyFont="1" applyFill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/>
    </xf>
    <xf numFmtId="3" fontId="41" fillId="0" borderId="26" xfId="1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11" borderId="26" xfId="0" applyNumberFormat="1" applyFont="1" applyFill="1" applyBorder="1" applyAlignment="1">
      <alignment horizontal="right" vertical="center"/>
    </xf>
    <xf numFmtId="3" fontId="41" fillId="3" borderId="32" xfId="0" applyNumberFormat="1" applyFont="1" applyFill="1" applyBorder="1" applyAlignment="1">
      <alignment horizontal="right" vertical="center"/>
    </xf>
    <xf numFmtId="3" fontId="41" fillId="11" borderId="32" xfId="0" applyNumberFormat="1" applyFont="1" applyFill="1" applyBorder="1" applyAlignment="1">
      <alignment horizontal="right" vertical="center"/>
    </xf>
    <xf numFmtId="49" fontId="16" fillId="0" borderId="37" xfId="0" applyNumberFormat="1" applyFont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 shrinkToFit="1"/>
    </xf>
    <xf numFmtId="0" fontId="9" fillId="2" borderId="19" xfId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vertical="center"/>
    </xf>
    <xf numFmtId="3" fontId="10" fillId="2" borderId="44" xfId="0" applyNumberFormat="1" applyFont="1" applyFill="1" applyBorder="1" applyAlignment="1">
      <alignment horizontal="right" vertical="center"/>
    </xf>
    <xf numFmtId="49" fontId="8" fillId="2" borderId="19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49" fontId="41" fillId="0" borderId="26" xfId="0" applyNumberFormat="1" applyFont="1" applyBorder="1" applyAlignment="1">
      <alignment horizontal="center" vertical="center" shrinkToFit="1"/>
    </xf>
    <xf numFmtId="4" fontId="13" fillId="0" borderId="13" xfId="0" applyNumberFormat="1" applyFont="1" applyBorder="1" applyAlignment="1">
      <alignment horizontal="center" vertical="center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13" xfId="1" applyNumberFormat="1" applyFont="1" applyBorder="1" applyAlignment="1">
      <alignment horizontal="center" vertical="center" wrapText="1"/>
    </xf>
    <xf numFmtId="4" fontId="46" fillId="0" borderId="19" xfId="1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3" xfId="1" applyNumberFormat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3" fontId="41" fillId="11" borderId="26" xfId="1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shrinkToFit="1"/>
    </xf>
    <xf numFmtId="0" fontId="46" fillId="0" borderId="37" xfId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vertical="center"/>
    </xf>
    <xf numFmtId="3" fontId="12" fillId="11" borderId="26" xfId="0" applyNumberFormat="1" applyFont="1" applyFill="1" applyBorder="1" applyAlignment="1">
      <alignment horizontal="right" vertical="center"/>
    </xf>
    <xf numFmtId="3" fontId="13" fillId="3" borderId="32" xfId="0" applyNumberFormat="1" applyFont="1" applyFill="1" applyBorder="1" applyAlignment="1">
      <alignment horizontal="right" vertical="center"/>
    </xf>
    <xf numFmtId="3" fontId="13" fillId="11" borderId="32" xfId="0" applyNumberFormat="1" applyFont="1" applyFill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 shrinkToFit="1"/>
    </xf>
    <xf numFmtId="3" fontId="8" fillId="0" borderId="32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vertical="center"/>
    </xf>
    <xf numFmtId="3" fontId="15" fillId="3" borderId="32" xfId="0" applyNumberFormat="1" applyFont="1" applyFill="1" applyBorder="1" applyAlignment="1">
      <alignment horizontal="right" vertical="center"/>
    </xf>
    <xf numFmtId="3" fontId="15" fillId="11" borderId="32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3" fontId="41" fillId="3" borderId="32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Border="1" applyAlignment="1">
      <alignment vertical="center" wrapText="1"/>
    </xf>
    <xf numFmtId="3" fontId="16" fillId="0" borderId="31" xfId="0" applyNumberFormat="1" applyFont="1" applyBorder="1" applyAlignment="1">
      <alignment vertical="center" wrapText="1"/>
    </xf>
    <xf numFmtId="3" fontId="16" fillId="0" borderId="37" xfId="0" applyNumberFormat="1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3" fontId="15" fillId="0" borderId="26" xfId="1" applyNumberFormat="1" applyFont="1" applyBorder="1" applyAlignment="1">
      <alignment horizontal="right" vertical="center"/>
    </xf>
    <xf numFmtId="49" fontId="15" fillId="0" borderId="26" xfId="0" applyNumberFormat="1" applyFont="1" applyBorder="1" applyAlignment="1">
      <alignment horizontal="center" vertical="center" shrinkToFit="1"/>
    </xf>
    <xf numFmtId="3" fontId="10" fillId="0" borderId="33" xfId="1" applyNumberFormat="1" applyFont="1" applyBorder="1" applyAlignment="1">
      <alignment vertical="center"/>
    </xf>
    <xf numFmtId="3" fontId="8" fillId="0" borderId="40" xfId="1" applyNumberForma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shrinkToFit="1"/>
    </xf>
    <xf numFmtId="3" fontId="10" fillId="0" borderId="13" xfId="1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/>
    </xf>
    <xf numFmtId="0" fontId="42" fillId="0" borderId="0" xfId="1" applyFont="1" applyAlignment="1">
      <alignment horizontal="center" vertical="center" wrapText="1"/>
    </xf>
    <xf numFmtId="3" fontId="41" fillId="0" borderId="22" xfId="1" applyNumberFormat="1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3" fontId="16" fillId="0" borderId="63" xfId="0" applyNumberFormat="1" applyFont="1" applyBorder="1" applyAlignment="1">
      <alignment vertical="center"/>
    </xf>
    <xf numFmtId="3" fontId="16" fillId="0" borderId="29" xfId="0" applyNumberFormat="1" applyFont="1" applyBorder="1" applyAlignment="1">
      <alignment vertical="center"/>
    </xf>
    <xf numFmtId="3" fontId="41" fillId="3" borderId="29" xfId="0" applyNumberFormat="1" applyFont="1" applyFill="1" applyBorder="1" applyAlignment="1">
      <alignment horizontal="right" vertical="center"/>
    </xf>
    <xf numFmtId="3" fontId="16" fillId="11" borderId="24" xfId="0" applyNumberFormat="1" applyFont="1" applyFill="1" applyBorder="1" applyAlignment="1">
      <alignment horizontal="right" vertical="center"/>
    </xf>
    <xf numFmtId="3" fontId="16" fillId="0" borderId="22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62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29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 shrinkToFit="1"/>
    </xf>
    <xf numFmtId="0" fontId="23" fillId="0" borderId="39" xfId="1" applyFont="1" applyBorder="1" applyAlignment="1">
      <alignment horizontal="center" vertical="center" wrapText="1"/>
    </xf>
    <xf numFmtId="3" fontId="15" fillId="0" borderId="33" xfId="1" applyNumberFormat="1" applyFont="1" applyBorder="1" applyAlignment="1">
      <alignment vertical="center"/>
    </xf>
    <xf numFmtId="3" fontId="14" fillId="0" borderId="48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11" borderId="33" xfId="0" applyNumberFormat="1" applyFont="1" applyFill="1" applyBorder="1" applyAlignment="1">
      <alignment horizontal="right" vertical="center"/>
    </xf>
    <xf numFmtId="3" fontId="15" fillId="3" borderId="35" xfId="0" applyNumberFormat="1" applyFont="1" applyFill="1" applyBorder="1" applyAlignment="1">
      <alignment horizontal="right" vertical="center"/>
    </xf>
    <xf numFmtId="3" fontId="14" fillId="11" borderId="35" xfId="0" applyNumberFormat="1" applyFont="1" applyFill="1" applyBorder="1" applyAlignment="1">
      <alignment horizontal="right"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0" fillId="5" borderId="33" xfId="0" applyNumberFormat="1" applyFont="1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vertical="center" shrinkToFit="1"/>
    </xf>
    <xf numFmtId="0" fontId="8" fillId="5" borderId="33" xfId="1" applyFill="1" applyBorder="1" applyAlignment="1">
      <alignment horizontal="center" vertical="center" wrapText="1"/>
    </xf>
    <xf numFmtId="0" fontId="9" fillId="5" borderId="39" xfId="1" applyFont="1" applyFill="1" applyBorder="1" applyAlignment="1">
      <alignment horizontal="center" vertical="center" wrapText="1"/>
    </xf>
    <xf numFmtId="3" fontId="10" fillId="5" borderId="33" xfId="1" applyNumberFormat="1" applyFont="1" applyFill="1" applyBorder="1" applyAlignment="1">
      <alignment vertical="center"/>
    </xf>
    <xf numFmtId="3" fontId="8" fillId="5" borderId="35" xfId="0" applyNumberFormat="1" applyFont="1" applyFill="1" applyBorder="1" applyAlignment="1">
      <alignment vertical="center"/>
    </xf>
    <xf numFmtId="3" fontId="10" fillId="5" borderId="35" xfId="0" applyNumberFormat="1" applyFont="1" applyFill="1" applyBorder="1" applyAlignment="1">
      <alignment horizontal="right" vertical="center"/>
    </xf>
    <xf numFmtId="3" fontId="8" fillId="5" borderId="35" xfId="0" applyNumberFormat="1" applyFont="1" applyFill="1" applyBorder="1" applyAlignment="1">
      <alignment horizontal="right" vertical="center"/>
    </xf>
    <xf numFmtId="3" fontId="8" fillId="5" borderId="33" xfId="0" applyNumberFormat="1" applyFont="1" applyFill="1" applyBorder="1" applyAlignment="1">
      <alignment vertical="center"/>
    </xf>
    <xf numFmtId="3" fontId="8" fillId="5" borderId="34" xfId="0" applyNumberFormat="1" applyFont="1" applyFill="1" applyBorder="1" applyAlignment="1">
      <alignment vertical="center"/>
    </xf>
    <xf numFmtId="3" fontId="8" fillId="5" borderId="39" xfId="0" applyNumberFormat="1" applyFont="1" applyFill="1" applyBorder="1" applyAlignment="1">
      <alignment vertical="center"/>
    </xf>
    <xf numFmtId="49" fontId="8" fillId="5" borderId="39" xfId="0" applyNumberFormat="1" applyFont="1" applyFill="1" applyBorder="1" applyAlignment="1">
      <alignment horizontal="center" vertical="center"/>
    </xf>
    <xf numFmtId="49" fontId="8" fillId="5" borderId="34" xfId="0" applyNumberFormat="1" applyFont="1" applyFill="1" applyBorder="1" applyAlignment="1">
      <alignment horizontal="center" vertical="center"/>
    </xf>
    <xf numFmtId="3" fontId="8" fillId="5" borderId="70" xfId="0" applyNumberFormat="1" applyFont="1" applyFill="1" applyBorder="1" applyAlignment="1">
      <alignment horizontal="right" vertical="center"/>
    </xf>
    <xf numFmtId="49" fontId="10" fillId="5" borderId="22" xfId="0" applyNumberFormat="1" applyFont="1" applyFill="1" applyBorder="1" applyAlignment="1">
      <alignment horizontal="center" vertical="center"/>
    </xf>
    <xf numFmtId="49" fontId="10" fillId="5" borderId="22" xfId="0" applyNumberFormat="1" applyFont="1" applyFill="1" applyBorder="1" applyAlignment="1">
      <alignment horizontal="center" vertical="center" shrinkToFit="1"/>
    </xf>
    <xf numFmtId="0" fontId="8" fillId="5" borderId="22" xfId="1" applyFill="1" applyBorder="1" applyAlignment="1">
      <alignment horizontal="center" vertical="center" wrapText="1"/>
    </xf>
    <xf numFmtId="3" fontId="8" fillId="5" borderId="62" xfId="0" applyNumberFormat="1" applyFont="1" applyFill="1" applyBorder="1" applyAlignment="1">
      <alignment vertical="center"/>
    </xf>
    <xf numFmtId="3" fontId="8" fillId="5" borderId="29" xfId="0" applyNumberFormat="1" applyFont="1" applyFill="1" applyBorder="1" applyAlignment="1">
      <alignment vertical="center"/>
    </xf>
    <xf numFmtId="3" fontId="8" fillId="5" borderId="22" xfId="0" applyNumberFormat="1" applyFont="1" applyFill="1" applyBorder="1" applyAlignment="1">
      <alignment horizontal="right" vertical="center"/>
    </xf>
    <xf numFmtId="3" fontId="10" fillId="5" borderId="29" xfId="0" applyNumberFormat="1" applyFont="1" applyFill="1" applyBorder="1" applyAlignment="1">
      <alignment horizontal="right" vertical="center"/>
    </xf>
    <xf numFmtId="3" fontId="8" fillId="5" borderId="29" xfId="0" applyNumberFormat="1" applyFont="1" applyFill="1" applyBorder="1" applyAlignment="1">
      <alignment horizontal="right" vertical="center"/>
    </xf>
    <xf numFmtId="3" fontId="8" fillId="5" borderId="62" xfId="0" applyNumberFormat="1" applyFont="1" applyFill="1" applyBorder="1" applyAlignment="1">
      <alignment horizontal="right" vertical="center"/>
    </xf>
    <xf numFmtId="3" fontId="8" fillId="5" borderId="21" xfId="0" applyNumberFormat="1" applyFont="1" applyFill="1" applyBorder="1" applyAlignment="1">
      <alignment horizontal="right" vertical="center"/>
    </xf>
    <xf numFmtId="49" fontId="8" fillId="5" borderId="28" xfId="0" applyNumberFormat="1" applyFont="1" applyFill="1" applyBorder="1" applyAlignment="1">
      <alignment horizontal="center" vertical="center"/>
    </xf>
    <xf numFmtId="3" fontId="8" fillId="11" borderId="44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3" fontId="15" fillId="8" borderId="23" xfId="1" applyNumberFormat="1" applyFont="1" applyFill="1" applyBorder="1" applyAlignment="1">
      <alignment vertical="center"/>
    </xf>
    <xf numFmtId="3" fontId="14" fillId="8" borderId="21" xfId="0" applyNumberFormat="1" applyFont="1" applyFill="1" applyBorder="1" applyAlignment="1">
      <alignment vertical="center"/>
    </xf>
    <xf numFmtId="3" fontId="14" fillId="8" borderId="24" xfId="0" applyNumberFormat="1" applyFont="1" applyFill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 shrinkToFit="1"/>
    </xf>
    <xf numFmtId="4" fontId="13" fillId="0" borderId="13" xfId="0" applyNumberFormat="1" applyFont="1" applyBorder="1" applyAlignment="1">
      <alignment horizontal="center" vertical="center" shrinkToFit="1"/>
    </xf>
    <xf numFmtId="3" fontId="16" fillId="0" borderId="40" xfId="1" applyNumberFormat="1" applyFont="1" applyBorder="1" applyAlignment="1">
      <alignment vertical="center" wrapText="1"/>
    </xf>
    <xf numFmtId="3" fontId="41" fillId="3" borderId="26" xfId="1" applyNumberFormat="1" applyFont="1" applyFill="1" applyBorder="1" applyAlignment="1">
      <alignment vertical="center" wrapText="1"/>
    </xf>
    <xf numFmtId="49" fontId="41" fillId="0" borderId="22" xfId="0" applyNumberFormat="1" applyFont="1" applyBorder="1" applyAlignment="1">
      <alignment horizontal="center" vertical="center" shrinkToFit="1"/>
    </xf>
    <xf numFmtId="0" fontId="9" fillId="5" borderId="0" xfId="1" applyFont="1" applyFill="1" applyAlignment="1">
      <alignment horizontal="center" vertical="center" wrapText="1"/>
    </xf>
    <xf numFmtId="3" fontId="8" fillId="5" borderId="0" xfId="0" applyNumberFormat="1" applyFont="1" applyFill="1" applyAlignment="1">
      <alignment vertical="center"/>
    </xf>
    <xf numFmtId="49" fontId="8" fillId="5" borderId="0" xfId="0" applyNumberFormat="1" applyFont="1" applyFill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 shrinkToFit="1"/>
    </xf>
    <xf numFmtId="0" fontId="42" fillId="0" borderId="39" xfId="1" applyFont="1" applyBorder="1" applyAlignment="1">
      <alignment horizontal="center" vertical="center" wrapText="1"/>
    </xf>
    <xf numFmtId="3" fontId="41" fillId="0" borderId="33" xfId="1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3" fontId="16" fillId="11" borderId="33" xfId="0" applyNumberFormat="1" applyFont="1" applyFill="1" applyBorder="1" applyAlignment="1">
      <alignment horizontal="right" vertical="center"/>
    </xf>
    <xf numFmtId="3" fontId="41" fillId="3" borderId="35" xfId="0" applyNumberFormat="1" applyFont="1" applyFill="1" applyBorder="1" applyAlignment="1">
      <alignment horizontal="right" vertical="center"/>
    </xf>
    <xf numFmtId="3" fontId="16" fillId="11" borderId="35" xfId="0" applyNumberFormat="1" applyFont="1" applyFill="1" applyBorder="1" applyAlignment="1">
      <alignment horizontal="right"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32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vertical="center" wrapText="1"/>
    </xf>
    <xf numFmtId="3" fontId="10" fillId="0" borderId="57" xfId="0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10" fillId="0" borderId="52" xfId="0" applyNumberFormat="1" applyFont="1" applyBorder="1" applyAlignment="1">
      <alignment horizontal="right" vertical="center" wrapText="1"/>
    </xf>
    <xf numFmtId="3" fontId="10" fillId="0" borderId="44" xfId="0" applyNumberFormat="1" applyFont="1" applyBorder="1" applyAlignment="1">
      <alignment horizontal="right" vertical="center" wrapText="1"/>
    </xf>
    <xf numFmtId="3" fontId="10" fillId="0" borderId="71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49" fontId="10" fillId="0" borderId="29" xfId="0" applyNumberFormat="1" applyFont="1" applyBorder="1" applyAlignment="1">
      <alignment horizontal="center" vertical="center" wrapText="1" shrinkToFit="1"/>
    </xf>
    <xf numFmtId="3" fontId="8" fillId="0" borderId="64" xfId="0" applyNumberFormat="1" applyFont="1" applyBorder="1" applyAlignment="1">
      <alignment vertical="center" wrapText="1"/>
    </xf>
    <xf numFmtId="3" fontId="10" fillId="0" borderId="62" xfId="0" applyNumberFormat="1" applyFont="1" applyBorder="1" applyAlignment="1">
      <alignment horizontal="right" vertical="center" wrapText="1"/>
    </xf>
    <xf numFmtId="3" fontId="10" fillId="0" borderId="70" xfId="0" applyNumberFormat="1" applyFont="1" applyBorder="1" applyAlignment="1">
      <alignment horizontal="right" vertical="center" wrapText="1"/>
    </xf>
    <xf numFmtId="3" fontId="8" fillId="0" borderId="70" xfId="0" applyNumberFormat="1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15" fillId="0" borderId="38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3" fontId="13" fillId="0" borderId="26" xfId="1" applyNumberFormat="1" applyFont="1" applyBorder="1" applyAlignment="1">
      <alignment horizontal="right" vertical="center" wrapText="1"/>
    </xf>
    <xf numFmtId="3" fontId="12" fillId="0" borderId="46" xfId="0" applyNumberFormat="1" applyFont="1" applyBorder="1" applyAlignment="1">
      <alignment horizontal="right" vertical="center" wrapText="1"/>
    </xf>
    <xf numFmtId="3" fontId="12" fillId="0" borderId="40" xfId="0" applyNumberFormat="1" applyFont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3" fontId="12" fillId="0" borderId="37" xfId="0" applyNumberFormat="1" applyFont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right" vertical="center" wrapText="1"/>
    </xf>
    <xf numFmtId="3" fontId="13" fillId="0" borderId="36" xfId="0" applyNumberFormat="1" applyFont="1" applyBorder="1" applyAlignment="1">
      <alignment horizontal="right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49" fontId="10" fillId="0" borderId="24" xfId="0" applyNumberFormat="1" applyFont="1" applyBorder="1" applyAlignment="1">
      <alignment horizontal="center" vertical="center" wrapText="1" shrinkToFit="1"/>
    </xf>
    <xf numFmtId="49" fontId="10" fillId="0" borderId="32" xfId="0" applyNumberFormat="1" applyFont="1" applyBorder="1" applyAlignment="1">
      <alignment horizontal="center" vertical="center" wrapText="1" shrinkToFit="1"/>
    </xf>
    <xf numFmtId="49" fontId="15" fillId="0" borderId="32" xfId="0" applyNumberFormat="1" applyFont="1" applyBorder="1" applyAlignment="1">
      <alignment horizontal="center" vertical="center" wrapText="1" shrinkToFit="1"/>
    </xf>
    <xf numFmtId="49" fontId="41" fillId="0" borderId="24" xfId="0" applyNumberFormat="1" applyFont="1" applyBorder="1" applyAlignment="1">
      <alignment horizontal="center" vertical="center" wrapText="1" shrinkToFit="1"/>
    </xf>
    <xf numFmtId="3" fontId="8" fillId="2" borderId="37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 shrinkToFit="1"/>
    </xf>
    <xf numFmtId="3" fontId="14" fillId="0" borderId="23" xfId="1" applyNumberFormat="1" applyFont="1" applyBorder="1" applyAlignment="1">
      <alignment horizontal="right" vertical="center" wrapText="1"/>
    </xf>
    <xf numFmtId="3" fontId="14" fillId="3" borderId="24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1" fontId="13" fillId="0" borderId="26" xfId="1" applyNumberFormat="1" applyFont="1" applyBorder="1" applyAlignment="1">
      <alignment vertical="center"/>
    </xf>
    <xf numFmtId="0" fontId="13" fillId="0" borderId="26" xfId="1" applyFont="1" applyBorder="1" applyAlignment="1">
      <alignment vertical="center"/>
    </xf>
    <xf numFmtId="1" fontId="12" fillId="0" borderId="46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11" borderId="26" xfId="0" applyFont="1" applyFill="1" applyBorder="1" applyAlignment="1">
      <alignment horizontal="right" vertical="center"/>
    </xf>
    <xf numFmtId="1" fontId="13" fillId="3" borderId="32" xfId="0" applyNumberFormat="1" applyFont="1" applyFill="1" applyBorder="1" applyAlignment="1">
      <alignment horizontal="right" vertical="center"/>
    </xf>
    <xf numFmtId="1" fontId="13" fillId="11" borderId="32" xfId="0" applyNumberFormat="1" applyFont="1" applyFill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6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3" fontId="13" fillId="0" borderId="13" xfId="1" applyNumberFormat="1" applyFont="1" applyBorder="1" applyAlignment="1">
      <alignment vertical="center"/>
    </xf>
    <xf numFmtId="3" fontId="12" fillId="0" borderId="57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12" fillId="11" borderId="13" xfId="0" applyNumberFormat="1" applyFont="1" applyFill="1" applyBorder="1" applyAlignment="1">
      <alignment horizontal="right" vertical="center"/>
    </xf>
    <xf numFmtId="3" fontId="13" fillId="3" borderId="44" xfId="0" applyNumberFormat="1" applyFont="1" applyFill="1" applyBorder="1" applyAlignment="1">
      <alignment horizontal="right" vertical="center"/>
    </xf>
    <xf numFmtId="3" fontId="13" fillId="11" borderId="44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0" fontId="50" fillId="0" borderId="32" xfId="0" applyFont="1" applyBorder="1" applyAlignment="1">
      <alignment horizontal="center" vertical="center" wrapText="1"/>
    </xf>
    <xf numFmtId="0" fontId="46" fillId="0" borderId="31" xfId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 shrinkToFit="1"/>
    </xf>
    <xf numFmtId="0" fontId="45" fillId="2" borderId="32" xfId="0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3" fontId="15" fillId="2" borderId="26" xfId="1" applyNumberFormat="1" applyFont="1" applyFill="1" applyBorder="1" applyAlignment="1">
      <alignment vertical="center" wrapText="1"/>
    </xf>
    <xf numFmtId="3" fontId="15" fillId="2" borderId="23" xfId="1" applyNumberFormat="1" applyFont="1" applyFill="1" applyBorder="1" applyAlignment="1">
      <alignment vertical="center" wrapText="1"/>
    </xf>
    <xf numFmtId="3" fontId="14" fillId="2" borderId="46" xfId="0" applyNumberFormat="1" applyFont="1" applyFill="1" applyBorder="1" applyAlignment="1">
      <alignment vertical="center" wrapText="1"/>
    </xf>
    <xf numFmtId="3" fontId="14" fillId="2" borderId="20" xfId="0" applyNumberFormat="1" applyFont="1" applyFill="1" applyBorder="1" applyAlignment="1">
      <alignment vertical="center" wrapText="1"/>
    </xf>
    <xf numFmtId="3" fontId="14" fillId="2" borderId="40" xfId="0" applyNumberFormat="1" applyFont="1" applyFill="1" applyBorder="1" applyAlignment="1">
      <alignment vertical="center" wrapText="1"/>
    </xf>
    <xf numFmtId="3" fontId="14" fillId="2" borderId="23" xfId="0" applyNumberFormat="1" applyFont="1" applyFill="1" applyBorder="1" applyAlignment="1">
      <alignment horizontal="right" vertical="center" wrapText="1"/>
    </xf>
    <xf numFmtId="3" fontId="15" fillId="2" borderId="23" xfId="0" applyNumberFormat="1" applyFont="1" applyFill="1" applyBorder="1" applyAlignment="1">
      <alignment horizontal="right" vertical="center" wrapText="1"/>
    </xf>
    <xf numFmtId="3" fontId="14" fillId="2" borderId="37" xfId="0" applyNumberFormat="1" applyFont="1" applyFill="1" applyBorder="1" applyAlignment="1">
      <alignment vertical="center" wrapText="1"/>
    </xf>
    <xf numFmtId="3" fontId="14" fillId="2" borderId="46" xfId="0" applyNumberFormat="1" applyFont="1" applyFill="1" applyBorder="1" applyAlignment="1">
      <alignment horizontal="right" vertical="center" wrapText="1"/>
    </xf>
    <xf numFmtId="3" fontId="14" fillId="2" borderId="20" xfId="0" applyNumberFormat="1" applyFont="1" applyFill="1" applyBorder="1" applyAlignment="1">
      <alignment horizontal="right" vertical="center" wrapText="1"/>
    </xf>
    <xf numFmtId="3" fontId="14" fillId="2" borderId="43" xfId="0" applyNumberFormat="1" applyFont="1" applyFill="1" applyBorder="1" applyAlignment="1">
      <alignment horizontal="right" vertical="center" wrapText="1"/>
    </xf>
    <xf numFmtId="3" fontId="14" fillId="2" borderId="36" xfId="0" applyNumberFormat="1" applyFont="1" applyFill="1" applyBorder="1" applyAlignment="1">
      <alignment vertical="center" wrapText="1"/>
    </xf>
    <xf numFmtId="3" fontId="14" fillId="2" borderId="32" xfId="0" applyNumberFormat="1" applyFont="1" applyFill="1" applyBorder="1" applyAlignment="1">
      <alignment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/>
    </xf>
    <xf numFmtId="0" fontId="46" fillId="0" borderId="12" xfId="1" applyFont="1" applyBorder="1" applyAlignment="1">
      <alignment horizontal="center" vertical="center" wrapText="1"/>
    </xf>
    <xf numFmtId="3" fontId="13" fillId="0" borderId="18" xfId="1" applyNumberFormat="1" applyFont="1" applyBorder="1" applyAlignment="1">
      <alignment vertical="center" wrapText="1"/>
    </xf>
    <xf numFmtId="3" fontId="13" fillId="0" borderId="18" xfId="1" applyNumberFormat="1" applyFont="1" applyBorder="1" applyAlignment="1">
      <alignment horizontal="right"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3" fontId="12" fillId="11" borderId="18" xfId="0" applyNumberFormat="1" applyFont="1" applyFill="1" applyBorder="1" applyAlignment="1">
      <alignment horizontal="right" vertical="center" wrapText="1"/>
    </xf>
    <xf numFmtId="3" fontId="13" fillId="3" borderId="18" xfId="0" applyNumberFormat="1" applyFont="1" applyFill="1" applyBorder="1" applyAlignment="1">
      <alignment horizontal="right" vertical="center" wrapText="1"/>
    </xf>
    <xf numFmtId="3" fontId="13" fillId="11" borderId="18" xfId="0" applyNumberFormat="1" applyFont="1" applyFill="1" applyBorder="1" applyAlignment="1">
      <alignment horizontal="right" vertical="center" wrapText="1"/>
    </xf>
    <xf numFmtId="3" fontId="12" fillId="0" borderId="54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horizontal="right" vertical="center" wrapText="1"/>
    </xf>
    <xf numFmtId="3" fontId="12" fillId="0" borderId="38" xfId="0" applyNumberFormat="1" applyFont="1" applyBorder="1" applyAlignment="1">
      <alignment horizontal="right" vertical="center" wrapText="1"/>
    </xf>
    <xf numFmtId="3" fontId="12" fillId="0" borderId="55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3" fontId="13" fillId="3" borderId="29" xfId="0" applyNumberFormat="1" applyFont="1" applyFill="1" applyBorder="1" applyAlignment="1">
      <alignment horizontal="right" vertical="center" wrapText="1"/>
    </xf>
    <xf numFmtId="3" fontId="15" fillId="3" borderId="9" xfId="0" applyNumberFormat="1" applyFont="1" applyFill="1" applyBorder="1" applyAlignment="1">
      <alignment horizontal="right" vertical="center" wrapText="1"/>
    </xf>
    <xf numFmtId="3" fontId="10" fillId="0" borderId="12" xfId="1" applyNumberFormat="1" applyFont="1" applyBorder="1" applyAlignment="1">
      <alignment vertical="center" wrapText="1"/>
    </xf>
    <xf numFmtId="3" fontId="13" fillId="0" borderId="31" xfId="1" applyNumberFormat="1" applyFont="1" applyBorder="1" applyAlignment="1">
      <alignment horizontal="right" vertical="center" wrapText="1"/>
    </xf>
    <xf numFmtId="3" fontId="10" fillId="0" borderId="31" xfId="1" applyNumberFormat="1" applyFont="1" applyBorder="1" applyAlignment="1">
      <alignment horizontal="right" vertical="center" wrapText="1"/>
    </xf>
    <xf numFmtId="3" fontId="10" fillId="0" borderId="15" xfId="1" applyNumberFormat="1" applyFont="1" applyBorder="1" applyAlignment="1">
      <alignment horizontal="right" vertical="center" wrapText="1"/>
    </xf>
    <xf numFmtId="3" fontId="10" fillId="0" borderId="12" xfId="1" applyNumberFormat="1" applyFont="1" applyBorder="1" applyAlignment="1">
      <alignment horizontal="right" vertical="center" wrapText="1"/>
    </xf>
    <xf numFmtId="3" fontId="13" fillId="2" borderId="25" xfId="1" applyNumberFormat="1" applyFont="1" applyFill="1" applyBorder="1" applyAlignment="1">
      <alignment vertical="center" wrapText="1"/>
    </xf>
    <xf numFmtId="3" fontId="10" fillId="2" borderId="31" xfId="1" applyNumberFormat="1" applyFont="1" applyFill="1" applyBorder="1" applyAlignment="1">
      <alignment vertical="center" wrapText="1"/>
    </xf>
    <xf numFmtId="3" fontId="10" fillId="2" borderId="12" xfId="1" applyNumberFormat="1" applyFont="1" applyFill="1" applyBorder="1" applyAlignment="1">
      <alignment vertical="center" wrapText="1"/>
    </xf>
    <xf numFmtId="3" fontId="41" fillId="0" borderId="4" xfId="1" applyNumberFormat="1" applyFont="1" applyBorder="1" applyAlignment="1">
      <alignment vertical="center" wrapText="1"/>
    </xf>
    <xf numFmtId="3" fontId="10" fillId="2" borderId="31" xfId="1" applyNumberFormat="1" applyFont="1" applyFill="1" applyBorder="1" applyAlignment="1">
      <alignment horizontal="right" vertical="center" wrapText="1"/>
    </xf>
    <xf numFmtId="3" fontId="13" fillId="0" borderId="25" xfId="1" applyNumberFormat="1" applyFont="1" applyBorder="1" applyAlignment="1">
      <alignment horizontal="right" vertical="center" wrapText="1"/>
    </xf>
    <xf numFmtId="3" fontId="15" fillId="0" borderId="25" xfId="1" applyNumberFormat="1" applyFont="1" applyBorder="1" applyAlignment="1">
      <alignment horizontal="right" vertical="center" wrapText="1"/>
    </xf>
    <xf numFmtId="3" fontId="41" fillId="0" borderId="25" xfId="1" applyNumberFormat="1" applyFont="1" applyBorder="1" applyAlignment="1">
      <alignment horizontal="right" vertical="center" wrapText="1"/>
    </xf>
    <xf numFmtId="3" fontId="15" fillId="0" borderId="31" xfId="1" applyNumberFormat="1" applyFont="1" applyBorder="1" applyAlignment="1">
      <alignment horizontal="right" vertical="center" wrapText="1"/>
    </xf>
    <xf numFmtId="3" fontId="41" fillId="0" borderId="30" xfId="1" applyNumberFormat="1" applyFont="1" applyBorder="1" applyAlignment="1">
      <alignment horizontal="right" vertical="center" wrapText="1"/>
    </xf>
    <xf numFmtId="3" fontId="10" fillId="0" borderId="30" xfId="1" applyNumberFormat="1" applyFont="1" applyBorder="1" applyAlignment="1">
      <alignment horizontal="right" vertical="center" wrapText="1"/>
    </xf>
    <xf numFmtId="3" fontId="15" fillId="0" borderId="12" xfId="1" applyNumberFormat="1" applyFont="1" applyBorder="1" applyAlignment="1">
      <alignment horizontal="right" vertical="center" wrapText="1"/>
    </xf>
    <xf numFmtId="3" fontId="13" fillId="0" borderId="31" xfId="1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15" fillId="0" borderId="25" xfId="1" applyNumberFormat="1" applyFont="1" applyBorder="1" applyAlignment="1">
      <alignment vertical="center" wrapText="1"/>
    </xf>
    <xf numFmtId="3" fontId="13" fillId="0" borderId="25" xfId="1" applyNumberFormat="1" applyFont="1" applyBorder="1" applyAlignment="1">
      <alignment vertical="center" wrapText="1"/>
    </xf>
    <xf numFmtId="3" fontId="10" fillId="2" borderId="25" xfId="0" applyNumberFormat="1" applyFont="1" applyFill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3" fontId="14" fillId="0" borderId="12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 wrapText="1"/>
    </xf>
    <xf numFmtId="3" fontId="10" fillId="0" borderId="15" xfId="1" applyNumberFormat="1" applyFont="1" applyBorder="1" applyAlignment="1">
      <alignment vertical="center" wrapText="1"/>
    </xf>
    <xf numFmtId="3" fontId="41" fillId="0" borderId="25" xfId="1" applyNumberFormat="1" applyFont="1" applyBorder="1" applyAlignment="1">
      <alignment vertical="center" wrapText="1"/>
    </xf>
    <xf numFmtId="3" fontId="10" fillId="2" borderId="30" xfId="1" applyNumberFormat="1" applyFont="1" applyFill="1" applyBorder="1" applyAlignment="1">
      <alignment vertical="center"/>
    </xf>
    <xf numFmtId="3" fontId="10" fillId="0" borderId="12" xfId="1" applyNumberFormat="1" applyFont="1" applyBorder="1" applyAlignment="1">
      <alignment vertical="center"/>
    </xf>
    <xf numFmtId="3" fontId="15" fillId="0" borderId="25" xfId="1" applyNumberFormat="1" applyFont="1" applyBorder="1" applyAlignment="1">
      <alignment vertical="center"/>
    </xf>
    <xf numFmtId="3" fontId="15" fillId="0" borderId="30" xfId="1" applyNumberFormat="1" applyFont="1" applyBorder="1" applyAlignment="1">
      <alignment vertical="center"/>
    </xf>
    <xf numFmtId="3" fontId="41" fillId="0" borderId="25" xfId="1" applyNumberFormat="1" applyFont="1" applyBorder="1" applyAlignment="1">
      <alignment vertical="center"/>
    </xf>
    <xf numFmtId="3" fontId="41" fillId="0" borderId="31" xfId="1" applyNumberFormat="1" applyFont="1" applyBorder="1" applyAlignment="1">
      <alignment vertical="center"/>
    </xf>
    <xf numFmtId="3" fontId="10" fillId="0" borderId="2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3" fontId="13" fillId="0" borderId="31" xfId="1" applyNumberFormat="1" applyFont="1" applyBorder="1" applyAlignment="1">
      <alignment vertical="center"/>
    </xf>
    <xf numFmtId="3" fontId="15" fillId="0" borderId="31" xfId="1" applyNumberFormat="1" applyFont="1" applyBorder="1" applyAlignment="1">
      <alignment vertical="center"/>
    </xf>
    <xf numFmtId="3" fontId="41" fillId="0" borderId="31" xfId="1" applyNumberFormat="1" applyFont="1" applyBorder="1" applyAlignment="1">
      <alignment vertical="center" wrapText="1"/>
    </xf>
    <xf numFmtId="0" fontId="13" fillId="0" borderId="31" xfId="1" applyFont="1" applyBorder="1" applyAlignment="1">
      <alignment vertical="center"/>
    </xf>
    <xf numFmtId="3" fontId="10" fillId="0" borderId="15" xfId="1" applyNumberFormat="1" applyFont="1" applyBorder="1" applyAlignment="1">
      <alignment vertical="center"/>
    </xf>
    <xf numFmtId="3" fontId="41" fillId="0" borderId="28" xfId="1" applyNumberFormat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3" fontId="41" fillId="0" borderId="34" xfId="1" applyNumberFormat="1" applyFont="1" applyBorder="1" applyAlignment="1">
      <alignment vertical="center"/>
    </xf>
    <xf numFmtId="3" fontId="15" fillId="0" borderId="34" xfId="1" applyNumberFormat="1" applyFont="1" applyBorder="1" applyAlignment="1">
      <alignment vertical="center"/>
    </xf>
    <xf numFmtId="3" fontId="10" fillId="5" borderId="34" xfId="1" applyNumberFormat="1" applyFont="1" applyFill="1" applyBorder="1" applyAlignment="1">
      <alignment vertical="center"/>
    </xf>
    <xf numFmtId="3" fontId="15" fillId="2" borderId="25" xfId="1" applyNumberFormat="1" applyFont="1" applyFill="1" applyBorder="1" applyAlignment="1">
      <alignment vertical="center" wrapText="1"/>
    </xf>
    <xf numFmtId="3" fontId="13" fillId="0" borderId="12" xfId="1" applyNumberFormat="1" applyFont="1" applyBorder="1" applyAlignment="1">
      <alignment horizontal="right" vertical="center" wrapText="1"/>
    </xf>
    <xf numFmtId="3" fontId="10" fillId="0" borderId="4" xfId="1" applyNumberFormat="1" applyFont="1" applyBorder="1" applyAlignment="1">
      <alignment vertical="center" wrapText="1"/>
    </xf>
    <xf numFmtId="3" fontId="14" fillId="0" borderId="25" xfId="1" applyNumberFormat="1" applyFont="1" applyBorder="1" applyAlignment="1">
      <alignment horizontal="right" vertical="center" wrapText="1"/>
    </xf>
    <xf numFmtId="3" fontId="18" fillId="0" borderId="25" xfId="1" applyNumberFormat="1" applyFont="1" applyBorder="1" applyAlignment="1">
      <alignment vertical="center"/>
    </xf>
    <xf numFmtId="3" fontId="10" fillId="2" borderId="25" xfId="1" applyNumberFormat="1" applyFont="1" applyFill="1" applyBorder="1" applyAlignment="1">
      <alignment vertical="center"/>
    </xf>
    <xf numFmtId="3" fontId="15" fillId="0" borderId="15" xfId="1" applyNumberFormat="1" applyFont="1" applyBorder="1" applyAlignment="1">
      <alignment vertical="center"/>
    </xf>
    <xf numFmtId="3" fontId="13" fillId="0" borderId="25" xfId="1" applyNumberFormat="1" applyFont="1" applyBorder="1" applyAlignment="1">
      <alignment vertical="center"/>
    </xf>
    <xf numFmtId="3" fontId="15" fillId="0" borderId="4" xfId="1" applyNumberFormat="1" applyFont="1" applyBorder="1" applyAlignment="1">
      <alignment horizontal="right" vertical="center" wrapText="1"/>
    </xf>
    <xf numFmtId="3" fontId="10" fillId="2" borderId="15" xfId="1" applyNumberFormat="1" applyFont="1" applyFill="1" applyBorder="1" applyAlignment="1">
      <alignment horizontal="right" vertical="center" wrapText="1"/>
    </xf>
    <xf numFmtId="3" fontId="18" fillId="0" borderId="1" xfId="1" applyNumberFormat="1" applyFont="1" applyBorder="1" applyAlignment="1">
      <alignment horizontal="right" vertical="center" wrapText="1"/>
    </xf>
    <xf numFmtId="3" fontId="17" fillId="0" borderId="36" xfId="0" applyNumberFormat="1" applyFont="1" applyBorder="1" applyAlignment="1">
      <alignment horizontal="right" vertical="center" wrapText="1"/>
    </xf>
    <xf numFmtId="3" fontId="17" fillId="0" borderId="5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/>
    </xf>
    <xf numFmtId="49" fontId="10" fillId="5" borderId="23" xfId="0" applyNumberFormat="1" applyFont="1" applyFill="1" applyBorder="1" applyAlignment="1">
      <alignment horizontal="center" vertical="center" wrapText="1"/>
    </xf>
    <xf numFmtId="49" fontId="10" fillId="5" borderId="23" xfId="0" applyNumberFormat="1" applyFont="1" applyFill="1" applyBorder="1" applyAlignment="1">
      <alignment horizontal="center" vertical="center" wrapText="1" shrinkToFit="1"/>
    </xf>
    <xf numFmtId="2" fontId="9" fillId="5" borderId="49" xfId="0" applyNumberFormat="1" applyFont="1" applyFill="1" applyBorder="1" applyAlignment="1">
      <alignment horizontal="center" vertical="center" wrapText="1"/>
    </xf>
    <xf numFmtId="3" fontId="8" fillId="5" borderId="56" xfId="0" applyNumberFormat="1" applyFont="1" applyFill="1" applyBorder="1" applyAlignment="1">
      <alignment horizontal="right" vertical="center" wrapText="1"/>
    </xf>
    <xf numFmtId="3" fontId="8" fillId="5" borderId="21" xfId="0" applyNumberFormat="1" applyFont="1" applyFill="1" applyBorder="1" applyAlignment="1">
      <alignment horizontal="right" vertical="center" wrapText="1"/>
    </xf>
    <xf numFmtId="3" fontId="8" fillId="5" borderId="72" xfId="0" applyNumberFormat="1" applyFont="1" applyFill="1" applyBorder="1" applyAlignment="1">
      <alignment horizontal="right" vertical="center" wrapText="1"/>
    </xf>
    <xf numFmtId="3" fontId="8" fillId="5" borderId="23" xfId="0" applyNumberFormat="1" applyFont="1" applyFill="1" applyBorder="1" applyAlignment="1">
      <alignment horizontal="right" vertical="center" wrapText="1"/>
    </xf>
    <xf numFmtId="3" fontId="10" fillId="5" borderId="23" xfId="0" applyNumberFormat="1" applyFont="1" applyFill="1" applyBorder="1" applyAlignment="1">
      <alignment horizontal="right" vertical="center" wrapText="1"/>
    </xf>
    <xf numFmtId="3" fontId="8" fillId="5" borderId="24" xfId="0" applyNumberFormat="1" applyFont="1" applyFill="1" applyBorder="1" applyAlignment="1">
      <alignment horizontal="right" vertical="center" wrapText="1"/>
    </xf>
    <xf numFmtId="3" fontId="10" fillId="5" borderId="56" xfId="0" applyNumberFormat="1" applyFont="1" applyFill="1" applyBorder="1" applyAlignment="1">
      <alignment horizontal="right" vertical="center" wrapText="1"/>
    </xf>
    <xf numFmtId="3" fontId="8" fillId="5" borderId="43" xfId="0" applyNumberFormat="1" applyFont="1" applyFill="1" applyBorder="1" applyAlignment="1">
      <alignment horizontal="right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2" fontId="9" fillId="0" borderId="59" xfId="0" applyNumberFormat="1" applyFont="1" applyBorder="1" applyAlignment="1">
      <alignment horizontal="center" vertical="center" wrapText="1"/>
    </xf>
    <xf numFmtId="3" fontId="41" fillId="0" borderId="2" xfId="1" applyNumberFormat="1" applyFont="1" applyBorder="1" applyAlignment="1">
      <alignment horizontal="right" vertical="center" wrapText="1"/>
    </xf>
    <xf numFmtId="0" fontId="22" fillId="14" borderId="54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3" fontId="35" fillId="4" borderId="21" xfId="0" applyNumberFormat="1" applyFont="1" applyFill="1" applyBorder="1" applyAlignment="1">
      <alignment horizontal="right" vertical="center"/>
    </xf>
    <xf numFmtId="3" fontId="36" fillId="4" borderId="21" xfId="0" applyNumberFormat="1" applyFont="1" applyFill="1" applyBorder="1" applyAlignment="1">
      <alignment vertical="center"/>
    </xf>
    <xf numFmtId="3" fontId="36" fillId="4" borderId="72" xfId="0" applyNumberFormat="1" applyFont="1" applyFill="1" applyBorder="1" applyAlignment="1">
      <alignment vertical="center"/>
    </xf>
    <xf numFmtId="0" fontId="8" fillId="4" borderId="30" xfId="0" applyFont="1" applyFill="1" applyBorder="1" applyAlignment="1">
      <alignment horizontal="left" vertical="center"/>
    </xf>
    <xf numFmtId="0" fontId="8" fillId="4" borderId="71" xfId="0" applyFont="1" applyFill="1" applyBorder="1" applyAlignment="1">
      <alignment horizontal="left" vertical="center" wrapText="1"/>
    </xf>
    <xf numFmtId="3" fontId="36" fillId="4" borderId="63" xfId="0" applyNumberFormat="1" applyFont="1" applyFill="1" applyBorder="1" applyAlignment="1">
      <alignment vertical="center"/>
    </xf>
    <xf numFmtId="0" fontId="36" fillId="4" borderId="64" xfId="0" applyFont="1" applyFill="1" applyBorder="1" applyAlignment="1">
      <alignment vertical="center"/>
    </xf>
    <xf numFmtId="3" fontId="35" fillId="4" borderId="54" xfId="0" applyNumberFormat="1" applyFont="1" applyFill="1" applyBorder="1" applyAlignment="1">
      <alignment horizontal="right" vertical="center"/>
    </xf>
    <xf numFmtId="3" fontId="35" fillId="4" borderId="55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0" fillId="0" borderId="21" xfId="0" applyBorder="1"/>
    <xf numFmtId="0" fontId="22" fillId="0" borderId="72" xfId="0" applyFont="1" applyBorder="1" applyAlignment="1">
      <alignment horizontal="center" vertical="center"/>
    </xf>
    <xf numFmtId="3" fontId="35" fillId="14" borderId="47" xfId="0" applyNumberFormat="1" applyFont="1" applyFill="1" applyBorder="1" applyAlignment="1">
      <alignment horizontal="right" vertical="center"/>
    </xf>
    <xf numFmtId="3" fontId="31" fillId="7" borderId="47" xfId="0" applyNumberFormat="1" applyFont="1" applyFill="1" applyBorder="1" applyAlignment="1">
      <alignment vertical="center"/>
    </xf>
    <xf numFmtId="3" fontId="31" fillId="7" borderId="17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14" xfId="0" applyNumberFormat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0" fillId="15" borderId="2" xfId="1" applyFont="1" applyFill="1" applyBorder="1" applyAlignment="1">
      <alignment horizontal="center" vertical="center" wrapText="1"/>
    </xf>
    <xf numFmtId="0" fontId="10" fillId="15" borderId="13" xfId="1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4" fontId="10" fillId="15" borderId="10" xfId="0" applyNumberFormat="1" applyFont="1" applyFill="1" applyBorder="1" applyAlignment="1">
      <alignment horizontal="center" vertical="center" wrapText="1"/>
    </xf>
    <xf numFmtId="4" fontId="10" fillId="15" borderId="7" xfId="0" applyNumberFormat="1" applyFont="1" applyFill="1" applyBorder="1" applyAlignment="1">
      <alignment horizontal="center" vertical="center" wrapText="1"/>
    </xf>
    <xf numFmtId="4" fontId="10" fillId="15" borderId="11" xfId="0" applyNumberFormat="1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4" fontId="10" fillId="10" borderId="13" xfId="0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horizontal="center" vertical="center" wrapText="1"/>
    </xf>
    <xf numFmtId="49" fontId="10" fillId="6" borderId="30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4" fontId="10" fillId="12" borderId="12" xfId="0" applyNumberFormat="1" applyFont="1" applyFill="1" applyBorder="1" applyAlignment="1">
      <alignment horizontal="center" vertical="center" wrapText="1"/>
    </xf>
    <xf numFmtId="4" fontId="10" fillId="12" borderId="5" xfId="0" applyNumberFormat="1" applyFont="1" applyFill="1" applyBorder="1" applyAlignment="1">
      <alignment horizontal="center" vertical="center" wrapText="1"/>
    </xf>
    <xf numFmtId="4" fontId="10" fillId="12" borderId="6" xfId="0" applyNumberFormat="1" applyFont="1" applyFill="1" applyBorder="1" applyAlignment="1">
      <alignment horizontal="center" vertical="center" wrapText="1"/>
    </xf>
    <xf numFmtId="168" fontId="10" fillId="6" borderId="33" xfId="0" applyNumberFormat="1" applyFont="1" applyFill="1" applyBorder="1" applyAlignment="1">
      <alignment horizontal="center" vertical="center" wrapText="1"/>
    </xf>
    <xf numFmtId="168" fontId="10" fillId="6" borderId="14" xfId="0" applyNumberFormat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10" fillId="13" borderId="14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3" fontId="11" fillId="6" borderId="5" xfId="1" applyNumberFormat="1" applyFont="1" applyFill="1" applyBorder="1" applyAlignment="1">
      <alignment horizontal="center" vertical="center"/>
    </xf>
    <xf numFmtId="3" fontId="11" fillId="6" borderId="6" xfId="1" applyNumberFormat="1" applyFont="1" applyFill="1" applyBorder="1" applyAlignment="1">
      <alignment horizontal="center" vertical="center"/>
    </xf>
    <xf numFmtId="168" fontId="10" fillId="6" borderId="2" xfId="0" applyNumberFormat="1" applyFont="1" applyFill="1" applyBorder="1" applyAlignment="1">
      <alignment horizontal="center" vertical="center" wrapText="1"/>
    </xf>
    <xf numFmtId="168" fontId="10" fillId="6" borderId="13" xfId="0" applyNumberFormat="1" applyFont="1" applyFill="1" applyBorder="1" applyAlignment="1">
      <alignment horizontal="center" vertical="center" wrapText="1"/>
    </xf>
    <xf numFmtId="49" fontId="10" fillId="5" borderId="31" xfId="0" applyNumberFormat="1" applyFont="1" applyFill="1" applyBorder="1" applyAlignment="1">
      <alignment horizontal="center" vertical="center"/>
    </xf>
    <xf numFmtId="49" fontId="10" fillId="5" borderId="32" xfId="0" applyNumberFormat="1" applyFont="1" applyFill="1" applyBorder="1" applyAlignment="1">
      <alignment horizontal="center" vertical="center"/>
    </xf>
    <xf numFmtId="49" fontId="10" fillId="5" borderId="31" xfId="0" applyNumberFormat="1" applyFont="1" applyFill="1" applyBorder="1" applyAlignment="1">
      <alignment horizontal="center" vertical="center" wrapText="1"/>
    </xf>
    <xf numFmtId="49" fontId="10" fillId="5" borderId="32" xfId="0" applyNumberFormat="1" applyFont="1" applyFill="1" applyBorder="1" applyAlignment="1">
      <alignment horizontal="center" vertical="center" wrapText="1"/>
    </xf>
    <xf numFmtId="0" fontId="34" fillId="14" borderId="53" xfId="0" applyFont="1" applyFill="1" applyBorder="1" applyAlignment="1">
      <alignment horizontal="left" vertical="center"/>
    </xf>
    <xf numFmtId="0" fontId="34" fillId="14" borderId="54" xfId="0" applyFont="1" applyFill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4" fillId="14" borderId="57" xfId="0" applyFont="1" applyFill="1" applyBorder="1" applyAlignment="1">
      <alignment horizontal="left" vertical="center"/>
    </xf>
    <xf numFmtId="0" fontId="34" fillId="14" borderId="47" xfId="0" applyFont="1" applyFill="1" applyBorder="1" applyAlignment="1">
      <alignment horizontal="left" vertical="center"/>
    </xf>
    <xf numFmtId="0" fontId="34" fillId="14" borderId="1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19" fillId="4" borderId="56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</cellXfs>
  <cellStyles count="43">
    <cellStyle name="Čárka 2" xfId="9" xr:uid="{00000000-0005-0000-0000-000000000000}"/>
    <cellStyle name="Čárka 2 2" xfId="14" xr:uid="{00000000-0005-0000-0000-000001000000}"/>
    <cellStyle name="Čárka 2 2 2" xfId="23" xr:uid="{00000000-0005-0000-0000-000002000000}"/>
    <cellStyle name="Čárka 2 2 2 2" xfId="41" xr:uid="{00000000-0005-0000-0000-000003000000}"/>
    <cellStyle name="Čárka 2 2 3" xfId="32" xr:uid="{00000000-0005-0000-0000-000004000000}"/>
    <cellStyle name="Čárka 2 3" xfId="8" xr:uid="{00000000-0005-0000-0000-000005000000}"/>
    <cellStyle name="Čárka 2 3 2" xfId="18" xr:uid="{00000000-0005-0000-0000-000006000000}"/>
    <cellStyle name="Čárka 2 3 2 2" xfId="36" xr:uid="{00000000-0005-0000-0000-000007000000}"/>
    <cellStyle name="Čárka 2 3 3" xfId="27" xr:uid="{00000000-0005-0000-0000-000008000000}"/>
    <cellStyle name="Čárka 2 4" xfId="19" xr:uid="{00000000-0005-0000-0000-000009000000}"/>
    <cellStyle name="Čárka 2 4 2" xfId="37" xr:uid="{00000000-0005-0000-0000-00000A000000}"/>
    <cellStyle name="Čárka 2 5" xfId="28" xr:uid="{00000000-0005-0000-0000-00000B000000}"/>
    <cellStyle name="Header" xfId="11" xr:uid="{00000000-0005-0000-0000-00000C000000}"/>
    <cellStyle name="Normální" xfId="0" builtinId="0"/>
    <cellStyle name="Normální 10" xfId="3" xr:uid="{00000000-0005-0000-0000-00000E000000}"/>
    <cellStyle name="Normální 10 2" xfId="12" xr:uid="{00000000-0005-0000-0000-00000F000000}"/>
    <cellStyle name="Normální 10 2 2" xfId="21" xr:uid="{00000000-0005-0000-0000-000010000000}"/>
    <cellStyle name="Normální 10 2 2 2" xfId="39" xr:uid="{00000000-0005-0000-0000-000011000000}"/>
    <cellStyle name="Normální 10 2 3" xfId="30" xr:uid="{00000000-0005-0000-0000-000012000000}"/>
    <cellStyle name="Normální 10 3" xfId="16" xr:uid="{00000000-0005-0000-0000-000013000000}"/>
    <cellStyle name="Normální 10 3 2" xfId="34" xr:uid="{00000000-0005-0000-0000-000014000000}"/>
    <cellStyle name="Normální 10 4" xfId="25" xr:uid="{00000000-0005-0000-0000-000015000000}"/>
    <cellStyle name="Normální 2" xfId="2" xr:uid="{00000000-0005-0000-0000-000016000000}"/>
    <cellStyle name="Normální 2 123 2" xfId="6" xr:uid="{00000000-0005-0000-0000-000017000000}"/>
    <cellStyle name="Normální 2 123 2 2" xfId="13" xr:uid="{00000000-0005-0000-0000-000018000000}"/>
    <cellStyle name="Normální 2 123 2 2 2" xfId="22" xr:uid="{00000000-0005-0000-0000-000019000000}"/>
    <cellStyle name="Normální 2 123 2 2 2 2" xfId="40" xr:uid="{00000000-0005-0000-0000-00001A000000}"/>
    <cellStyle name="Normální 2 123 2 2 3" xfId="31" xr:uid="{00000000-0005-0000-0000-00001B000000}"/>
    <cellStyle name="Normální 2 123 2 3" xfId="17" xr:uid="{00000000-0005-0000-0000-00001C000000}"/>
    <cellStyle name="Normální 2 123 2 3 2" xfId="35" xr:uid="{00000000-0005-0000-0000-00001D000000}"/>
    <cellStyle name="Normální 2 123 2 4" xfId="26" xr:uid="{00000000-0005-0000-0000-00001E000000}"/>
    <cellStyle name="Normální 2 2" xfId="7" xr:uid="{00000000-0005-0000-0000-00001F000000}"/>
    <cellStyle name="Normální 3" xfId="10" xr:uid="{00000000-0005-0000-0000-000020000000}"/>
    <cellStyle name="Normální 3 2" xfId="15" xr:uid="{00000000-0005-0000-0000-000021000000}"/>
    <cellStyle name="Normální 3 2 2" xfId="24" xr:uid="{00000000-0005-0000-0000-000022000000}"/>
    <cellStyle name="Normální 3 2 2 2" xfId="42" xr:uid="{00000000-0005-0000-0000-000023000000}"/>
    <cellStyle name="Normální 3 2 3" xfId="33" xr:uid="{00000000-0005-0000-0000-000024000000}"/>
    <cellStyle name="Normální 3 3" xfId="20" xr:uid="{00000000-0005-0000-0000-000025000000}"/>
    <cellStyle name="Normální 3 3 2" xfId="38" xr:uid="{00000000-0005-0000-0000-000026000000}"/>
    <cellStyle name="Normální 3 4" xfId="29" xr:uid="{00000000-0005-0000-0000-000027000000}"/>
    <cellStyle name="Normální 31" xfId="5" xr:uid="{00000000-0005-0000-0000-000028000000}"/>
    <cellStyle name="Normální 5" xfId="4" xr:uid="{00000000-0005-0000-0000-000029000000}"/>
    <cellStyle name="normální_List1" xfId="1" xr:uid="{00000000-0005-0000-0000-00002B000000}"/>
  </cellStyles>
  <dxfs count="0"/>
  <tableStyles count="0" defaultTableStyle="TableStyleMedium2" defaultPivotStyle="PivotStyleLight16"/>
  <colors>
    <mruColors>
      <color rgb="FFFFFFCC"/>
      <color rgb="FFE4DFEC"/>
      <color rgb="FF0000FB"/>
      <color rgb="FFFFFF99"/>
      <color rgb="FFFFFF66"/>
      <color rgb="FFF38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G474"/>
  <sheetViews>
    <sheetView tabSelected="1" zoomScale="80" zoomScaleNormal="8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A7" sqref="AA7"/>
    </sheetView>
  </sheetViews>
  <sheetFormatPr defaultColWidth="9.140625" defaultRowHeight="15" outlineLevelRow="1" x14ac:dyDescent="0.25"/>
  <cols>
    <col min="1" max="1" width="15" style="74" customWidth="1"/>
    <col min="2" max="2" width="9.42578125" style="74" customWidth="1"/>
    <col min="3" max="3" width="32.5703125" style="326" customWidth="1"/>
    <col min="4" max="5" width="38.7109375" style="74" customWidth="1"/>
    <col min="6" max="6" width="59.140625" style="292" customWidth="1"/>
    <col min="7" max="7" width="12.7109375" style="74" customWidth="1"/>
    <col min="8" max="8" width="11.7109375" style="74" customWidth="1"/>
    <col min="9" max="9" width="11.5703125" style="74" customWidth="1"/>
    <col min="10" max="12" width="8.28515625" style="74" customWidth="1"/>
    <col min="13" max="13" width="9.42578125" style="74" customWidth="1"/>
    <col min="14" max="14" width="12.7109375" style="148" customWidth="1"/>
    <col min="15" max="15" width="9.85546875" style="327" customWidth="1"/>
    <col min="16" max="16" width="12.28515625" style="327" customWidth="1"/>
    <col min="17" max="18" width="11" style="74" customWidth="1"/>
    <col min="19" max="19" width="10.7109375" style="74" customWidth="1"/>
    <col min="20" max="20" width="8.42578125" style="74" customWidth="1"/>
    <col min="21" max="21" width="9.28515625" style="74" customWidth="1"/>
    <col min="22" max="22" width="9.7109375" style="324" customWidth="1"/>
    <col min="23" max="23" width="8.85546875" style="325" customWidth="1"/>
    <col min="24" max="24" width="9.42578125" style="325" customWidth="1"/>
    <col min="25" max="25" width="11.5703125" style="325" customWidth="1"/>
    <col min="26" max="26" width="12" style="325" customWidth="1"/>
    <col min="27" max="27" width="82.140625" style="316" customWidth="1"/>
    <col min="28" max="28" width="13.5703125" style="74" customWidth="1"/>
    <col min="29" max="29" width="15.140625" style="74" customWidth="1"/>
    <col min="30" max="30" width="9.7109375" style="74" customWidth="1"/>
    <col min="31" max="31" width="10" style="74" customWidth="1"/>
    <col min="32" max="32" width="8.140625" style="74" customWidth="1"/>
    <col min="33" max="33" width="14" style="292" customWidth="1"/>
    <col min="34" max="16384" width="9.140625" style="74"/>
  </cols>
  <sheetData>
    <row r="1" spans="1:33" s="315" customFormat="1" ht="29.25" thickBot="1" x14ac:dyDescent="0.3">
      <c r="A1" s="247"/>
      <c r="B1" s="247"/>
      <c r="C1" s="308" t="s">
        <v>870</v>
      </c>
      <c r="D1" s="247"/>
      <c r="E1" s="247"/>
      <c r="F1" s="290"/>
      <c r="G1" s="247"/>
      <c r="H1" s="247"/>
      <c r="I1" s="247"/>
      <c r="J1" s="247"/>
      <c r="K1" s="247"/>
      <c r="L1" s="247"/>
      <c r="M1" s="247"/>
      <c r="N1" s="309"/>
      <c r="O1" s="310"/>
      <c r="P1" s="310"/>
      <c r="Q1" s="247"/>
      <c r="R1" s="247"/>
      <c r="S1" s="247"/>
      <c r="T1" s="247"/>
      <c r="U1" s="247"/>
      <c r="V1" s="311"/>
      <c r="W1" s="312"/>
      <c r="X1" s="312"/>
      <c r="Y1" s="312"/>
      <c r="Z1" s="312"/>
      <c r="AA1" s="313"/>
      <c r="AB1" s="247"/>
      <c r="AC1" s="314" t="s">
        <v>0</v>
      </c>
      <c r="AD1" s="247"/>
      <c r="AE1" s="247"/>
      <c r="AF1" s="247"/>
      <c r="AG1" s="290"/>
    </row>
    <row r="2" spans="1:33" s="315" customFormat="1" ht="15.75" thickBot="1" x14ac:dyDescent="0.3">
      <c r="A2" s="2213" t="s">
        <v>474</v>
      </c>
      <c r="B2" s="2221" t="s">
        <v>1</v>
      </c>
      <c r="C2" s="2205" t="s">
        <v>211</v>
      </c>
      <c r="D2" s="2217" t="s">
        <v>2</v>
      </c>
      <c r="E2" s="2217" t="s">
        <v>3</v>
      </c>
      <c r="F2" s="2177" t="s">
        <v>4</v>
      </c>
      <c r="G2" s="2179" t="s">
        <v>5</v>
      </c>
      <c r="H2" s="2215" t="s">
        <v>477</v>
      </c>
      <c r="I2" s="2215" t="s">
        <v>1440</v>
      </c>
      <c r="J2" s="2210" t="s">
        <v>877</v>
      </c>
      <c r="K2" s="2211"/>
      <c r="L2" s="2211"/>
      <c r="M2" s="2212"/>
      <c r="N2" s="2181" t="s">
        <v>876</v>
      </c>
      <c r="O2" s="2182"/>
      <c r="P2" s="2183"/>
      <c r="Q2" s="2187" t="s">
        <v>875</v>
      </c>
      <c r="R2" s="2187" t="s">
        <v>874</v>
      </c>
      <c r="S2" s="2184" t="s">
        <v>6</v>
      </c>
      <c r="T2" s="2185"/>
      <c r="U2" s="2186"/>
      <c r="V2" s="2210" t="s">
        <v>306</v>
      </c>
      <c r="W2" s="2211"/>
      <c r="X2" s="2211"/>
      <c r="Y2" s="2211"/>
      <c r="Z2" s="2211"/>
      <c r="AA2" s="2191" t="s">
        <v>1445</v>
      </c>
      <c r="AB2" s="2205" t="s">
        <v>254</v>
      </c>
      <c r="AC2" s="2173" t="s">
        <v>208</v>
      </c>
      <c r="AD2" s="2189" t="s">
        <v>113</v>
      </c>
      <c r="AE2" s="2173" t="s">
        <v>114</v>
      </c>
      <c r="AF2" s="2173" t="s">
        <v>1114</v>
      </c>
      <c r="AG2" s="2175" t="s">
        <v>358</v>
      </c>
    </row>
    <row r="3" spans="1:33" s="315" customFormat="1" ht="93.75" customHeight="1" thickBot="1" x14ac:dyDescent="0.3">
      <c r="A3" s="2214"/>
      <c r="B3" s="2222"/>
      <c r="C3" s="2206"/>
      <c r="D3" s="2218"/>
      <c r="E3" s="2218"/>
      <c r="F3" s="2178"/>
      <c r="G3" s="2180"/>
      <c r="H3" s="2216"/>
      <c r="I3" s="2216"/>
      <c r="J3" s="305" t="s">
        <v>195</v>
      </c>
      <c r="K3" s="306" t="s">
        <v>196</v>
      </c>
      <c r="L3" s="306" t="s">
        <v>209</v>
      </c>
      <c r="M3" s="587" t="s">
        <v>210</v>
      </c>
      <c r="N3" s="279" t="s">
        <v>479</v>
      </c>
      <c r="O3" s="278" t="s">
        <v>7</v>
      </c>
      <c r="P3" s="279" t="s">
        <v>236</v>
      </c>
      <c r="Q3" s="2188"/>
      <c r="R3" s="2188"/>
      <c r="S3" s="329" t="s">
        <v>167</v>
      </c>
      <c r="T3" s="329" t="s">
        <v>278</v>
      </c>
      <c r="U3" s="330" t="s">
        <v>166</v>
      </c>
      <c r="V3" s="331" t="s">
        <v>126</v>
      </c>
      <c r="W3" s="360" t="s">
        <v>1113</v>
      </c>
      <c r="X3" s="328" t="s">
        <v>873</v>
      </c>
      <c r="Y3" s="307" t="s">
        <v>478</v>
      </c>
      <c r="Z3" s="307" t="s">
        <v>872</v>
      </c>
      <c r="AA3" s="2192"/>
      <c r="AB3" s="2206"/>
      <c r="AC3" s="2174"/>
      <c r="AD3" s="2190"/>
      <c r="AE3" s="2174"/>
      <c r="AF3" s="2174"/>
      <c r="AG3" s="2176"/>
    </row>
    <row r="4" spans="1:33" s="232" customFormat="1" ht="16.5" thickBot="1" x14ac:dyDescent="0.3">
      <c r="A4" s="123"/>
      <c r="B4" s="123"/>
      <c r="C4" s="258"/>
      <c r="D4" s="223"/>
      <c r="E4" s="595" t="s">
        <v>87</v>
      </c>
      <c r="F4" s="589" t="s">
        <v>87</v>
      </c>
      <c r="G4" s="117"/>
      <c r="H4" s="117"/>
      <c r="I4" s="125"/>
      <c r="J4" s="118"/>
      <c r="K4" s="119"/>
      <c r="L4" s="119"/>
      <c r="M4" s="120"/>
      <c r="N4" s="146"/>
      <c r="O4" s="146"/>
      <c r="P4" s="146"/>
      <c r="Q4" s="121"/>
      <c r="R4" s="225"/>
      <c r="S4" s="225"/>
      <c r="T4" s="224"/>
      <c r="U4" s="225"/>
      <c r="V4" s="226"/>
      <c r="W4" s="294"/>
      <c r="X4" s="294"/>
      <c r="Y4" s="294"/>
      <c r="Z4" s="294"/>
      <c r="AA4" s="706"/>
      <c r="AB4" s="126"/>
      <c r="AC4" s="227"/>
      <c r="AD4" s="228"/>
      <c r="AE4" s="228"/>
      <c r="AF4" s="594"/>
      <c r="AG4" s="117"/>
    </row>
    <row r="5" spans="1:33" ht="25.5" outlineLevel="1" x14ac:dyDescent="0.25">
      <c r="A5" s="602" t="s">
        <v>890</v>
      </c>
      <c r="B5" s="599" t="s">
        <v>908</v>
      </c>
      <c r="C5" s="35" t="s">
        <v>163</v>
      </c>
      <c r="D5" s="368" t="s">
        <v>9</v>
      </c>
      <c r="E5" s="1509" t="s">
        <v>9</v>
      </c>
      <c r="F5" s="849" t="s">
        <v>12</v>
      </c>
      <c r="G5" s="622">
        <v>64001.103999999999</v>
      </c>
      <c r="H5" s="622">
        <v>42401.103999999999</v>
      </c>
      <c r="I5" s="182">
        <v>5059.1612500000001</v>
      </c>
      <c r="J5" s="806">
        <v>0</v>
      </c>
      <c r="K5" s="807">
        <v>4962.2516199999991</v>
      </c>
      <c r="L5" s="807">
        <v>0</v>
      </c>
      <c r="M5" s="808">
        <v>11578.58713</v>
      </c>
      <c r="N5" s="731">
        <v>16540.838749999999</v>
      </c>
      <c r="O5" s="759">
        <v>0</v>
      </c>
      <c r="P5" s="346">
        <f t="shared" ref="P5:P18" si="0">N5+O5</f>
        <v>16540.838749999999</v>
      </c>
      <c r="Q5" s="850">
        <v>0</v>
      </c>
      <c r="R5" s="111">
        <v>0</v>
      </c>
      <c r="S5" s="806">
        <v>0</v>
      </c>
      <c r="T5" s="807">
        <v>0</v>
      </c>
      <c r="U5" s="111">
        <v>0</v>
      </c>
      <c r="V5" s="851">
        <v>0</v>
      </c>
      <c r="W5" s="601">
        <v>0</v>
      </c>
      <c r="X5" s="600">
        <v>0</v>
      </c>
      <c r="Y5" s="600">
        <v>0</v>
      </c>
      <c r="Z5" s="626">
        <v>0</v>
      </c>
      <c r="AA5" s="399" t="s">
        <v>882</v>
      </c>
      <c r="AB5" s="33" t="s">
        <v>13</v>
      </c>
      <c r="AC5" s="787" t="s">
        <v>517</v>
      </c>
      <c r="AD5" s="448" t="s">
        <v>119</v>
      </c>
      <c r="AE5" s="448" t="s">
        <v>119</v>
      </c>
      <c r="AF5" s="10" t="s">
        <v>128</v>
      </c>
      <c r="AG5" s="253" t="s">
        <v>112</v>
      </c>
    </row>
    <row r="6" spans="1:33" ht="25.5" outlineLevel="1" x14ac:dyDescent="0.25">
      <c r="A6" s="603" t="s">
        <v>891</v>
      </c>
      <c r="B6" s="593" t="s">
        <v>909</v>
      </c>
      <c r="C6" s="35" t="s">
        <v>163</v>
      </c>
      <c r="D6" s="259" t="s">
        <v>9</v>
      </c>
      <c r="E6" s="825" t="s">
        <v>9</v>
      </c>
      <c r="F6" s="855" t="s">
        <v>391</v>
      </c>
      <c r="G6" s="622">
        <f>5620.748799+400+1000</f>
        <v>7020.748799</v>
      </c>
      <c r="H6" s="622">
        <v>5959.7597999999998</v>
      </c>
      <c r="I6" s="182">
        <v>0</v>
      </c>
      <c r="J6" s="260">
        <v>0</v>
      </c>
      <c r="K6" s="343">
        <v>318.2967000000001</v>
      </c>
      <c r="L6" s="343">
        <v>0</v>
      </c>
      <c r="M6" s="952">
        <v>742.69229999999993</v>
      </c>
      <c r="N6" s="732">
        <v>1060.989</v>
      </c>
      <c r="O6" s="759">
        <v>0</v>
      </c>
      <c r="P6" s="346">
        <f t="shared" si="0"/>
        <v>1060.989</v>
      </c>
      <c r="Q6" s="256">
        <v>0</v>
      </c>
      <c r="R6" s="107">
        <v>0</v>
      </c>
      <c r="S6" s="1956">
        <v>0</v>
      </c>
      <c r="T6" s="1713">
        <v>0</v>
      </c>
      <c r="U6" s="107">
        <v>0</v>
      </c>
      <c r="V6" s="1058">
        <v>0</v>
      </c>
      <c r="W6" s="1957">
        <v>0</v>
      </c>
      <c r="X6" s="852">
        <v>0</v>
      </c>
      <c r="Y6" s="1957">
        <v>0</v>
      </c>
      <c r="Z6" s="1958">
        <v>0</v>
      </c>
      <c r="AA6" s="377" t="s">
        <v>109</v>
      </c>
      <c r="AB6" s="35" t="s">
        <v>13</v>
      </c>
      <c r="AC6" s="787" t="s">
        <v>1132</v>
      </c>
      <c r="AD6" s="448" t="s">
        <v>119</v>
      </c>
      <c r="AE6" s="448" t="s">
        <v>119</v>
      </c>
      <c r="AF6" s="342" t="s">
        <v>127</v>
      </c>
      <c r="AG6" s="259" t="s">
        <v>112</v>
      </c>
    </row>
    <row r="7" spans="1:33" ht="30.75" outlineLevel="1" thickBot="1" x14ac:dyDescent="0.3">
      <c r="A7" s="723" t="s">
        <v>892</v>
      </c>
      <c r="B7" s="16" t="s">
        <v>910</v>
      </c>
      <c r="C7" s="39" t="s">
        <v>14</v>
      </c>
      <c r="D7" s="340" t="s">
        <v>9</v>
      </c>
      <c r="E7" s="1523" t="s">
        <v>9</v>
      </c>
      <c r="F7" s="580" t="s">
        <v>392</v>
      </c>
      <c r="G7" s="649">
        <v>3956</v>
      </c>
      <c r="H7" s="789">
        <v>2834.3588999999997</v>
      </c>
      <c r="I7" s="2107">
        <v>60.5</v>
      </c>
      <c r="J7" s="790">
        <v>0</v>
      </c>
      <c r="K7" s="791">
        <v>318.34233000000006</v>
      </c>
      <c r="L7" s="791">
        <v>0</v>
      </c>
      <c r="M7" s="792">
        <v>742.79876999999999</v>
      </c>
      <c r="N7" s="733">
        <v>1061.1411000000001</v>
      </c>
      <c r="O7" s="283">
        <v>0</v>
      </c>
      <c r="P7" s="268">
        <f t="shared" si="0"/>
        <v>1061.1411000000001</v>
      </c>
      <c r="Q7" s="792">
        <v>0</v>
      </c>
      <c r="R7" s="1959">
        <v>0</v>
      </c>
      <c r="S7" s="1960">
        <v>0</v>
      </c>
      <c r="T7" s="1961">
        <v>0</v>
      </c>
      <c r="U7" s="1959">
        <v>0</v>
      </c>
      <c r="V7" s="1525">
        <v>0</v>
      </c>
      <c r="W7" s="1546">
        <v>0</v>
      </c>
      <c r="X7" s="1546">
        <v>0</v>
      </c>
      <c r="Y7" s="1546">
        <v>0</v>
      </c>
      <c r="Z7" s="651">
        <v>0</v>
      </c>
      <c r="AA7" s="255" t="s">
        <v>109</v>
      </c>
      <c r="AB7" s="39" t="s">
        <v>13</v>
      </c>
      <c r="AC7" s="30" t="s">
        <v>1133</v>
      </c>
      <c r="AD7" s="30" t="s">
        <v>119</v>
      </c>
      <c r="AE7" s="30" t="s">
        <v>119</v>
      </c>
      <c r="AF7" s="18" t="s">
        <v>129</v>
      </c>
      <c r="AG7" s="339" t="s">
        <v>112</v>
      </c>
    </row>
    <row r="8" spans="1:33" ht="26.25" outlineLevel="1" thickBot="1" x14ac:dyDescent="0.3">
      <c r="A8" s="596" t="s">
        <v>893</v>
      </c>
      <c r="B8" s="16" t="s">
        <v>112</v>
      </c>
      <c r="C8" s="39" t="s">
        <v>116</v>
      </c>
      <c r="D8" s="39" t="s">
        <v>9</v>
      </c>
      <c r="E8" s="1523" t="s">
        <v>9</v>
      </c>
      <c r="F8" s="1060" t="s">
        <v>556</v>
      </c>
      <c r="G8" s="789">
        <v>1250</v>
      </c>
      <c r="H8" s="649">
        <v>0</v>
      </c>
      <c r="I8" s="318">
        <v>0</v>
      </c>
      <c r="J8" s="790">
        <v>0</v>
      </c>
      <c r="K8" s="791">
        <v>375</v>
      </c>
      <c r="L8" s="791">
        <v>0</v>
      </c>
      <c r="M8" s="1962">
        <v>875</v>
      </c>
      <c r="N8" s="733">
        <v>1250</v>
      </c>
      <c r="O8" s="283">
        <v>0</v>
      </c>
      <c r="P8" s="268">
        <f t="shared" si="0"/>
        <v>1250</v>
      </c>
      <c r="Q8" s="792">
        <v>0</v>
      </c>
      <c r="R8" s="1959">
        <v>0</v>
      </c>
      <c r="S8" s="790">
        <v>0</v>
      </c>
      <c r="T8" s="791">
        <v>0</v>
      </c>
      <c r="U8" s="1959">
        <v>0</v>
      </c>
      <c r="V8" s="1067">
        <v>0</v>
      </c>
      <c r="W8" s="1963">
        <v>0</v>
      </c>
      <c r="X8" s="1546">
        <v>0</v>
      </c>
      <c r="Y8" s="1963">
        <v>0</v>
      </c>
      <c r="Z8" s="1964">
        <v>0</v>
      </c>
      <c r="AA8" s="255" t="s">
        <v>109</v>
      </c>
      <c r="AB8" s="39" t="s">
        <v>13</v>
      </c>
      <c r="AC8" s="30" t="s">
        <v>1134</v>
      </c>
      <c r="AD8" s="30" t="s">
        <v>119</v>
      </c>
      <c r="AE8" s="30" t="s">
        <v>119</v>
      </c>
      <c r="AF8" s="18" t="s">
        <v>129</v>
      </c>
      <c r="AG8" s="340" t="s">
        <v>112</v>
      </c>
    </row>
    <row r="9" spans="1:33" ht="26.25" outlineLevel="1" thickBot="1" x14ac:dyDescent="0.3">
      <c r="A9" s="596" t="s">
        <v>894</v>
      </c>
      <c r="B9" s="249" t="s">
        <v>911</v>
      </c>
      <c r="C9" s="258" t="s">
        <v>235</v>
      </c>
      <c r="D9" s="258" t="s">
        <v>9</v>
      </c>
      <c r="E9" s="1529" t="s">
        <v>9</v>
      </c>
      <c r="F9" s="204" t="s">
        <v>207</v>
      </c>
      <c r="G9" s="649">
        <v>15000</v>
      </c>
      <c r="H9" s="649">
        <v>3294.5619999999999</v>
      </c>
      <c r="I9" s="318">
        <v>3707.2134500000002</v>
      </c>
      <c r="J9" s="1634">
        <v>3000</v>
      </c>
      <c r="K9" s="650">
        <v>0</v>
      </c>
      <c r="L9" s="650">
        <v>0</v>
      </c>
      <c r="M9" s="1635">
        <f>4998+0.22455</f>
        <v>4998.2245499999999</v>
      </c>
      <c r="N9" s="733">
        <v>7998.2245499999999</v>
      </c>
      <c r="O9" s="283">
        <v>0</v>
      </c>
      <c r="P9" s="359">
        <f t="shared" si="0"/>
        <v>7998.2245499999999</v>
      </c>
      <c r="Q9" s="1635">
        <v>0</v>
      </c>
      <c r="R9" s="298">
        <v>0</v>
      </c>
      <c r="S9" s="1634">
        <v>0</v>
      </c>
      <c r="T9" s="650">
        <v>0</v>
      </c>
      <c r="U9" s="298">
        <v>0</v>
      </c>
      <c r="V9" s="1545">
        <v>0</v>
      </c>
      <c r="W9" s="1965">
        <v>0</v>
      </c>
      <c r="X9" s="1546">
        <v>0</v>
      </c>
      <c r="Y9" s="1965">
        <v>0</v>
      </c>
      <c r="Z9" s="1966">
        <v>0</v>
      </c>
      <c r="AA9" s="128" t="s">
        <v>733</v>
      </c>
      <c r="AB9" s="258" t="s">
        <v>16</v>
      </c>
      <c r="AC9" s="31" t="s">
        <v>1427</v>
      </c>
      <c r="AD9" s="31" t="s">
        <v>120</v>
      </c>
      <c r="AE9" s="31" t="s">
        <v>120</v>
      </c>
      <c r="AF9" s="27" t="s">
        <v>128</v>
      </c>
      <c r="AG9" s="942" t="s">
        <v>112</v>
      </c>
    </row>
    <row r="10" spans="1:33" ht="26.25" outlineLevel="1" thickBot="1" x14ac:dyDescent="0.3">
      <c r="A10" s="724" t="s">
        <v>895</v>
      </c>
      <c r="B10" s="604" t="s">
        <v>912</v>
      </c>
      <c r="C10" s="369" t="s">
        <v>274</v>
      </c>
      <c r="D10" s="369" t="s">
        <v>9</v>
      </c>
      <c r="E10" s="948" t="s">
        <v>9</v>
      </c>
      <c r="F10" s="1967" t="s">
        <v>393</v>
      </c>
      <c r="G10" s="676">
        <v>620</v>
      </c>
      <c r="H10" s="676">
        <v>0</v>
      </c>
      <c r="I10" s="2080">
        <v>3.8719999999999999</v>
      </c>
      <c r="J10" s="656">
        <v>0</v>
      </c>
      <c r="K10" s="657">
        <v>184.83840000000004</v>
      </c>
      <c r="L10" s="657">
        <v>0</v>
      </c>
      <c r="M10" s="672">
        <v>431.28960000000001</v>
      </c>
      <c r="N10" s="734">
        <v>616.12800000000004</v>
      </c>
      <c r="O10" s="760">
        <v>0</v>
      </c>
      <c r="P10" s="270">
        <f t="shared" si="0"/>
        <v>616.12800000000004</v>
      </c>
      <c r="Q10" s="672">
        <v>0</v>
      </c>
      <c r="R10" s="670">
        <v>0</v>
      </c>
      <c r="S10" s="656">
        <v>0</v>
      </c>
      <c r="T10" s="657">
        <v>0</v>
      </c>
      <c r="U10" s="670">
        <v>0</v>
      </c>
      <c r="V10" s="1020">
        <v>0</v>
      </c>
      <c r="W10" s="1968">
        <v>0</v>
      </c>
      <c r="X10" s="986">
        <v>0</v>
      </c>
      <c r="Y10" s="1968">
        <v>0</v>
      </c>
      <c r="Z10" s="1969">
        <v>0</v>
      </c>
      <c r="AA10" s="420" t="s">
        <v>1428</v>
      </c>
      <c r="AB10" s="369" t="s">
        <v>13</v>
      </c>
      <c r="AC10" s="371" t="s">
        <v>1429</v>
      </c>
      <c r="AD10" s="987" t="s">
        <v>119</v>
      </c>
      <c r="AE10" s="987" t="s">
        <v>119</v>
      </c>
      <c r="AF10" s="371" t="s">
        <v>129</v>
      </c>
      <c r="AG10" s="942" t="s">
        <v>112</v>
      </c>
    </row>
    <row r="11" spans="1:33" ht="26.25" outlineLevel="1" thickBot="1" x14ac:dyDescent="0.3">
      <c r="A11" s="725" t="s">
        <v>896</v>
      </c>
      <c r="B11" s="1970" t="s">
        <v>112</v>
      </c>
      <c r="C11" s="33" t="s">
        <v>277</v>
      </c>
      <c r="D11" s="384" t="s">
        <v>9</v>
      </c>
      <c r="E11" s="239" t="s">
        <v>9</v>
      </c>
      <c r="F11" s="4" t="s">
        <v>256</v>
      </c>
      <c r="G11" s="319">
        <v>450</v>
      </c>
      <c r="H11" s="319">
        <v>0</v>
      </c>
      <c r="I11" s="217">
        <v>0</v>
      </c>
      <c r="J11" s="675">
        <v>0</v>
      </c>
      <c r="K11" s="644">
        <v>135</v>
      </c>
      <c r="L11" s="644">
        <v>0</v>
      </c>
      <c r="M11" s="1971">
        <v>315</v>
      </c>
      <c r="N11" s="732">
        <v>450</v>
      </c>
      <c r="O11" s="759">
        <v>0</v>
      </c>
      <c r="P11" s="345">
        <f t="shared" si="0"/>
        <v>450</v>
      </c>
      <c r="Q11" s="645">
        <v>0</v>
      </c>
      <c r="R11" s="301">
        <v>0</v>
      </c>
      <c r="S11" s="675">
        <v>0</v>
      </c>
      <c r="T11" s="644">
        <v>0</v>
      </c>
      <c r="U11" s="301">
        <v>0</v>
      </c>
      <c r="V11" s="1972">
        <v>0</v>
      </c>
      <c r="W11" s="1973">
        <v>0</v>
      </c>
      <c r="X11" s="1974">
        <v>0</v>
      </c>
      <c r="Y11" s="1973">
        <v>0</v>
      </c>
      <c r="Z11" s="1975">
        <v>0</v>
      </c>
      <c r="AA11" s="400" t="s">
        <v>109</v>
      </c>
      <c r="AB11" s="33" t="s">
        <v>13</v>
      </c>
      <c r="AC11" s="787" t="s">
        <v>1132</v>
      </c>
      <c r="AD11" s="375" t="s">
        <v>119</v>
      </c>
      <c r="AE11" s="787" t="s">
        <v>119</v>
      </c>
      <c r="AF11" s="375" t="s">
        <v>127</v>
      </c>
      <c r="AG11" s="942" t="s">
        <v>112</v>
      </c>
    </row>
    <row r="12" spans="1:33" ht="30.75" outlineLevel="1" thickBot="1" x14ac:dyDescent="0.3">
      <c r="A12" s="726" t="s">
        <v>897</v>
      </c>
      <c r="B12" s="1976" t="s">
        <v>913</v>
      </c>
      <c r="C12" s="480" t="s">
        <v>350</v>
      </c>
      <c r="D12" s="480" t="s">
        <v>9</v>
      </c>
      <c r="E12" s="668" t="s">
        <v>9</v>
      </c>
      <c r="F12" s="1977" t="s">
        <v>394</v>
      </c>
      <c r="G12" s="1532">
        <f>80-0.14</f>
        <v>79.86</v>
      </c>
      <c r="H12" s="1533">
        <v>0</v>
      </c>
      <c r="I12" s="1534">
        <v>79.86</v>
      </c>
      <c r="J12" s="664">
        <v>0</v>
      </c>
      <c r="K12" s="665">
        <v>0</v>
      </c>
      <c r="L12" s="665">
        <v>0</v>
      </c>
      <c r="M12" s="667">
        <v>0</v>
      </c>
      <c r="N12" s="659">
        <v>0</v>
      </c>
      <c r="O12" s="299">
        <v>0</v>
      </c>
      <c r="P12" s="660">
        <f t="shared" si="0"/>
        <v>0</v>
      </c>
      <c r="Q12" s="667">
        <v>0</v>
      </c>
      <c r="R12" s="1978">
        <v>0</v>
      </c>
      <c r="S12" s="664">
        <v>0</v>
      </c>
      <c r="T12" s="665">
        <v>0</v>
      </c>
      <c r="U12" s="1978">
        <v>0</v>
      </c>
      <c r="V12" s="1538">
        <v>0</v>
      </c>
      <c r="W12" s="1979">
        <v>0</v>
      </c>
      <c r="X12" s="666">
        <v>0</v>
      </c>
      <c r="Y12" s="1979">
        <v>0</v>
      </c>
      <c r="Z12" s="1980">
        <v>0</v>
      </c>
      <c r="AA12" s="576" t="s">
        <v>109</v>
      </c>
      <c r="AB12" s="480" t="s">
        <v>123</v>
      </c>
      <c r="AC12" s="1981" t="s">
        <v>317</v>
      </c>
      <c r="AD12" s="482" t="s">
        <v>120</v>
      </c>
      <c r="AE12" s="1539" t="s">
        <v>120</v>
      </c>
      <c r="AF12" s="482" t="s">
        <v>129</v>
      </c>
      <c r="AG12" s="446" t="s">
        <v>112</v>
      </c>
    </row>
    <row r="13" spans="1:33" ht="25.5" outlineLevel="1" x14ac:dyDescent="0.25">
      <c r="A13" s="727" t="s">
        <v>898</v>
      </c>
      <c r="B13" s="599" t="s">
        <v>914</v>
      </c>
      <c r="C13" s="33" t="s">
        <v>386</v>
      </c>
      <c r="D13" s="33" t="s">
        <v>9</v>
      </c>
      <c r="E13" s="368" t="s">
        <v>9</v>
      </c>
      <c r="F13" s="849" t="s">
        <v>395</v>
      </c>
      <c r="G13" s="693">
        <v>20000</v>
      </c>
      <c r="H13" s="693">
        <v>2397.2042000000001</v>
      </c>
      <c r="I13" s="629">
        <v>7395.7190000000001</v>
      </c>
      <c r="J13" s="851">
        <v>1000</v>
      </c>
      <c r="K13" s="950">
        <v>2062.1230399999999</v>
      </c>
      <c r="L13" s="950">
        <v>0</v>
      </c>
      <c r="M13" s="1547">
        <v>7144.9537599999985</v>
      </c>
      <c r="N13" s="732">
        <v>10207.076799999999</v>
      </c>
      <c r="O13" s="759">
        <v>0</v>
      </c>
      <c r="P13" s="345">
        <f t="shared" si="0"/>
        <v>10207.076799999999</v>
      </c>
      <c r="Q13" s="626">
        <v>0</v>
      </c>
      <c r="R13" s="1079">
        <v>0</v>
      </c>
      <c r="S13" s="851">
        <v>0</v>
      </c>
      <c r="T13" s="950">
        <v>0</v>
      </c>
      <c r="U13" s="626">
        <v>0</v>
      </c>
      <c r="V13" s="1080">
        <v>0</v>
      </c>
      <c r="W13" s="1982">
        <v>0</v>
      </c>
      <c r="X13" s="852">
        <v>0</v>
      </c>
      <c r="Y13" s="1982">
        <v>0</v>
      </c>
      <c r="Z13" s="1983">
        <v>0</v>
      </c>
      <c r="AA13" s="399" t="s">
        <v>883</v>
      </c>
      <c r="AB13" s="385" t="s">
        <v>16</v>
      </c>
      <c r="AC13" s="375" t="s">
        <v>257</v>
      </c>
      <c r="AD13" s="375" t="s">
        <v>120</v>
      </c>
      <c r="AE13" s="375" t="s">
        <v>120</v>
      </c>
      <c r="AF13" s="375" t="s">
        <v>128</v>
      </c>
      <c r="AG13" s="368" t="s">
        <v>112</v>
      </c>
    </row>
    <row r="14" spans="1:33" ht="25.5" outlineLevel="1" x14ac:dyDescent="0.25">
      <c r="A14" s="1939" t="s">
        <v>899</v>
      </c>
      <c r="B14" s="1595" t="s">
        <v>915</v>
      </c>
      <c r="C14" s="52" t="s">
        <v>385</v>
      </c>
      <c r="D14" s="52" t="s">
        <v>9</v>
      </c>
      <c r="E14" s="1578" t="s">
        <v>9</v>
      </c>
      <c r="F14" s="1596" t="s">
        <v>351</v>
      </c>
      <c r="G14" s="1984">
        <v>4200</v>
      </c>
      <c r="H14" s="1984">
        <v>0</v>
      </c>
      <c r="I14" s="2081">
        <v>2964.9539999999997</v>
      </c>
      <c r="J14" s="1985">
        <v>0</v>
      </c>
      <c r="K14" s="1589">
        <v>40.513800000000018</v>
      </c>
      <c r="L14" s="1589">
        <v>1100</v>
      </c>
      <c r="M14" s="1986">
        <v>94.532200000000032</v>
      </c>
      <c r="N14" s="1987">
        <v>135.04599999999999</v>
      </c>
      <c r="O14" s="1988">
        <v>1100</v>
      </c>
      <c r="P14" s="1173">
        <f t="shared" si="0"/>
        <v>1235.046</v>
      </c>
      <c r="Q14" s="1989">
        <v>0</v>
      </c>
      <c r="R14" s="1990">
        <v>0</v>
      </c>
      <c r="S14" s="1985">
        <v>0</v>
      </c>
      <c r="T14" s="1589">
        <v>0</v>
      </c>
      <c r="U14" s="1989">
        <v>0</v>
      </c>
      <c r="V14" s="1991">
        <v>0</v>
      </c>
      <c r="W14" s="1992">
        <v>0</v>
      </c>
      <c r="X14" s="1489">
        <v>0</v>
      </c>
      <c r="Y14" s="1992">
        <v>0</v>
      </c>
      <c r="Z14" s="1993">
        <v>0</v>
      </c>
      <c r="AA14" s="421" t="s">
        <v>1430</v>
      </c>
      <c r="AB14" s="1843" t="s">
        <v>16</v>
      </c>
      <c r="AC14" s="376" t="s">
        <v>821</v>
      </c>
      <c r="AD14" s="376" t="s">
        <v>120</v>
      </c>
      <c r="AE14" s="376" t="s">
        <v>120</v>
      </c>
      <c r="AF14" s="376" t="s">
        <v>129</v>
      </c>
      <c r="AG14" s="1477" t="s">
        <v>112</v>
      </c>
    </row>
    <row r="15" spans="1:33" ht="25.5" outlineLevel="1" x14ac:dyDescent="0.25">
      <c r="A15" s="728" t="s">
        <v>900</v>
      </c>
      <c r="B15" s="593" t="s">
        <v>112</v>
      </c>
      <c r="C15" s="35" t="s">
        <v>385</v>
      </c>
      <c r="D15" s="35" t="s">
        <v>9</v>
      </c>
      <c r="E15" s="259" t="s">
        <v>9</v>
      </c>
      <c r="F15" s="855" t="s">
        <v>352</v>
      </c>
      <c r="G15" s="628">
        <v>3000</v>
      </c>
      <c r="H15" s="628">
        <v>0</v>
      </c>
      <c r="I15" s="2082">
        <v>0</v>
      </c>
      <c r="J15" s="605">
        <v>0</v>
      </c>
      <c r="K15" s="337">
        <v>900</v>
      </c>
      <c r="L15" s="337">
        <v>0</v>
      </c>
      <c r="M15" s="1055">
        <v>2100</v>
      </c>
      <c r="N15" s="735">
        <v>3000</v>
      </c>
      <c r="O15" s="761">
        <v>0</v>
      </c>
      <c r="P15" s="346">
        <f t="shared" si="0"/>
        <v>3000</v>
      </c>
      <c r="Q15" s="257">
        <v>0</v>
      </c>
      <c r="R15" s="1057">
        <v>0</v>
      </c>
      <c r="S15" s="605">
        <v>0</v>
      </c>
      <c r="T15" s="337">
        <v>0</v>
      </c>
      <c r="U15" s="257">
        <v>0</v>
      </c>
      <c r="V15" s="1058">
        <v>0</v>
      </c>
      <c r="W15" s="1957">
        <v>0</v>
      </c>
      <c r="X15" s="852">
        <v>0</v>
      </c>
      <c r="Y15" s="1957">
        <v>0</v>
      </c>
      <c r="Z15" s="1958">
        <v>0</v>
      </c>
      <c r="AA15" s="377" t="s">
        <v>109</v>
      </c>
      <c r="AB15" s="382" t="s">
        <v>13</v>
      </c>
      <c r="AC15" s="342" t="s">
        <v>1132</v>
      </c>
      <c r="AD15" s="342" t="s">
        <v>119</v>
      </c>
      <c r="AE15" s="342" t="s">
        <v>119</v>
      </c>
      <c r="AF15" s="342" t="s">
        <v>129</v>
      </c>
      <c r="AG15" s="368" t="s">
        <v>112</v>
      </c>
    </row>
    <row r="16" spans="1:33" ht="26.25" outlineLevel="1" thickBot="1" x14ac:dyDescent="0.3">
      <c r="A16" s="729" t="s">
        <v>901</v>
      </c>
      <c r="B16" s="16" t="s">
        <v>112</v>
      </c>
      <c r="C16" s="39" t="s">
        <v>385</v>
      </c>
      <c r="D16" s="39" t="s">
        <v>9</v>
      </c>
      <c r="E16" s="340" t="s">
        <v>9</v>
      </c>
      <c r="F16" s="1060" t="s">
        <v>396</v>
      </c>
      <c r="G16" s="1061">
        <v>2000</v>
      </c>
      <c r="H16" s="1061">
        <v>0</v>
      </c>
      <c r="I16" s="2083">
        <v>0</v>
      </c>
      <c r="J16" s="978">
        <v>0</v>
      </c>
      <c r="K16" s="1062">
        <v>600</v>
      </c>
      <c r="L16" s="1062">
        <v>0</v>
      </c>
      <c r="M16" s="1063">
        <v>1400</v>
      </c>
      <c r="N16" s="736">
        <v>2000</v>
      </c>
      <c r="O16" s="700">
        <v>0</v>
      </c>
      <c r="P16" s="268">
        <f t="shared" si="0"/>
        <v>2000</v>
      </c>
      <c r="Q16" s="1069">
        <v>0</v>
      </c>
      <c r="R16" s="1066">
        <v>0</v>
      </c>
      <c r="S16" s="978">
        <v>0</v>
      </c>
      <c r="T16" s="1062">
        <v>0</v>
      </c>
      <c r="U16" s="1069">
        <v>0</v>
      </c>
      <c r="V16" s="1067">
        <v>0</v>
      </c>
      <c r="W16" s="1963">
        <v>0</v>
      </c>
      <c r="X16" s="1068">
        <v>0</v>
      </c>
      <c r="Y16" s="1963">
        <v>0</v>
      </c>
      <c r="Z16" s="1964">
        <v>0</v>
      </c>
      <c r="AA16" s="255" t="s">
        <v>109</v>
      </c>
      <c r="AB16" s="419" t="s">
        <v>13</v>
      </c>
      <c r="AC16" s="18" t="s">
        <v>1429</v>
      </c>
      <c r="AD16" s="18" t="s">
        <v>119</v>
      </c>
      <c r="AE16" s="18" t="s">
        <v>119</v>
      </c>
      <c r="AF16" s="18" t="s">
        <v>129</v>
      </c>
      <c r="AG16" s="339" t="s">
        <v>112</v>
      </c>
    </row>
    <row r="17" spans="1:33" ht="26.25" outlineLevel="1" thickBot="1" x14ac:dyDescent="0.3">
      <c r="A17" s="730" t="s">
        <v>902</v>
      </c>
      <c r="B17" s="941" t="s">
        <v>112</v>
      </c>
      <c r="C17" s="369" t="s">
        <v>832</v>
      </c>
      <c r="D17" s="369" t="s">
        <v>9</v>
      </c>
      <c r="E17" s="942" t="s">
        <v>9</v>
      </c>
      <c r="F17" s="1967" t="s">
        <v>397</v>
      </c>
      <c r="G17" s="984">
        <v>11000</v>
      </c>
      <c r="H17" s="984">
        <v>0</v>
      </c>
      <c r="I17" s="2084">
        <v>0</v>
      </c>
      <c r="J17" s="945">
        <v>0</v>
      </c>
      <c r="K17" s="946">
        <v>3300.0000000000009</v>
      </c>
      <c r="L17" s="946">
        <v>0</v>
      </c>
      <c r="M17" s="673">
        <v>7699.9999999999991</v>
      </c>
      <c r="N17" s="734">
        <v>11000</v>
      </c>
      <c r="O17" s="760">
        <v>0</v>
      </c>
      <c r="P17" s="270">
        <f t="shared" si="0"/>
        <v>11000</v>
      </c>
      <c r="Q17" s="673">
        <v>0</v>
      </c>
      <c r="R17" s="985">
        <v>0</v>
      </c>
      <c r="S17" s="945">
        <v>0</v>
      </c>
      <c r="T17" s="946">
        <v>0</v>
      </c>
      <c r="U17" s="985">
        <v>0</v>
      </c>
      <c r="V17" s="1020">
        <v>0</v>
      </c>
      <c r="W17" s="1968">
        <v>0</v>
      </c>
      <c r="X17" s="986">
        <v>0</v>
      </c>
      <c r="Y17" s="1968">
        <v>0</v>
      </c>
      <c r="Z17" s="1969">
        <v>0</v>
      </c>
      <c r="AA17" s="420" t="s">
        <v>884</v>
      </c>
      <c r="AB17" s="1628" t="s">
        <v>13</v>
      </c>
      <c r="AC17" s="371" t="s">
        <v>1132</v>
      </c>
      <c r="AD17" s="371" t="s">
        <v>119</v>
      </c>
      <c r="AE17" s="371" t="s">
        <v>119</v>
      </c>
      <c r="AF17" s="371" t="s">
        <v>129</v>
      </c>
      <c r="AG17" s="942" t="s">
        <v>112</v>
      </c>
    </row>
    <row r="18" spans="1:33" ht="25.5" outlineLevel="1" x14ac:dyDescent="0.25">
      <c r="A18" s="606" t="s">
        <v>889</v>
      </c>
      <c r="B18" s="607" t="s">
        <v>916</v>
      </c>
      <c r="C18" s="252" t="s">
        <v>864</v>
      </c>
      <c r="D18" s="252" t="s">
        <v>9</v>
      </c>
      <c r="E18" s="253" t="s">
        <v>9</v>
      </c>
      <c r="F18" s="608" t="s">
        <v>725</v>
      </c>
      <c r="G18" s="194">
        <v>250</v>
      </c>
      <c r="H18" s="194">
        <v>0</v>
      </c>
      <c r="I18" s="198">
        <v>117.3</v>
      </c>
      <c r="J18" s="609">
        <v>0</v>
      </c>
      <c r="K18" s="601">
        <v>39.81</v>
      </c>
      <c r="L18" s="601">
        <v>0</v>
      </c>
      <c r="M18" s="1049">
        <v>92.889999999999986</v>
      </c>
      <c r="N18" s="731">
        <v>132.69999999999999</v>
      </c>
      <c r="O18" s="762">
        <v>0</v>
      </c>
      <c r="P18" s="271">
        <f t="shared" si="0"/>
        <v>132.69999999999999</v>
      </c>
      <c r="Q18" s="574">
        <v>0</v>
      </c>
      <c r="R18" s="611">
        <v>0</v>
      </c>
      <c r="S18" s="609">
        <v>0</v>
      </c>
      <c r="T18" s="601">
        <v>0</v>
      </c>
      <c r="U18" s="611">
        <v>0</v>
      </c>
      <c r="V18" s="612">
        <v>0</v>
      </c>
      <c r="W18" s="613">
        <v>0</v>
      </c>
      <c r="X18" s="600">
        <v>0</v>
      </c>
      <c r="Y18" s="613">
        <v>0</v>
      </c>
      <c r="Z18" s="610">
        <v>0</v>
      </c>
      <c r="AA18" s="707" t="s">
        <v>726</v>
      </c>
      <c r="AB18" s="29" t="s">
        <v>16</v>
      </c>
      <c r="AC18" s="10" t="s">
        <v>1133</v>
      </c>
      <c r="AD18" s="10" t="s">
        <v>120</v>
      </c>
      <c r="AE18" s="10" t="s">
        <v>120</v>
      </c>
      <c r="AF18" s="10" t="s">
        <v>128</v>
      </c>
      <c r="AG18" s="253" t="s">
        <v>112</v>
      </c>
    </row>
    <row r="19" spans="1:33" s="316" customFormat="1" ht="15.75" outlineLevel="1" thickBot="1" x14ac:dyDescent="0.3">
      <c r="A19" s="27" t="s">
        <v>124</v>
      </c>
      <c r="B19" s="249" t="s">
        <v>124</v>
      </c>
      <c r="C19" s="248" t="s">
        <v>124</v>
      </c>
      <c r="D19" s="258" t="s">
        <v>124</v>
      </c>
      <c r="E19" s="339" t="s">
        <v>124</v>
      </c>
      <c r="F19" s="204" t="s">
        <v>124</v>
      </c>
      <c r="G19" s="243" t="s">
        <v>124</v>
      </c>
      <c r="H19" s="243" t="s">
        <v>124</v>
      </c>
      <c r="I19" s="288"/>
      <c r="J19" s="187" t="s">
        <v>124</v>
      </c>
      <c r="K19" s="136" t="s">
        <v>124</v>
      </c>
      <c r="L19" s="136" t="s">
        <v>124</v>
      </c>
      <c r="M19" s="128" t="s">
        <v>124</v>
      </c>
      <c r="N19" s="737" t="s">
        <v>124</v>
      </c>
      <c r="O19" s="763" t="s">
        <v>124</v>
      </c>
      <c r="P19" s="737" t="s">
        <v>124</v>
      </c>
      <c r="Q19" s="128" t="s">
        <v>124</v>
      </c>
      <c r="R19" s="134" t="s">
        <v>124</v>
      </c>
      <c r="S19" s="187" t="s">
        <v>124</v>
      </c>
      <c r="T19" s="136" t="s">
        <v>124</v>
      </c>
      <c r="U19" s="134" t="s">
        <v>124</v>
      </c>
      <c r="V19" s="187" t="s">
        <v>124</v>
      </c>
      <c r="W19" s="138" t="s">
        <v>124</v>
      </c>
      <c r="X19" s="138" t="s">
        <v>124</v>
      </c>
      <c r="Y19" s="138" t="s">
        <v>124</v>
      </c>
      <c r="Z19" s="128" t="s">
        <v>124</v>
      </c>
      <c r="AA19" s="128" t="s">
        <v>124</v>
      </c>
      <c r="AB19" s="22" t="s">
        <v>124</v>
      </c>
      <c r="AC19" s="27" t="s">
        <v>124</v>
      </c>
      <c r="AD19" s="27" t="s">
        <v>124</v>
      </c>
      <c r="AE19" s="27" t="s">
        <v>124</v>
      </c>
      <c r="AF19" s="27" t="s">
        <v>124</v>
      </c>
      <c r="AG19" s="339" t="s">
        <v>124</v>
      </c>
    </row>
    <row r="20" spans="1:33" ht="26.25" thickBot="1" x14ac:dyDescent="0.3">
      <c r="A20" s="114" t="s">
        <v>109</v>
      </c>
      <c r="B20" s="302" t="s">
        <v>109</v>
      </c>
      <c r="C20" s="12" t="s">
        <v>109</v>
      </c>
      <c r="D20" s="336" t="s">
        <v>109</v>
      </c>
      <c r="E20" s="336" t="s">
        <v>109</v>
      </c>
      <c r="F20" s="590" t="s">
        <v>903</v>
      </c>
      <c r="G20" s="341">
        <f t="shared" ref="G20:Z20" si="1">SUM(G5:G19)</f>
        <v>132827.712799</v>
      </c>
      <c r="H20" s="341">
        <f t="shared" si="1"/>
        <v>56886.988899999997</v>
      </c>
      <c r="I20" s="341">
        <f t="shared" si="1"/>
        <v>19388.579699999998</v>
      </c>
      <c r="J20" s="341">
        <f t="shared" si="1"/>
        <v>4000</v>
      </c>
      <c r="K20" s="341">
        <f t="shared" si="1"/>
        <v>13236.17589</v>
      </c>
      <c r="L20" s="341">
        <f t="shared" si="1"/>
        <v>1100</v>
      </c>
      <c r="M20" s="341">
        <f t="shared" si="1"/>
        <v>38215.968309999997</v>
      </c>
      <c r="N20" s="341">
        <f t="shared" si="1"/>
        <v>55452.144199999995</v>
      </c>
      <c r="O20" s="341">
        <f t="shared" si="1"/>
        <v>1100</v>
      </c>
      <c r="P20" s="341">
        <f t="shared" si="1"/>
        <v>56552.144199999995</v>
      </c>
      <c r="Q20" s="341">
        <f t="shared" si="1"/>
        <v>0</v>
      </c>
      <c r="R20" s="341">
        <f t="shared" si="1"/>
        <v>0</v>
      </c>
      <c r="S20" s="341">
        <f t="shared" si="1"/>
        <v>0</v>
      </c>
      <c r="T20" s="341">
        <f t="shared" si="1"/>
        <v>0</v>
      </c>
      <c r="U20" s="341">
        <f t="shared" si="1"/>
        <v>0</v>
      </c>
      <c r="V20" s="341">
        <f t="shared" si="1"/>
        <v>0</v>
      </c>
      <c r="W20" s="341">
        <f t="shared" si="1"/>
        <v>0</v>
      </c>
      <c r="X20" s="341">
        <f t="shared" si="1"/>
        <v>0</v>
      </c>
      <c r="Y20" s="341">
        <f t="shared" si="1"/>
        <v>0</v>
      </c>
      <c r="Z20" s="341">
        <f t="shared" si="1"/>
        <v>0</v>
      </c>
      <c r="AA20" s="14" t="s">
        <v>1229</v>
      </c>
      <c r="AB20" s="12" t="s">
        <v>109</v>
      </c>
      <c r="AC20" s="26" t="s">
        <v>109</v>
      </c>
      <c r="AD20" s="77" t="s">
        <v>109</v>
      </c>
      <c r="AE20" s="77" t="s">
        <v>109</v>
      </c>
      <c r="AF20" s="12" t="s">
        <v>109</v>
      </c>
      <c r="AG20" s="336" t="s">
        <v>109</v>
      </c>
    </row>
    <row r="21" spans="1:33" ht="25.5" outlineLevel="1" x14ac:dyDescent="0.25">
      <c r="A21" s="725" t="s">
        <v>437</v>
      </c>
      <c r="B21" s="803" t="s">
        <v>917</v>
      </c>
      <c r="C21" s="35" t="s">
        <v>162</v>
      </c>
      <c r="D21" s="368" t="s">
        <v>9</v>
      </c>
      <c r="E21" s="368" t="s">
        <v>9</v>
      </c>
      <c r="F21" s="849" t="s">
        <v>15</v>
      </c>
      <c r="G21" s="622">
        <f>16659.59+29+23+1800+400+802+200-500+2000</f>
        <v>21413.59</v>
      </c>
      <c r="H21" s="622">
        <v>16827.75</v>
      </c>
      <c r="I21" s="182">
        <v>796.78499999999997</v>
      </c>
      <c r="J21" s="806">
        <v>0</v>
      </c>
      <c r="K21" s="807">
        <v>0</v>
      </c>
      <c r="L21" s="807">
        <v>960.96450000000004</v>
      </c>
      <c r="M21" s="822">
        <v>2242.2505000000001</v>
      </c>
      <c r="N21" s="731">
        <v>3203.2150000000001</v>
      </c>
      <c r="O21" s="759">
        <v>0</v>
      </c>
      <c r="P21" s="345">
        <f t="shared" ref="P21:P28" si="2">N21+O21</f>
        <v>3203.2150000000001</v>
      </c>
      <c r="Q21" s="850">
        <v>585.84</v>
      </c>
      <c r="R21" s="111">
        <v>0</v>
      </c>
      <c r="S21" s="631">
        <v>0</v>
      </c>
      <c r="T21" s="624">
        <v>0</v>
      </c>
      <c r="U21" s="823">
        <v>0</v>
      </c>
      <c r="V21" s="851">
        <v>0</v>
      </c>
      <c r="W21" s="600">
        <v>0</v>
      </c>
      <c r="X21" s="852">
        <v>0</v>
      </c>
      <c r="Y21" s="852">
        <v>0</v>
      </c>
      <c r="Z21" s="626">
        <v>0</v>
      </c>
      <c r="AA21" s="40" t="s">
        <v>1117</v>
      </c>
      <c r="AB21" s="617" t="s">
        <v>13</v>
      </c>
      <c r="AC21" s="853" t="s">
        <v>299</v>
      </c>
      <c r="AD21" s="717" t="s">
        <v>119</v>
      </c>
      <c r="AE21" s="854" t="s">
        <v>119</v>
      </c>
      <c r="AF21" s="365" t="s">
        <v>128</v>
      </c>
      <c r="AG21" s="253" t="s">
        <v>112</v>
      </c>
    </row>
    <row r="22" spans="1:33" ht="25.5" outlineLevel="1" x14ac:dyDescent="0.25">
      <c r="A22" s="603" t="s">
        <v>438</v>
      </c>
      <c r="B22" s="593" t="s">
        <v>918</v>
      </c>
      <c r="C22" s="35" t="s">
        <v>161</v>
      </c>
      <c r="D22" s="259" t="s">
        <v>9</v>
      </c>
      <c r="E22" s="259" t="s">
        <v>9</v>
      </c>
      <c r="F22" s="855" t="s">
        <v>17</v>
      </c>
      <c r="G22" s="856">
        <f>1182.025+540.2+700+2000+6000+17.92195+48.94916+2000</f>
        <v>12489.09611</v>
      </c>
      <c r="H22" s="622">
        <v>2363.8729999999996</v>
      </c>
      <c r="I22" s="182">
        <v>1738.9877999999999</v>
      </c>
      <c r="J22" s="260">
        <v>0</v>
      </c>
      <c r="K22" s="343">
        <v>0</v>
      </c>
      <c r="L22" s="343">
        <v>1915.8705930000006</v>
      </c>
      <c r="M22" s="952">
        <v>4470.3647169999995</v>
      </c>
      <c r="N22" s="732">
        <v>6386.23531</v>
      </c>
      <c r="O22" s="759">
        <v>0</v>
      </c>
      <c r="P22" s="346">
        <f t="shared" si="2"/>
        <v>6386.23531</v>
      </c>
      <c r="Q22" s="256">
        <v>2000</v>
      </c>
      <c r="R22" s="107">
        <v>0</v>
      </c>
      <c r="S22" s="260">
        <v>0</v>
      </c>
      <c r="T22" s="343">
        <v>0</v>
      </c>
      <c r="U22" s="107">
        <v>0</v>
      </c>
      <c r="V22" s="605">
        <v>0</v>
      </c>
      <c r="W22" s="489">
        <v>0</v>
      </c>
      <c r="X22" s="852">
        <v>0</v>
      </c>
      <c r="Y22" s="489">
        <v>0</v>
      </c>
      <c r="Z22" s="257">
        <v>0</v>
      </c>
      <c r="AA22" s="38" t="s">
        <v>1118</v>
      </c>
      <c r="AB22" s="366" t="s">
        <v>13</v>
      </c>
      <c r="AC22" s="853" t="s">
        <v>299</v>
      </c>
      <c r="AD22" s="853" t="s">
        <v>119</v>
      </c>
      <c r="AE22" s="857" t="s">
        <v>119</v>
      </c>
      <c r="AF22" s="367" t="s">
        <v>128</v>
      </c>
      <c r="AG22" s="259" t="s">
        <v>112</v>
      </c>
    </row>
    <row r="23" spans="1:33" ht="38.25" outlineLevel="1" x14ac:dyDescent="0.25">
      <c r="A23" s="858" t="s">
        <v>439</v>
      </c>
      <c r="B23" s="859" t="s">
        <v>919</v>
      </c>
      <c r="C23" s="72" t="s">
        <v>117</v>
      </c>
      <c r="D23" s="860" t="s">
        <v>9</v>
      </c>
      <c r="E23" s="860" t="s">
        <v>9</v>
      </c>
      <c r="F23" s="861" t="s">
        <v>18</v>
      </c>
      <c r="G23" s="862">
        <f>23232+486.07201</f>
        <v>23718.07201</v>
      </c>
      <c r="H23" s="863">
        <v>19692.356750000003</v>
      </c>
      <c r="I23" s="2085">
        <v>0</v>
      </c>
      <c r="J23" s="864">
        <v>0</v>
      </c>
      <c r="K23" s="865">
        <v>2102.7379999999998</v>
      </c>
      <c r="L23" s="865">
        <v>1922.9772599999999</v>
      </c>
      <c r="M23" s="866">
        <v>0</v>
      </c>
      <c r="N23" s="867">
        <v>0</v>
      </c>
      <c r="O23" s="868">
        <f>3539.64325+486.07201</f>
        <v>4025.7152599999999</v>
      </c>
      <c r="P23" s="869">
        <f t="shared" si="2"/>
        <v>4025.7152599999999</v>
      </c>
      <c r="Q23" s="870">
        <v>0</v>
      </c>
      <c r="R23" s="871">
        <v>0</v>
      </c>
      <c r="S23" s="864">
        <v>0</v>
      </c>
      <c r="T23" s="865">
        <v>0</v>
      </c>
      <c r="U23" s="872">
        <v>0</v>
      </c>
      <c r="V23" s="873">
        <v>0</v>
      </c>
      <c r="W23" s="874">
        <v>0</v>
      </c>
      <c r="X23" s="875">
        <v>0</v>
      </c>
      <c r="Y23" s="874">
        <v>0</v>
      </c>
      <c r="Z23" s="876">
        <v>0</v>
      </c>
      <c r="AA23" s="87" t="s">
        <v>1119</v>
      </c>
      <c r="AB23" s="877" t="s">
        <v>16</v>
      </c>
      <c r="AC23" s="878" t="s">
        <v>257</v>
      </c>
      <c r="AD23" s="879" t="s">
        <v>120</v>
      </c>
      <c r="AE23" s="878" t="s">
        <v>120</v>
      </c>
      <c r="AF23" s="166" t="s">
        <v>128</v>
      </c>
      <c r="AG23" s="860" t="s">
        <v>112</v>
      </c>
    </row>
    <row r="24" spans="1:33" ht="30" outlineLevel="1" x14ac:dyDescent="0.25">
      <c r="A24" s="880" t="s">
        <v>440</v>
      </c>
      <c r="B24" s="881" t="s">
        <v>920</v>
      </c>
      <c r="C24" s="71" t="s">
        <v>117</v>
      </c>
      <c r="D24" s="838" t="s">
        <v>9</v>
      </c>
      <c r="E24" s="838" t="s">
        <v>9</v>
      </c>
      <c r="F24" s="882" t="s">
        <v>19</v>
      </c>
      <c r="G24" s="83">
        <f>25400-500-4300-700+2000</f>
        <v>21900</v>
      </c>
      <c r="H24" s="80">
        <v>15435.52873</v>
      </c>
      <c r="I24" s="131">
        <v>2397.1309999999999</v>
      </c>
      <c r="J24" s="162">
        <v>0</v>
      </c>
      <c r="K24" s="163">
        <v>0</v>
      </c>
      <c r="L24" s="163">
        <v>1000</v>
      </c>
      <c r="M24" s="164">
        <v>0</v>
      </c>
      <c r="N24" s="208">
        <v>2602.8690000000001</v>
      </c>
      <c r="O24" s="884">
        <v>-1602.8689999999999</v>
      </c>
      <c r="P24" s="885">
        <f t="shared" si="2"/>
        <v>1000.0000000000002</v>
      </c>
      <c r="Q24" s="164">
        <f>1464.47127+1602.869</f>
        <v>3067.3402699999997</v>
      </c>
      <c r="R24" s="81">
        <v>0</v>
      </c>
      <c r="S24" s="162">
        <v>0</v>
      </c>
      <c r="T24" s="163">
        <v>0</v>
      </c>
      <c r="U24" s="81">
        <v>0</v>
      </c>
      <c r="V24" s="844">
        <v>0</v>
      </c>
      <c r="W24" s="846">
        <v>0</v>
      </c>
      <c r="X24" s="886">
        <v>0</v>
      </c>
      <c r="Y24" s="846">
        <v>0</v>
      </c>
      <c r="Z24" s="847">
        <v>0</v>
      </c>
      <c r="AA24" s="62" t="s">
        <v>1120</v>
      </c>
      <c r="AB24" s="887" t="s">
        <v>16</v>
      </c>
      <c r="AC24" s="888" t="s">
        <v>257</v>
      </c>
      <c r="AD24" s="888" t="s">
        <v>120</v>
      </c>
      <c r="AE24" s="888" t="s">
        <v>120</v>
      </c>
      <c r="AF24" s="158" t="s">
        <v>128</v>
      </c>
      <c r="AG24" s="838" t="s">
        <v>112</v>
      </c>
    </row>
    <row r="25" spans="1:33" ht="25.5" outlineLevel="1" x14ac:dyDescent="0.25">
      <c r="A25" s="836" t="s">
        <v>441</v>
      </c>
      <c r="B25" s="881" t="s">
        <v>921</v>
      </c>
      <c r="C25" s="71" t="s">
        <v>117</v>
      </c>
      <c r="D25" s="838" t="s">
        <v>9</v>
      </c>
      <c r="E25" s="838" t="s">
        <v>9</v>
      </c>
      <c r="F25" s="889" t="s">
        <v>390</v>
      </c>
      <c r="G25" s="83">
        <f>2000+406+2500+3200+2000</f>
        <v>10106</v>
      </c>
      <c r="H25" s="83">
        <v>1990.2360000000001</v>
      </c>
      <c r="I25" s="2086">
        <v>2512.6097800000002</v>
      </c>
      <c r="J25" s="162">
        <v>0</v>
      </c>
      <c r="K25" s="81">
        <v>700</v>
      </c>
      <c r="L25" s="163">
        <v>3300.0000199999999</v>
      </c>
      <c r="M25" s="164">
        <v>0</v>
      </c>
      <c r="N25" s="842">
        <v>5603.1542199999994</v>
      </c>
      <c r="O25" s="885">
        <v>-1603.1541999999999</v>
      </c>
      <c r="P25" s="885">
        <f t="shared" si="2"/>
        <v>4000.0000199999995</v>
      </c>
      <c r="Q25" s="164">
        <v>1603.1541999999999</v>
      </c>
      <c r="R25" s="81">
        <v>0</v>
      </c>
      <c r="S25" s="162">
        <v>0</v>
      </c>
      <c r="T25" s="183">
        <v>0</v>
      </c>
      <c r="U25" s="890">
        <v>0</v>
      </c>
      <c r="V25" s="891">
        <v>0</v>
      </c>
      <c r="W25" s="892">
        <v>0</v>
      </c>
      <c r="X25" s="846">
        <v>0</v>
      </c>
      <c r="Y25" s="892">
        <v>0</v>
      </c>
      <c r="Z25" s="893">
        <v>0</v>
      </c>
      <c r="AA25" s="71" t="s">
        <v>1121</v>
      </c>
      <c r="AB25" s="96" t="s">
        <v>13</v>
      </c>
      <c r="AC25" s="158" t="s">
        <v>493</v>
      </c>
      <c r="AD25" s="888" t="s">
        <v>120</v>
      </c>
      <c r="AE25" s="888" t="s">
        <v>120</v>
      </c>
      <c r="AF25" s="158" t="s">
        <v>129</v>
      </c>
      <c r="AG25" s="838" t="s">
        <v>112</v>
      </c>
    </row>
    <row r="26" spans="1:33" ht="26.25" outlineLevel="1" thickBot="1" x14ac:dyDescent="0.3">
      <c r="A26" s="894" t="s">
        <v>442</v>
      </c>
      <c r="B26" s="895" t="s">
        <v>922</v>
      </c>
      <c r="C26" s="91" t="s">
        <v>117</v>
      </c>
      <c r="D26" s="896" t="s">
        <v>9</v>
      </c>
      <c r="E26" s="896" t="s">
        <v>9</v>
      </c>
      <c r="F26" s="897" t="s">
        <v>1122</v>
      </c>
      <c r="G26" s="92">
        <f>3000-406+500+1000</f>
        <v>4094</v>
      </c>
      <c r="H26" s="92">
        <v>593.38</v>
      </c>
      <c r="I26" s="178">
        <v>0</v>
      </c>
      <c r="J26" s="898">
        <v>0</v>
      </c>
      <c r="K26" s="173">
        <v>1050.1860000000001</v>
      </c>
      <c r="L26" s="173">
        <v>949.81399999999996</v>
      </c>
      <c r="M26" s="899"/>
      <c r="N26" s="900">
        <v>3500.62</v>
      </c>
      <c r="O26" s="884">
        <v>-1500.62</v>
      </c>
      <c r="P26" s="177">
        <f t="shared" si="2"/>
        <v>2000</v>
      </c>
      <c r="Q26" s="899">
        <v>1500.62</v>
      </c>
      <c r="R26" s="180">
        <v>0</v>
      </c>
      <c r="S26" s="898">
        <v>0</v>
      </c>
      <c r="T26" s="173">
        <v>0</v>
      </c>
      <c r="U26" s="180">
        <v>0</v>
      </c>
      <c r="V26" s="901">
        <v>0</v>
      </c>
      <c r="W26" s="902">
        <v>0</v>
      </c>
      <c r="X26" s="903">
        <v>0</v>
      </c>
      <c r="Y26" s="904">
        <v>0</v>
      </c>
      <c r="Z26" s="905">
        <v>0</v>
      </c>
      <c r="AA26" s="91" t="s">
        <v>1123</v>
      </c>
      <c r="AB26" s="906" t="s">
        <v>13</v>
      </c>
      <c r="AC26" s="907" t="s">
        <v>493</v>
      </c>
      <c r="AD26" s="908" t="s">
        <v>119</v>
      </c>
      <c r="AE26" s="908" t="s">
        <v>119</v>
      </c>
      <c r="AF26" s="174" t="s">
        <v>128</v>
      </c>
      <c r="AG26" s="896" t="s">
        <v>112</v>
      </c>
    </row>
    <row r="27" spans="1:33" ht="30.75" outlineLevel="1" thickBot="1" x14ac:dyDescent="0.3">
      <c r="A27" s="909" t="s">
        <v>212</v>
      </c>
      <c r="B27" s="910" t="s">
        <v>923</v>
      </c>
      <c r="C27" s="347" t="s">
        <v>238</v>
      </c>
      <c r="D27" s="911" t="s">
        <v>9</v>
      </c>
      <c r="E27" s="911" t="s">
        <v>9</v>
      </c>
      <c r="F27" s="897" t="s">
        <v>213</v>
      </c>
      <c r="G27" s="348">
        <f>8000+4300</f>
        <v>12300</v>
      </c>
      <c r="H27" s="348">
        <v>9137.6392799999994</v>
      </c>
      <c r="I27" s="2087">
        <v>0</v>
      </c>
      <c r="J27" s="912">
        <v>0</v>
      </c>
      <c r="K27" s="173">
        <v>0</v>
      </c>
      <c r="L27" s="173">
        <v>2944.3656000000001</v>
      </c>
      <c r="M27" s="913">
        <v>0</v>
      </c>
      <c r="N27" s="914">
        <v>0</v>
      </c>
      <c r="O27" s="915">
        <v>2944.3656000000001</v>
      </c>
      <c r="P27" s="915">
        <f t="shared" si="2"/>
        <v>2944.3656000000001</v>
      </c>
      <c r="Q27" s="350">
        <v>217.99511999999999</v>
      </c>
      <c r="R27" s="277">
        <v>0</v>
      </c>
      <c r="S27" s="912">
        <v>0</v>
      </c>
      <c r="T27" s="349">
        <v>0</v>
      </c>
      <c r="U27" s="104">
        <v>0</v>
      </c>
      <c r="V27" s="916">
        <v>0</v>
      </c>
      <c r="W27" s="917">
        <v>0</v>
      </c>
      <c r="X27" s="918">
        <v>0</v>
      </c>
      <c r="Y27" s="918">
        <v>0</v>
      </c>
      <c r="Z27" s="919">
        <v>0</v>
      </c>
      <c r="AA27" s="347" t="s">
        <v>1124</v>
      </c>
      <c r="AB27" s="920" t="s">
        <v>16</v>
      </c>
      <c r="AC27" s="293" t="s">
        <v>325</v>
      </c>
      <c r="AD27" s="921" t="s">
        <v>120</v>
      </c>
      <c r="AE27" s="921" t="s">
        <v>120</v>
      </c>
      <c r="AF27" s="293" t="s">
        <v>128</v>
      </c>
      <c r="AG27" s="911" t="s">
        <v>112</v>
      </c>
    </row>
    <row r="28" spans="1:33" ht="25.5" outlineLevel="1" x14ac:dyDescent="0.25">
      <c r="A28" s="922" t="s">
        <v>311</v>
      </c>
      <c r="B28" s="923" t="s">
        <v>924</v>
      </c>
      <c r="C28" s="924" t="s">
        <v>319</v>
      </c>
      <c r="D28" s="925" t="s">
        <v>9</v>
      </c>
      <c r="E28" s="925" t="s">
        <v>9</v>
      </c>
      <c r="F28" s="926" t="s">
        <v>312</v>
      </c>
      <c r="G28" s="927">
        <f>5000-486.07201</f>
        <v>4513.9279900000001</v>
      </c>
      <c r="H28" s="927">
        <v>0</v>
      </c>
      <c r="I28" s="2088">
        <v>4513.9279900000001</v>
      </c>
      <c r="J28" s="928">
        <v>0</v>
      </c>
      <c r="K28" s="929">
        <v>0</v>
      </c>
      <c r="L28" s="930">
        <v>0</v>
      </c>
      <c r="M28" s="931">
        <v>0</v>
      </c>
      <c r="N28" s="932">
        <v>486.07200999999998</v>
      </c>
      <c r="O28" s="933">
        <v>-486.07200999999998</v>
      </c>
      <c r="P28" s="934">
        <f t="shared" si="2"/>
        <v>0</v>
      </c>
      <c r="Q28" s="931">
        <v>0</v>
      </c>
      <c r="R28" s="929">
        <v>0</v>
      </c>
      <c r="S28" s="928">
        <v>0</v>
      </c>
      <c r="T28" s="930">
        <v>0</v>
      </c>
      <c r="U28" s="929">
        <v>0</v>
      </c>
      <c r="V28" s="935">
        <v>0</v>
      </c>
      <c r="W28" s="936">
        <v>0</v>
      </c>
      <c r="X28" s="936">
        <v>0</v>
      </c>
      <c r="Y28" s="936">
        <v>0</v>
      </c>
      <c r="Z28" s="937">
        <v>0</v>
      </c>
      <c r="AA28" s="1999" t="s">
        <v>1125</v>
      </c>
      <c r="AB28" s="938" t="s">
        <v>123</v>
      </c>
      <c r="AC28" s="939" t="s">
        <v>233</v>
      </c>
      <c r="AD28" s="940" t="s">
        <v>120</v>
      </c>
      <c r="AE28" s="940" t="s">
        <v>120</v>
      </c>
      <c r="AF28" s="939" t="s">
        <v>128</v>
      </c>
      <c r="AG28" s="925" t="s">
        <v>112</v>
      </c>
    </row>
    <row r="29" spans="1:33" s="316" customFormat="1" ht="15.75" outlineLevel="1" thickBot="1" x14ac:dyDescent="0.3">
      <c r="A29" s="27" t="s">
        <v>124</v>
      </c>
      <c r="B29" s="28" t="s">
        <v>124</v>
      </c>
      <c r="C29" s="258" t="s">
        <v>124</v>
      </c>
      <c r="D29" s="339" t="s">
        <v>124</v>
      </c>
      <c r="E29" s="339" t="s">
        <v>124</v>
      </c>
      <c r="F29" s="580" t="s">
        <v>124</v>
      </c>
      <c r="G29" s="243" t="s">
        <v>124</v>
      </c>
      <c r="H29" s="243" t="s">
        <v>124</v>
      </c>
      <c r="I29" s="288"/>
      <c r="J29" s="187" t="s">
        <v>124</v>
      </c>
      <c r="K29" s="136" t="s">
        <v>124</v>
      </c>
      <c r="L29" s="136" t="s">
        <v>124</v>
      </c>
      <c r="M29" s="128" t="s">
        <v>124</v>
      </c>
      <c r="N29" s="737" t="s">
        <v>124</v>
      </c>
      <c r="O29" s="763" t="s">
        <v>124</v>
      </c>
      <c r="P29" s="737" t="s">
        <v>124</v>
      </c>
      <c r="Q29" s="128" t="s">
        <v>124</v>
      </c>
      <c r="R29" s="134" t="s">
        <v>124</v>
      </c>
      <c r="S29" s="187" t="s">
        <v>124</v>
      </c>
      <c r="T29" s="136" t="s">
        <v>124</v>
      </c>
      <c r="U29" s="134" t="s">
        <v>124</v>
      </c>
      <c r="V29" s="187" t="s">
        <v>124</v>
      </c>
      <c r="W29" s="138" t="s">
        <v>124</v>
      </c>
      <c r="X29" s="138" t="s">
        <v>124</v>
      </c>
      <c r="Y29" s="138" t="s">
        <v>124</v>
      </c>
      <c r="Z29" s="128" t="s">
        <v>124</v>
      </c>
      <c r="AA29" s="128" t="s">
        <v>124</v>
      </c>
      <c r="AB29" s="22" t="s">
        <v>124</v>
      </c>
      <c r="AC29" s="116" t="s">
        <v>124</v>
      </c>
      <c r="AD29" s="116" t="s">
        <v>124</v>
      </c>
      <c r="AE29" s="116" t="s">
        <v>124</v>
      </c>
      <c r="AF29" s="218" t="s">
        <v>124</v>
      </c>
      <c r="AG29" s="339" t="s">
        <v>124</v>
      </c>
    </row>
    <row r="30" spans="1:33" ht="26.25" thickBot="1" x14ac:dyDescent="0.3">
      <c r="A30" s="114" t="s">
        <v>109</v>
      </c>
      <c r="B30" s="302" t="s">
        <v>109</v>
      </c>
      <c r="C30" s="12" t="s">
        <v>109</v>
      </c>
      <c r="D30" s="12" t="s">
        <v>109</v>
      </c>
      <c r="E30" s="12" t="s">
        <v>109</v>
      </c>
      <c r="F30" s="590" t="s">
        <v>137</v>
      </c>
      <c r="G30" s="341">
        <f t="shared" ref="G30:Z30" si="3">SUM(G21:G29)</f>
        <v>110534.68611</v>
      </c>
      <c r="H30" s="341">
        <f t="shared" si="3"/>
        <v>66040.763759999987</v>
      </c>
      <c r="I30" s="341">
        <f t="shared" si="3"/>
        <v>11959.441570000001</v>
      </c>
      <c r="J30" s="341">
        <f t="shared" si="3"/>
        <v>0</v>
      </c>
      <c r="K30" s="341">
        <f t="shared" si="3"/>
        <v>3852.924</v>
      </c>
      <c r="L30" s="341">
        <f t="shared" si="3"/>
        <v>12993.991973</v>
      </c>
      <c r="M30" s="341">
        <f t="shared" si="3"/>
        <v>6712.6152169999996</v>
      </c>
      <c r="N30" s="341">
        <f t="shared" si="3"/>
        <v>21782.165539999998</v>
      </c>
      <c r="O30" s="341">
        <f t="shared" si="3"/>
        <v>1777.3656500000006</v>
      </c>
      <c r="P30" s="341">
        <f t="shared" si="3"/>
        <v>23559.531190000002</v>
      </c>
      <c r="Q30" s="341">
        <f t="shared" si="3"/>
        <v>8974.9495900000002</v>
      </c>
      <c r="R30" s="341">
        <f t="shared" si="3"/>
        <v>0</v>
      </c>
      <c r="S30" s="341">
        <f t="shared" si="3"/>
        <v>0</v>
      </c>
      <c r="T30" s="341">
        <f t="shared" si="3"/>
        <v>0</v>
      </c>
      <c r="U30" s="341">
        <f t="shared" si="3"/>
        <v>0</v>
      </c>
      <c r="V30" s="341">
        <f t="shared" si="3"/>
        <v>0</v>
      </c>
      <c r="W30" s="341">
        <f t="shared" si="3"/>
        <v>0</v>
      </c>
      <c r="X30" s="341">
        <f t="shared" si="3"/>
        <v>0</v>
      </c>
      <c r="Y30" s="341">
        <f t="shared" si="3"/>
        <v>0</v>
      </c>
      <c r="Z30" s="341">
        <f t="shared" si="3"/>
        <v>0</v>
      </c>
      <c r="AA30" s="14" t="s">
        <v>1230</v>
      </c>
      <c r="AB30" s="12" t="s">
        <v>109</v>
      </c>
      <c r="AC30" s="77" t="s">
        <v>109</v>
      </c>
      <c r="AD30" s="77" t="s">
        <v>109</v>
      </c>
      <c r="AE30" s="77" t="s">
        <v>109</v>
      </c>
      <c r="AF30" s="12" t="s">
        <v>109</v>
      </c>
      <c r="AG30" s="12" t="s">
        <v>109</v>
      </c>
    </row>
    <row r="31" spans="1:33" ht="25.5" outlineLevel="1" x14ac:dyDescent="0.25">
      <c r="A31" s="1459" t="s">
        <v>443</v>
      </c>
      <c r="B31" s="1460" t="s">
        <v>925</v>
      </c>
      <c r="C31" s="70" t="s">
        <v>161</v>
      </c>
      <c r="D31" s="70" t="s">
        <v>9</v>
      </c>
      <c r="E31" s="1461" t="s">
        <v>9</v>
      </c>
      <c r="F31" s="882" t="s">
        <v>308</v>
      </c>
      <c r="G31" s="189">
        <f>219905+250000</f>
        <v>469905</v>
      </c>
      <c r="H31" s="205">
        <v>164689.81994000007</v>
      </c>
      <c r="I31" s="221">
        <v>43079.76425</v>
      </c>
      <c r="J31" s="1462">
        <v>5000</v>
      </c>
      <c r="K31" s="1463">
        <v>20000</v>
      </c>
      <c r="L31" s="1463">
        <v>10000</v>
      </c>
      <c r="M31" s="1464">
        <f>19135+0.41581</f>
        <v>19135.415809999999</v>
      </c>
      <c r="N31" s="208">
        <v>57135.415809999991</v>
      </c>
      <c r="O31" s="884">
        <v>-3000</v>
      </c>
      <c r="P31" s="1465">
        <f t="shared" ref="P31" si="4">N31+O31</f>
        <v>54135.415809999991</v>
      </c>
      <c r="Q31" s="893">
        <v>50000</v>
      </c>
      <c r="R31" s="893">
        <f>163000-5000</f>
        <v>158000</v>
      </c>
      <c r="S31" s="891">
        <v>0</v>
      </c>
      <c r="T31" s="1466">
        <v>0</v>
      </c>
      <c r="U31" s="893">
        <v>0</v>
      </c>
      <c r="V31" s="1467">
        <v>0</v>
      </c>
      <c r="W31" s="1468">
        <v>0</v>
      </c>
      <c r="X31" s="886">
        <v>0</v>
      </c>
      <c r="Y31" s="886">
        <v>0</v>
      </c>
      <c r="Z31" s="970">
        <v>0</v>
      </c>
      <c r="AA31" s="62" t="s">
        <v>1444</v>
      </c>
      <c r="AB31" s="82" t="s">
        <v>16</v>
      </c>
      <c r="AC31" s="1469" t="s">
        <v>118</v>
      </c>
      <c r="AD31" s="1469" t="s">
        <v>118</v>
      </c>
      <c r="AE31" s="1469" t="s">
        <v>120</v>
      </c>
      <c r="AF31" s="181" t="s">
        <v>128</v>
      </c>
      <c r="AG31" s="1076" t="s">
        <v>112</v>
      </c>
    </row>
    <row r="32" spans="1:33" ht="30" outlineLevel="1" x14ac:dyDescent="0.25">
      <c r="A32" s="1470" t="s">
        <v>444</v>
      </c>
      <c r="B32" s="1471" t="s">
        <v>926</v>
      </c>
      <c r="C32" s="71" t="s">
        <v>160</v>
      </c>
      <c r="D32" s="71" t="s">
        <v>9</v>
      </c>
      <c r="E32" s="838" t="s">
        <v>9</v>
      </c>
      <c r="F32" s="889" t="s">
        <v>20</v>
      </c>
      <c r="G32" s="83">
        <f>393116.17+102000+10000+18000+140000</f>
        <v>663116.16999999993</v>
      </c>
      <c r="H32" s="216">
        <v>450329.51653999992</v>
      </c>
      <c r="I32" s="2089">
        <v>48417.153709999999</v>
      </c>
      <c r="J32" s="844">
        <v>5000</v>
      </c>
      <c r="K32" s="845">
        <v>10000</v>
      </c>
      <c r="L32" s="845">
        <v>10000</v>
      </c>
      <c r="M32" s="847">
        <f>16369+0.49975</f>
        <v>16369.499750000001</v>
      </c>
      <c r="N32" s="1472">
        <v>44369.499749999995</v>
      </c>
      <c r="O32" s="885">
        <v>-3000</v>
      </c>
      <c r="P32" s="885">
        <f t="shared" ref="P32:P94" si="5">N32+O32</f>
        <v>41369.499749999995</v>
      </c>
      <c r="Q32" s="847">
        <v>40000</v>
      </c>
      <c r="R32" s="1472">
        <v>83000</v>
      </c>
      <c r="S32" s="844">
        <v>0</v>
      </c>
      <c r="T32" s="845">
        <v>0</v>
      </c>
      <c r="U32" s="847">
        <v>0</v>
      </c>
      <c r="V32" s="1473">
        <v>0</v>
      </c>
      <c r="W32" s="845">
        <v>0</v>
      </c>
      <c r="X32" s="886">
        <v>0</v>
      </c>
      <c r="Y32" s="846">
        <v>0</v>
      </c>
      <c r="Z32" s="847">
        <v>0</v>
      </c>
      <c r="AA32" s="62" t="s">
        <v>1444</v>
      </c>
      <c r="AB32" s="71" t="s">
        <v>16</v>
      </c>
      <c r="AC32" s="848" t="s">
        <v>118</v>
      </c>
      <c r="AD32" s="848" t="s">
        <v>118</v>
      </c>
      <c r="AE32" s="888" t="s">
        <v>120</v>
      </c>
      <c r="AF32" s="85" t="s">
        <v>128</v>
      </c>
      <c r="AG32" s="838" t="s">
        <v>112</v>
      </c>
    </row>
    <row r="33" spans="1:33" ht="30" outlineLevel="1" x14ac:dyDescent="0.25">
      <c r="A33" s="1414" t="s">
        <v>445</v>
      </c>
      <c r="B33" s="953" t="s">
        <v>112</v>
      </c>
      <c r="C33" s="654" t="s">
        <v>24</v>
      </c>
      <c r="D33" s="954" t="s">
        <v>21</v>
      </c>
      <c r="E33" s="954" t="s">
        <v>21</v>
      </c>
      <c r="F33" s="855" t="s">
        <v>25</v>
      </c>
      <c r="G33" s="856">
        <v>13323</v>
      </c>
      <c r="H33" s="628">
        <v>0</v>
      </c>
      <c r="I33" s="674">
        <v>0</v>
      </c>
      <c r="J33" s="981">
        <v>0</v>
      </c>
      <c r="K33" s="982">
        <v>0</v>
      </c>
      <c r="L33" s="982">
        <v>0</v>
      </c>
      <c r="M33" s="1417">
        <v>0</v>
      </c>
      <c r="N33" s="732">
        <v>0</v>
      </c>
      <c r="O33" s="759">
        <v>0</v>
      </c>
      <c r="P33" s="345">
        <f t="shared" si="5"/>
        <v>0</v>
      </c>
      <c r="Q33" s="1474">
        <v>0</v>
      </c>
      <c r="R33" s="1474">
        <v>13323</v>
      </c>
      <c r="S33" s="981">
        <v>0</v>
      </c>
      <c r="T33" s="982">
        <v>0</v>
      </c>
      <c r="U33" s="1417">
        <v>0</v>
      </c>
      <c r="V33" s="1080">
        <v>0</v>
      </c>
      <c r="W33" s="852">
        <v>0</v>
      </c>
      <c r="X33" s="852">
        <v>0</v>
      </c>
      <c r="Y33" s="852">
        <v>0</v>
      </c>
      <c r="Z33" s="626">
        <v>0</v>
      </c>
      <c r="AA33" s="38" t="s">
        <v>109</v>
      </c>
      <c r="AB33" s="35" t="s">
        <v>13</v>
      </c>
      <c r="AC33" s="448" t="s">
        <v>1150</v>
      </c>
      <c r="AD33" s="448" t="s">
        <v>119</v>
      </c>
      <c r="AE33" s="448" t="s">
        <v>119</v>
      </c>
      <c r="AF33" s="342" t="s">
        <v>128</v>
      </c>
      <c r="AG33" s="259" t="s">
        <v>536</v>
      </c>
    </row>
    <row r="34" spans="1:33" ht="25.5" outlineLevel="1" x14ac:dyDescent="0.25">
      <c r="A34" s="603" t="s">
        <v>446</v>
      </c>
      <c r="B34" s="593" t="s">
        <v>112</v>
      </c>
      <c r="C34" s="35" t="s">
        <v>24</v>
      </c>
      <c r="D34" s="259" t="s">
        <v>21</v>
      </c>
      <c r="E34" s="259" t="s">
        <v>21</v>
      </c>
      <c r="F34" s="855" t="s">
        <v>26</v>
      </c>
      <c r="G34" s="36">
        <v>350</v>
      </c>
      <c r="H34" s="628">
        <v>0</v>
      </c>
      <c r="I34" s="2082">
        <v>0</v>
      </c>
      <c r="J34" s="605">
        <v>0</v>
      </c>
      <c r="K34" s="337">
        <v>0</v>
      </c>
      <c r="L34" s="337">
        <v>0</v>
      </c>
      <c r="M34" s="257">
        <v>0</v>
      </c>
      <c r="N34" s="735">
        <v>0</v>
      </c>
      <c r="O34" s="761">
        <v>0</v>
      </c>
      <c r="P34" s="346">
        <f t="shared" si="5"/>
        <v>0</v>
      </c>
      <c r="Q34" s="632">
        <v>0</v>
      </c>
      <c r="R34" s="632">
        <v>350</v>
      </c>
      <c r="S34" s="605">
        <v>0</v>
      </c>
      <c r="T34" s="337">
        <v>0</v>
      </c>
      <c r="U34" s="257">
        <v>0</v>
      </c>
      <c r="V34" s="1058">
        <v>0</v>
      </c>
      <c r="W34" s="489">
        <v>0</v>
      </c>
      <c r="X34" s="852">
        <v>0</v>
      </c>
      <c r="Y34" s="489">
        <v>0</v>
      </c>
      <c r="Z34" s="257">
        <v>0</v>
      </c>
      <c r="AA34" s="436" t="s">
        <v>1242</v>
      </c>
      <c r="AB34" s="35" t="s">
        <v>13</v>
      </c>
      <c r="AC34" s="448" t="s">
        <v>321</v>
      </c>
      <c r="AD34" s="448" t="s">
        <v>119</v>
      </c>
      <c r="AE34" s="448" t="s">
        <v>119</v>
      </c>
      <c r="AF34" s="342" t="s">
        <v>130</v>
      </c>
      <c r="AG34" s="259" t="s">
        <v>382</v>
      </c>
    </row>
    <row r="35" spans="1:33" ht="30" outlineLevel="1" x14ac:dyDescent="0.25">
      <c r="A35" s="1475" t="s">
        <v>105</v>
      </c>
      <c r="B35" s="1476" t="s">
        <v>927</v>
      </c>
      <c r="C35" s="372" t="s">
        <v>482</v>
      </c>
      <c r="D35" s="1477" t="s">
        <v>21</v>
      </c>
      <c r="E35" s="1477" t="s">
        <v>21</v>
      </c>
      <c r="F35" s="1478" t="s">
        <v>125</v>
      </c>
      <c r="G35" s="1479">
        <v>171855</v>
      </c>
      <c r="H35" s="1480">
        <v>32599.591049999999</v>
      </c>
      <c r="I35" s="2090">
        <v>25907.056929999999</v>
      </c>
      <c r="J35" s="1481">
        <v>0</v>
      </c>
      <c r="K35" s="1482">
        <v>2000</v>
      </c>
      <c r="L35" s="1482">
        <v>18000</v>
      </c>
      <c r="M35" s="1483">
        <f>20348+0.35202</f>
        <v>20348.352019999998</v>
      </c>
      <c r="N35" s="1484">
        <v>13348.35202</v>
      </c>
      <c r="O35" s="1172">
        <v>27000</v>
      </c>
      <c r="P35" s="1485">
        <f t="shared" si="5"/>
        <v>40348.352019999998</v>
      </c>
      <c r="Q35" s="1486">
        <v>60000</v>
      </c>
      <c r="R35" s="1487">
        <v>13000</v>
      </c>
      <c r="S35" s="1481">
        <v>0</v>
      </c>
      <c r="T35" s="1482">
        <v>0</v>
      </c>
      <c r="U35" s="1483">
        <v>0</v>
      </c>
      <c r="V35" s="1488">
        <v>0</v>
      </c>
      <c r="W35" s="1489">
        <v>0</v>
      </c>
      <c r="X35" s="1489">
        <v>0</v>
      </c>
      <c r="Y35" s="1489">
        <v>0</v>
      </c>
      <c r="Z35" s="1483">
        <v>0</v>
      </c>
      <c r="AA35" s="437" t="s">
        <v>1243</v>
      </c>
      <c r="AB35" s="372" t="s">
        <v>16</v>
      </c>
      <c r="AC35" s="1490" t="s">
        <v>537</v>
      </c>
      <c r="AD35" s="1490" t="s">
        <v>120</v>
      </c>
      <c r="AE35" s="1490" t="s">
        <v>120</v>
      </c>
      <c r="AF35" s="373" t="s">
        <v>128</v>
      </c>
      <c r="AG35" s="1477" t="s">
        <v>112</v>
      </c>
    </row>
    <row r="36" spans="1:33" ht="26.25" outlineLevel="1" thickBot="1" x14ac:dyDescent="0.3">
      <c r="A36" s="894" t="s">
        <v>106</v>
      </c>
      <c r="B36" s="895" t="s">
        <v>112</v>
      </c>
      <c r="C36" s="91" t="s">
        <v>482</v>
      </c>
      <c r="D36" s="896" t="s">
        <v>21</v>
      </c>
      <c r="E36" s="896" t="s">
        <v>21</v>
      </c>
      <c r="F36" s="897" t="s">
        <v>100</v>
      </c>
      <c r="G36" s="92">
        <v>10599.735420000001</v>
      </c>
      <c r="H36" s="206">
        <v>0</v>
      </c>
      <c r="I36" s="2136">
        <v>0</v>
      </c>
      <c r="J36" s="901">
        <v>0</v>
      </c>
      <c r="K36" s="902">
        <v>0</v>
      </c>
      <c r="L36" s="902">
        <f>1000-0.26458</f>
        <v>999.73541999999998</v>
      </c>
      <c r="M36" s="905">
        <v>0</v>
      </c>
      <c r="N36" s="1491">
        <v>10599.735420000001</v>
      </c>
      <c r="O36" s="1231">
        <v>-9600</v>
      </c>
      <c r="P36" s="1231">
        <f t="shared" si="5"/>
        <v>999.73542000000089</v>
      </c>
      <c r="Q36" s="1491">
        <v>9600</v>
      </c>
      <c r="R36" s="1492">
        <v>0</v>
      </c>
      <c r="S36" s="1493">
        <v>0</v>
      </c>
      <c r="T36" s="1494">
        <v>0</v>
      </c>
      <c r="U36" s="905">
        <v>0</v>
      </c>
      <c r="V36" s="1495">
        <v>0</v>
      </c>
      <c r="W36" s="903">
        <v>0</v>
      </c>
      <c r="X36" s="903">
        <v>0</v>
      </c>
      <c r="Y36" s="903">
        <v>0</v>
      </c>
      <c r="Z36" s="1496">
        <v>0</v>
      </c>
      <c r="AA36" s="209" t="s">
        <v>1244</v>
      </c>
      <c r="AB36" s="91" t="s">
        <v>13</v>
      </c>
      <c r="AC36" s="449" t="s">
        <v>517</v>
      </c>
      <c r="AD36" s="449" t="s">
        <v>119</v>
      </c>
      <c r="AE36" s="449" t="s">
        <v>119</v>
      </c>
      <c r="AF36" s="179" t="s">
        <v>128</v>
      </c>
      <c r="AG36" s="896" t="s">
        <v>369</v>
      </c>
    </row>
    <row r="37" spans="1:33" ht="25.5" outlineLevel="1" x14ac:dyDescent="0.25">
      <c r="A37" s="962" t="s">
        <v>189</v>
      </c>
      <c r="B37" s="837" t="s">
        <v>112</v>
      </c>
      <c r="C37" s="70" t="s">
        <v>483</v>
      </c>
      <c r="D37" s="964" t="s">
        <v>21</v>
      </c>
      <c r="E37" s="838" t="s">
        <v>21</v>
      </c>
      <c r="F37" s="882" t="s">
        <v>184</v>
      </c>
      <c r="G37" s="80">
        <v>16180</v>
      </c>
      <c r="H37" s="205">
        <v>0</v>
      </c>
      <c r="I37" s="221">
        <v>0</v>
      </c>
      <c r="J37" s="968">
        <v>775</v>
      </c>
      <c r="K37" s="969">
        <v>0</v>
      </c>
      <c r="L37" s="969">
        <v>0</v>
      </c>
      <c r="M37" s="970">
        <v>0</v>
      </c>
      <c r="N37" s="1497">
        <v>1775</v>
      </c>
      <c r="O37" s="884">
        <v>-1000</v>
      </c>
      <c r="P37" s="884">
        <f t="shared" si="5"/>
        <v>775</v>
      </c>
      <c r="Q37" s="1497">
        <v>1000</v>
      </c>
      <c r="R37" s="1497">
        <f>16180-775-1000</f>
        <v>14405</v>
      </c>
      <c r="S37" s="968">
        <v>0</v>
      </c>
      <c r="T37" s="969">
        <v>0</v>
      </c>
      <c r="U37" s="1498">
        <v>0</v>
      </c>
      <c r="V37" s="1467">
        <v>0</v>
      </c>
      <c r="W37" s="1499">
        <v>0</v>
      </c>
      <c r="X37" s="886">
        <v>0</v>
      </c>
      <c r="Y37" s="886">
        <v>0</v>
      </c>
      <c r="Z37" s="970">
        <v>0</v>
      </c>
      <c r="AA37" s="88" t="s">
        <v>1245</v>
      </c>
      <c r="AB37" s="70" t="s">
        <v>16</v>
      </c>
      <c r="AC37" s="1074" t="s">
        <v>325</v>
      </c>
      <c r="AD37" s="1075" t="s">
        <v>120</v>
      </c>
      <c r="AE37" s="1075" t="s">
        <v>120</v>
      </c>
      <c r="AF37" s="181" t="s">
        <v>128</v>
      </c>
      <c r="AG37" s="964" t="s">
        <v>112</v>
      </c>
    </row>
    <row r="38" spans="1:33" ht="45" outlineLevel="1" x14ac:dyDescent="0.25">
      <c r="A38" s="836" t="s">
        <v>190</v>
      </c>
      <c r="B38" s="881" t="s">
        <v>928</v>
      </c>
      <c r="C38" s="70" t="s">
        <v>484</v>
      </c>
      <c r="D38" s="838" t="s">
        <v>21</v>
      </c>
      <c r="E38" s="838" t="s">
        <v>21</v>
      </c>
      <c r="F38" s="889" t="s">
        <v>185</v>
      </c>
      <c r="G38" s="83">
        <v>37406</v>
      </c>
      <c r="H38" s="205">
        <v>35595.609339999995</v>
      </c>
      <c r="I38" s="221">
        <v>841.51047999999992</v>
      </c>
      <c r="J38" s="844">
        <v>0</v>
      </c>
      <c r="K38" s="846">
        <v>0</v>
      </c>
      <c r="L38" s="845">
        <v>0</v>
      </c>
      <c r="M38" s="974">
        <f>437-0.11982</f>
        <v>436.88018</v>
      </c>
      <c r="N38" s="208">
        <v>968.88018</v>
      </c>
      <c r="O38" s="884">
        <v>-532</v>
      </c>
      <c r="P38" s="885">
        <f t="shared" si="5"/>
        <v>436.88018</v>
      </c>
      <c r="Q38" s="842">
        <v>437</v>
      </c>
      <c r="R38" s="1500">
        <v>95</v>
      </c>
      <c r="S38" s="844">
        <v>0</v>
      </c>
      <c r="T38" s="845">
        <v>0</v>
      </c>
      <c r="U38" s="847">
        <v>0</v>
      </c>
      <c r="V38" s="1473">
        <v>0</v>
      </c>
      <c r="W38" s="846">
        <v>0</v>
      </c>
      <c r="X38" s="886">
        <v>0</v>
      </c>
      <c r="Y38" s="846">
        <v>0</v>
      </c>
      <c r="Z38" s="847">
        <v>0</v>
      </c>
      <c r="AA38" s="62" t="s">
        <v>1246</v>
      </c>
      <c r="AB38" s="71" t="s">
        <v>16</v>
      </c>
      <c r="AC38" s="1501" t="s">
        <v>257</v>
      </c>
      <c r="AD38" s="848" t="s">
        <v>120</v>
      </c>
      <c r="AE38" s="848" t="s">
        <v>120</v>
      </c>
      <c r="AF38" s="85" t="s">
        <v>128</v>
      </c>
      <c r="AG38" s="838" t="s">
        <v>369</v>
      </c>
    </row>
    <row r="39" spans="1:33" ht="30" outlineLevel="1" x14ac:dyDescent="0.25">
      <c r="A39" s="836" t="s">
        <v>191</v>
      </c>
      <c r="B39" s="881" t="s">
        <v>929</v>
      </c>
      <c r="C39" s="70" t="s">
        <v>484</v>
      </c>
      <c r="D39" s="838" t="s">
        <v>21</v>
      </c>
      <c r="E39" s="838" t="s">
        <v>21</v>
      </c>
      <c r="F39" s="889" t="s">
        <v>186</v>
      </c>
      <c r="G39" s="83">
        <v>250000</v>
      </c>
      <c r="H39" s="205">
        <v>18480.697840000001</v>
      </c>
      <c r="I39" s="221">
        <v>76711.411359999984</v>
      </c>
      <c r="J39" s="844">
        <v>10000</v>
      </c>
      <c r="K39" s="845">
        <v>10000</v>
      </c>
      <c r="L39" s="845">
        <v>10302</v>
      </c>
      <c r="M39" s="847">
        <f>30000-0.1092-5000</f>
        <v>24999.890800000001</v>
      </c>
      <c r="N39" s="208">
        <v>83301.890800000008</v>
      </c>
      <c r="O39" s="884">
        <v>-28000</v>
      </c>
      <c r="P39" s="885">
        <f t="shared" si="5"/>
        <v>55301.890800000008</v>
      </c>
      <c r="Q39" s="842">
        <v>60000</v>
      </c>
      <c r="R39" s="842">
        <f>34506+5000</f>
        <v>39506</v>
      </c>
      <c r="S39" s="844">
        <v>0</v>
      </c>
      <c r="T39" s="845">
        <v>0</v>
      </c>
      <c r="U39" s="847">
        <v>0</v>
      </c>
      <c r="V39" s="1073">
        <v>0</v>
      </c>
      <c r="W39" s="886">
        <v>0</v>
      </c>
      <c r="X39" s="886">
        <v>0</v>
      </c>
      <c r="Y39" s="886">
        <v>0</v>
      </c>
      <c r="Z39" s="970">
        <v>0</v>
      </c>
      <c r="AA39" s="88" t="s">
        <v>1443</v>
      </c>
      <c r="AB39" s="71" t="s">
        <v>16</v>
      </c>
      <c r="AC39" s="1501" t="s">
        <v>118</v>
      </c>
      <c r="AD39" s="848" t="s">
        <v>120</v>
      </c>
      <c r="AE39" s="848" t="s">
        <v>120</v>
      </c>
      <c r="AF39" s="85" t="s">
        <v>128</v>
      </c>
      <c r="AG39" s="838" t="s">
        <v>112</v>
      </c>
    </row>
    <row r="40" spans="1:33" s="406" customFormat="1" ht="25.5" outlineLevel="1" x14ac:dyDescent="0.25">
      <c r="A40" s="17" t="s">
        <v>192</v>
      </c>
      <c r="B40" s="593" t="s">
        <v>930</v>
      </c>
      <c r="C40" s="33" t="s">
        <v>484</v>
      </c>
      <c r="D40" s="259" t="s">
        <v>21</v>
      </c>
      <c r="E40" s="259" t="s">
        <v>21</v>
      </c>
      <c r="F40" s="478" t="s">
        <v>215</v>
      </c>
      <c r="G40" s="1">
        <f>20196-0.49718</f>
        <v>20195.502820000002</v>
      </c>
      <c r="H40" s="193">
        <v>5072.9997599999997</v>
      </c>
      <c r="I40" s="2091">
        <v>15122.503060000001</v>
      </c>
      <c r="J40" s="429">
        <v>0</v>
      </c>
      <c r="K40" s="430">
        <v>0</v>
      </c>
      <c r="L40" s="430">
        <v>0</v>
      </c>
      <c r="M40" s="431">
        <v>0</v>
      </c>
      <c r="N40" s="485">
        <v>0</v>
      </c>
      <c r="O40" s="285">
        <v>0</v>
      </c>
      <c r="P40" s="272">
        <f t="shared" si="5"/>
        <v>0</v>
      </c>
      <c r="Q40" s="432">
        <v>0</v>
      </c>
      <c r="R40" s="581">
        <v>0</v>
      </c>
      <c r="S40" s="429">
        <v>0</v>
      </c>
      <c r="T40" s="430">
        <v>0</v>
      </c>
      <c r="U40" s="431">
        <v>0</v>
      </c>
      <c r="V40" s="433">
        <v>0</v>
      </c>
      <c r="W40" s="434">
        <v>0</v>
      </c>
      <c r="X40" s="236">
        <v>0</v>
      </c>
      <c r="Y40" s="236">
        <v>0</v>
      </c>
      <c r="Z40" s="105">
        <v>0</v>
      </c>
      <c r="AA40" s="378" t="s">
        <v>109</v>
      </c>
      <c r="AB40" s="5" t="s">
        <v>123</v>
      </c>
      <c r="AC40" s="53" t="s">
        <v>301</v>
      </c>
      <c r="AD40" s="526" t="s">
        <v>120</v>
      </c>
      <c r="AE40" s="526" t="s">
        <v>120</v>
      </c>
      <c r="AF40" s="435" t="s">
        <v>128</v>
      </c>
      <c r="AG40" s="426" t="s">
        <v>371</v>
      </c>
    </row>
    <row r="41" spans="1:33" s="406" customFormat="1" ht="25.5" outlineLevel="1" x14ac:dyDescent="0.25">
      <c r="A41" s="17" t="s">
        <v>193</v>
      </c>
      <c r="B41" s="13" t="s">
        <v>931</v>
      </c>
      <c r="C41" s="6" t="s">
        <v>237</v>
      </c>
      <c r="D41" s="426" t="s">
        <v>21</v>
      </c>
      <c r="E41" s="426" t="s">
        <v>21</v>
      </c>
      <c r="F41" s="478" t="s">
        <v>187</v>
      </c>
      <c r="G41" s="1">
        <f>4611-0.72378</f>
        <v>4610.2762199999997</v>
      </c>
      <c r="H41" s="193">
        <v>0</v>
      </c>
      <c r="I41" s="2091">
        <v>4610.2762199999997</v>
      </c>
      <c r="J41" s="429">
        <v>0</v>
      </c>
      <c r="K41" s="430">
        <v>0</v>
      </c>
      <c r="L41" s="588">
        <v>0</v>
      </c>
      <c r="M41" s="567">
        <v>0</v>
      </c>
      <c r="N41" s="524">
        <v>0</v>
      </c>
      <c r="O41" s="285">
        <v>0</v>
      </c>
      <c r="P41" s="272">
        <f t="shared" si="5"/>
        <v>0</v>
      </c>
      <c r="Q41" s="1027">
        <v>0</v>
      </c>
      <c r="R41" s="1028">
        <v>0</v>
      </c>
      <c r="S41" s="429">
        <v>0</v>
      </c>
      <c r="T41" s="430">
        <v>0</v>
      </c>
      <c r="U41" s="431">
        <v>0</v>
      </c>
      <c r="V41" s="433">
        <v>0</v>
      </c>
      <c r="W41" s="434">
        <v>0</v>
      </c>
      <c r="X41" s="236">
        <v>0</v>
      </c>
      <c r="Y41" s="434">
        <v>0</v>
      </c>
      <c r="Z41" s="431">
        <v>0</v>
      </c>
      <c r="AA41" s="378" t="s">
        <v>109</v>
      </c>
      <c r="AB41" s="5" t="s">
        <v>123</v>
      </c>
      <c r="AC41" s="53" t="s">
        <v>301</v>
      </c>
      <c r="AD41" s="526" t="s">
        <v>120</v>
      </c>
      <c r="AE41" s="526" t="s">
        <v>120</v>
      </c>
      <c r="AF41" s="435" t="s">
        <v>128</v>
      </c>
      <c r="AG41" s="426" t="s">
        <v>370</v>
      </c>
    </row>
    <row r="42" spans="1:33" s="406" customFormat="1" ht="26.25" outlineLevel="1" thickBot="1" x14ac:dyDescent="0.3">
      <c r="A42" s="474" t="s">
        <v>194</v>
      </c>
      <c r="B42" s="475" t="s">
        <v>932</v>
      </c>
      <c r="C42" s="24" t="s">
        <v>237</v>
      </c>
      <c r="D42" s="508" t="s">
        <v>21</v>
      </c>
      <c r="E42" s="508" t="s">
        <v>21</v>
      </c>
      <c r="F42" s="1205" t="s">
        <v>188</v>
      </c>
      <c r="G42" s="516">
        <f>55161-24161+567.03418+947.31723</f>
        <v>32514.351409999999</v>
      </c>
      <c r="H42" s="959">
        <v>5161</v>
      </c>
      <c r="I42" s="699">
        <v>27353.351409999999</v>
      </c>
      <c r="J42" s="556">
        <v>0</v>
      </c>
      <c r="K42" s="518">
        <v>0</v>
      </c>
      <c r="L42" s="518">
        <v>0</v>
      </c>
      <c r="M42" s="702">
        <v>0</v>
      </c>
      <c r="N42" s="203">
        <v>0</v>
      </c>
      <c r="O42" s="284">
        <v>0</v>
      </c>
      <c r="P42" s="269">
        <f t="shared" si="5"/>
        <v>0</v>
      </c>
      <c r="Q42" s="517">
        <v>0</v>
      </c>
      <c r="R42" s="555">
        <v>0</v>
      </c>
      <c r="S42" s="556">
        <v>0</v>
      </c>
      <c r="T42" s="518">
        <v>0</v>
      </c>
      <c r="U42" s="702">
        <v>0</v>
      </c>
      <c r="V42" s="701">
        <f>31567.03418+947.31723</f>
        <v>32514.351409999999</v>
      </c>
      <c r="W42" s="519">
        <v>32514.351409999999</v>
      </c>
      <c r="X42" s="519">
        <v>0</v>
      </c>
      <c r="Y42" s="519">
        <v>0</v>
      </c>
      <c r="Z42" s="702">
        <v>0</v>
      </c>
      <c r="AA42" s="24" t="s">
        <v>109</v>
      </c>
      <c r="AB42" s="24" t="s">
        <v>123</v>
      </c>
      <c r="AC42" s="703" t="s">
        <v>233</v>
      </c>
      <c r="AD42" s="557" t="s">
        <v>120</v>
      </c>
      <c r="AE42" s="557" t="s">
        <v>120</v>
      </c>
      <c r="AF42" s="520" t="s">
        <v>128</v>
      </c>
      <c r="AG42" s="508" t="s">
        <v>382</v>
      </c>
    </row>
    <row r="43" spans="1:33" ht="25.5" outlineLevel="1" x14ac:dyDescent="0.25">
      <c r="A43" s="962" t="s">
        <v>197</v>
      </c>
      <c r="B43" s="837" t="s">
        <v>933</v>
      </c>
      <c r="C43" s="70" t="s">
        <v>235</v>
      </c>
      <c r="D43" s="964" t="s">
        <v>21</v>
      </c>
      <c r="E43" s="964" t="s">
        <v>21</v>
      </c>
      <c r="F43" s="882" t="s">
        <v>198</v>
      </c>
      <c r="G43" s="80">
        <v>52400</v>
      </c>
      <c r="H43" s="205">
        <v>913.55</v>
      </c>
      <c r="I43" s="221">
        <v>0</v>
      </c>
      <c r="J43" s="968">
        <v>0</v>
      </c>
      <c r="K43" s="969">
        <v>200</v>
      </c>
      <c r="L43" s="969">
        <v>0</v>
      </c>
      <c r="M43" s="1071">
        <f>286+0.45</f>
        <v>286.45</v>
      </c>
      <c r="N43" s="208">
        <v>1486.45</v>
      </c>
      <c r="O43" s="884">
        <v>-1000</v>
      </c>
      <c r="P43" s="884">
        <f t="shared" si="5"/>
        <v>486.45000000000005</v>
      </c>
      <c r="Q43" s="234">
        <v>1000</v>
      </c>
      <c r="R43" s="234">
        <v>50000</v>
      </c>
      <c r="S43" s="968">
        <v>0</v>
      </c>
      <c r="T43" s="969">
        <v>0</v>
      </c>
      <c r="U43" s="970">
        <v>0</v>
      </c>
      <c r="V43" s="1073">
        <v>0</v>
      </c>
      <c r="W43" s="969">
        <v>0</v>
      </c>
      <c r="X43" s="886">
        <v>0</v>
      </c>
      <c r="Y43" s="886">
        <v>0</v>
      </c>
      <c r="Z43" s="970">
        <v>0</v>
      </c>
      <c r="AA43" s="88" t="s">
        <v>1247</v>
      </c>
      <c r="AB43" s="70" t="s">
        <v>11</v>
      </c>
      <c r="AC43" s="1074" t="s">
        <v>485</v>
      </c>
      <c r="AD43" s="1075" t="s">
        <v>119</v>
      </c>
      <c r="AE43" s="1075" t="s">
        <v>119</v>
      </c>
      <c r="AF43" s="181" t="s">
        <v>128</v>
      </c>
      <c r="AG43" s="964" t="s">
        <v>367</v>
      </c>
    </row>
    <row r="44" spans="1:33" ht="25.5" outlineLevel="1" x14ac:dyDescent="0.25">
      <c r="A44" s="603" t="s">
        <v>199</v>
      </c>
      <c r="B44" s="593" t="s">
        <v>934</v>
      </c>
      <c r="C44" s="35" t="s">
        <v>235</v>
      </c>
      <c r="D44" s="259" t="s">
        <v>21</v>
      </c>
      <c r="E44" s="259" t="s">
        <v>21</v>
      </c>
      <c r="F44" s="855" t="s">
        <v>241</v>
      </c>
      <c r="G44" s="36">
        <f>9043+2500</f>
        <v>11543</v>
      </c>
      <c r="H44" s="693">
        <v>6542.3272200000001</v>
      </c>
      <c r="I44" s="629">
        <v>0</v>
      </c>
      <c r="J44" s="605">
        <v>0</v>
      </c>
      <c r="K44" s="489">
        <f>5001-0.32722</f>
        <v>5000.6727799999999</v>
      </c>
      <c r="L44" s="337">
        <v>0</v>
      </c>
      <c r="M44" s="1055">
        <v>0</v>
      </c>
      <c r="N44" s="732">
        <v>5000.6727799999999</v>
      </c>
      <c r="O44" s="759">
        <v>0</v>
      </c>
      <c r="P44" s="346">
        <f t="shared" si="5"/>
        <v>5000.6727799999999</v>
      </c>
      <c r="Q44" s="632">
        <v>0</v>
      </c>
      <c r="R44" s="1056">
        <v>0</v>
      </c>
      <c r="S44" s="605">
        <v>0</v>
      </c>
      <c r="T44" s="337">
        <v>0</v>
      </c>
      <c r="U44" s="257">
        <v>0</v>
      </c>
      <c r="V44" s="1080">
        <v>0</v>
      </c>
      <c r="W44" s="852">
        <v>0</v>
      </c>
      <c r="X44" s="852">
        <v>0</v>
      </c>
      <c r="Y44" s="852">
        <v>0</v>
      </c>
      <c r="Z44" s="626">
        <v>0</v>
      </c>
      <c r="AA44" s="34" t="s">
        <v>1408</v>
      </c>
      <c r="AB44" s="35" t="s">
        <v>16</v>
      </c>
      <c r="AC44" s="586" t="s">
        <v>485</v>
      </c>
      <c r="AD44" s="448" t="s">
        <v>120</v>
      </c>
      <c r="AE44" s="448" t="s">
        <v>120</v>
      </c>
      <c r="AF44" s="342" t="s">
        <v>128</v>
      </c>
      <c r="AG44" s="259" t="s">
        <v>362</v>
      </c>
    </row>
    <row r="45" spans="1:33" ht="25.5" outlineLevel="1" x14ac:dyDescent="0.25">
      <c r="A45" s="1502" t="s">
        <v>200</v>
      </c>
      <c r="B45" s="1503" t="s">
        <v>935</v>
      </c>
      <c r="C45" s="531" t="s">
        <v>235</v>
      </c>
      <c r="D45" s="538" t="s">
        <v>21</v>
      </c>
      <c r="E45" s="538" t="s">
        <v>21</v>
      </c>
      <c r="F45" s="1504" t="s">
        <v>201</v>
      </c>
      <c r="G45" s="1505">
        <f>4631.13222</f>
        <v>4631.1322200000004</v>
      </c>
      <c r="H45" s="559">
        <v>4631.1322200000004</v>
      </c>
      <c r="I45" s="2092">
        <v>0</v>
      </c>
      <c r="J45" s="560">
        <v>0</v>
      </c>
      <c r="K45" s="562">
        <v>0</v>
      </c>
      <c r="L45" s="562">
        <v>0</v>
      </c>
      <c r="M45" s="563">
        <v>0</v>
      </c>
      <c r="N45" s="550">
        <v>130</v>
      </c>
      <c r="O45" s="533">
        <v>-130</v>
      </c>
      <c r="P45" s="534">
        <f t="shared" si="5"/>
        <v>0</v>
      </c>
      <c r="Q45" s="1506">
        <v>0</v>
      </c>
      <c r="R45" s="1507">
        <v>0</v>
      </c>
      <c r="S45" s="560">
        <v>0</v>
      </c>
      <c r="T45" s="562">
        <v>0</v>
      </c>
      <c r="U45" s="563">
        <v>0</v>
      </c>
      <c r="V45" s="564">
        <v>0</v>
      </c>
      <c r="W45" s="561">
        <v>0</v>
      </c>
      <c r="X45" s="1508">
        <v>0</v>
      </c>
      <c r="Y45" s="562">
        <v>0</v>
      </c>
      <c r="Z45" s="563">
        <v>0</v>
      </c>
      <c r="AA45" s="59" t="s">
        <v>1248</v>
      </c>
      <c r="AB45" s="531" t="s">
        <v>123</v>
      </c>
      <c r="AC45" s="565" t="s">
        <v>233</v>
      </c>
      <c r="AD45" s="536" t="s">
        <v>120</v>
      </c>
      <c r="AE45" s="536" t="s">
        <v>120</v>
      </c>
      <c r="AF45" s="537" t="s">
        <v>128</v>
      </c>
      <c r="AG45" s="538" t="s">
        <v>374</v>
      </c>
    </row>
    <row r="46" spans="1:33" s="362" customFormat="1" ht="25.5" outlineLevel="1" x14ac:dyDescent="0.25">
      <c r="A46" s="17" t="s">
        <v>202</v>
      </c>
      <c r="B46" s="13" t="s">
        <v>936</v>
      </c>
      <c r="C46" s="5" t="s">
        <v>235</v>
      </c>
      <c r="D46" s="8" t="s">
        <v>21</v>
      </c>
      <c r="E46" s="426" t="s">
        <v>21</v>
      </c>
      <c r="F46" s="478" t="s">
        <v>261</v>
      </c>
      <c r="G46" s="1">
        <f>17836.5258+364.01438</f>
        <v>18200.54018</v>
      </c>
      <c r="H46" s="428">
        <v>17364.014380000001</v>
      </c>
      <c r="I46" s="2093">
        <v>836.5258</v>
      </c>
      <c r="J46" s="429">
        <v>0</v>
      </c>
      <c r="K46" s="430">
        <v>0</v>
      </c>
      <c r="L46" s="430">
        <v>0</v>
      </c>
      <c r="M46" s="567">
        <v>0</v>
      </c>
      <c r="N46" s="524">
        <v>0</v>
      </c>
      <c r="O46" s="286">
        <v>0</v>
      </c>
      <c r="P46" s="272">
        <f t="shared" si="5"/>
        <v>0</v>
      </c>
      <c r="Q46" s="432">
        <v>0</v>
      </c>
      <c r="R46" s="581">
        <v>0</v>
      </c>
      <c r="S46" s="429">
        <v>0</v>
      </c>
      <c r="T46" s="430">
        <v>0</v>
      </c>
      <c r="U46" s="431">
        <v>0</v>
      </c>
      <c r="V46" s="433">
        <v>0</v>
      </c>
      <c r="W46" s="434">
        <v>0</v>
      </c>
      <c r="X46" s="434">
        <v>0</v>
      </c>
      <c r="Y46" s="434">
        <v>0</v>
      </c>
      <c r="Z46" s="431">
        <v>0</v>
      </c>
      <c r="AA46" s="43" t="s">
        <v>109</v>
      </c>
      <c r="AB46" s="5" t="s">
        <v>123</v>
      </c>
      <c r="AC46" s="525" t="s">
        <v>300</v>
      </c>
      <c r="AD46" s="526" t="s">
        <v>120</v>
      </c>
      <c r="AE46" s="526" t="s">
        <v>120</v>
      </c>
      <c r="AF46" s="435" t="s">
        <v>128</v>
      </c>
      <c r="AG46" s="426" t="s">
        <v>367</v>
      </c>
    </row>
    <row r="47" spans="1:33" ht="25.5" outlineLevel="1" x14ac:dyDescent="0.25">
      <c r="A47" s="602" t="s">
        <v>216</v>
      </c>
      <c r="B47" s="599" t="s">
        <v>937</v>
      </c>
      <c r="C47" s="33" t="s">
        <v>238</v>
      </c>
      <c r="D47" s="368" t="s">
        <v>21</v>
      </c>
      <c r="E47" s="368" t="s">
        <v>21</v>
      </c>
      <c r="F47" s="849" t="s">
        <v>217</v>
      </c>
      <c r="G47" s="622">
        <v>200000</v>
      </c>
      <c r="H47" s="693">
        <v>2023.3123900000001</v>
      </c>
      <c r="I47" s="629">
        <v>543.02017000000001</v>
      </c>
      <c r="J47" s="851">
        <v>0</v>
      </c>
      <c r="K47" s="950">
        <v>7841.0939490000019</v>
      </c>
      <c r="L47" s="950">
        <v>0</v>
      </c>
      <c r="M47" s="626">
        <v>18295.885880999998</v>
      </c>
      <c r="N47" s="732">
        <v>26136.97983</v>
      </c>
      <c r="O47" s="759">
        <v>0</v>
      </c>
      <c r="P47" s="345">
        <f t="shared" si="5"/>
        <v>26136.97983</v>
      </c>
      <c r="Q47" s="648">
        <v>20000</v>
      </c>
      <c r="R47" s="648">
        <f>158976.68761+4569+8500-749-20000</f>
        <v>151296.68760999999</v>
      </c>
      <c r="S47" s="851">
        <v>0</v>
      </c>
      <c r="T47" s="950">
        <v>0</v>
      </c>
      <c r="U47" s="626">
        <v>0</v>
      </c>
      <c r="V47" s="1080">
        <v>0</v>
      </c>
      <c r="W47" s="950">
        <v>0</v>
      </c>
      <c r="X47" s="852">
        <v>0</v>
      </c>
      <c r="Y47" s="852">
        <v>0</v>
      </c>
      <c r="Z47" s="626">
        <v>0</v>
      </c>
      <c r="AA47" s="38" t="s">
        <v>109</v>
      </c>
      <c r="AB47" s="33" t="s">
        <v>16</v>
      </c>
      <c r="AC47" s="786" t="s">
        <v>517</v>
      </c>
      <c r="AD47" s="787" t="s">
        <v>120</v>
      </c>
      <c r="AE47" s="787" t="s">
        <v>120</v>
      </c>
      <c r="AF47" s="375" t="s">
        <v>128</v>
      </c>
      <c r="AG47" s="368" t="s">
        <v>112</v>
      </c>
    </row>
    <row r="48" spans="1:33" ht="25.5" outlineLevel="1" x14ac:dyDescent="0.25">
      <c r="A48" s="836" t="s">
        <v>218</v>
      </c>
      <c r="B48" s="881" t="s">
        <v>1054</v>
      </c>
      <c r="C48" s="71" t="s">
        <v>238</v>
      </c>
      <c r="D48" s="838" t="s">
        <v>21</v>
      </c>
      <c r="E48" s="838" t="s">
        <v>21</v>
      </c>
      <c r="F48" s="972" t="s">
        <v>486</v>
      </c>
      <c r="G48" s="83">
        <v>20000</v>
      </c>
      <c r="H48" s="205">
        <v>0</v>
      </c>
      <c r="I48" s="221">
        <v>716.92499999999995</v>
      </c>
      <c r="J48" s="844">
        <v>0</v>
      </c>
      <c r="K48" s="845">
        <v>1000</v>
      </c>
      <c r="L48" s="845">
        <v>1000</v>
      </c>
      <c r="M48" s="847">
        <f>3000+0.075</f>
        <v>3000.0749999999998</v>
      </c>
      <c r="N48" s="208">
        <v>8283.0750000000007</v>
      </c>
      <c r="O48" s="884">
        <v>-3283</v>
      </c>
      <c r="P48" s="885">
        <f t="shared" si="5"/>
        <v>5000.0750000000007</v>
      </c>
      <c r="Q48" s="1500">
        <v>11000</v>
      </c>
      <c r="R48" s="1500">
        <v>3283</v>
      </c>
      <c r="S48" s="844">
        <v>0</v>
      </c>
      <c r="T48" s="845">
        <v>0</v>
      </c>
      <c r="U48" s="847">
        <v>0</v>
      </c>
      <c r="V48" s="1073">
        <v>0</v>
      </c>
      <c r="W48" s="969">
        <v>0</v>
      </c>
      <c r="X48" s="886">
        <v>0</v>
      </c>
      <c r="Y48" s="886">
        <v>0</v>
      </c>
      <c r="Z48" s="970">
        <v>0</v>
      </c>
      <c r="AA48" s="62" t="s">
        <v>1249</v>
      </c>
      <c r="AB48" s="71" t="s">
        <v>16</v>
      </c>
      <c r="AC48" s="1501" t="s">
        <v>1250</v>
      </c>
      <c r="AD48" s="848" t="s">
        <v>120</v>
      </c>
      <c r="AE48" s="848" t="s">
        <v>120</v>
      </c>
      <c r="AF48" s="85" t="s">
        <v>128</v>
      </c>
      <c r="AG48" s="838" t="s">
        <v>112</v>
      </c>
    </row>
    <row r="49" spans="1:33" ht="25.5" outlineLevel="1" x14ac:dyDescent="0.25">
      <c r="A49" s="836" t="s">
        <v>219</v>
      </c>
      <c r="B49" s="881" t="s">
        <v>938</v>
      </c>
      <c r="C49" s="71" t="s">
        <v>238</v>
      </c>
      <c r="D49" s="838" t="s">
        <v>21</v>
      </c>
      <c r="E49" s="838" t="s">
        <v>21</v>
      </c>
      <c r="F49" s="889" t="s">
        <v>240</v>
      </c>
      <c r="G49" s="83">
        <v>110000</v>
      </c>
      <c r="H49" s="205">
        <v>1041.7688599999999</v>
      </c>
      <c r="I49" s="221">
        <v>0</v>
      </c>
      <c r="J49" s="968">
        <v>0</v>
      </c>
      <c r="K49" s="969">
        <v>5000</v>
      </c>
      <c r="L49" s="969">
        <v>1000</v>
      </c>
      <c r="M49" s="970">
        <f>3958+0.23114</f>
        <v>3958.2311399999999</v>
      </c>
      <c r="N49" s="208">
        <v>22958.23114</v>
      </c>
      <c r="O49" s="884">
        <v>-13000</v>
      </c>
      <c r="P49" s="885">
        <f t="shared" si="5"/>
        <v>9958.2311399999999</v>
      </c>
      <c r="Q49" s="841">
        <v>13000</v>
      </c>
      <c r="R49" s="841">
        <v>86000</v>
      </c>
      <c r="S49" s="844">
        <v>0</v>
      </c>
      <c r="T49" s="845">
        <v>0</v>
      </c>
      <c r="U49" s="847">
        <v>0</v>
      </c>
      <c r="V49" s="1073">
        <v>0</v>
      </c>
      <c r="W49" s="969">
        <v>0</v>
      </c>
      <c r="X49" s="886">
        <v>0</v>
      </c>
      <c r="Y49" s="886">
        <v>0</v>
      </c>
      <c r="Z49" s="970">
        <v>0</v>
      </c>
      <c r="AA49" s="88" t="s">
        <v>1251</v>
      </c>
      <c r="AB49" s="71" t="s">
        <v>16</v>
      </c>
      <c r="AC49" s="1501" t="s">
        <v>299</v>
      </c>
      <c r="AD49" s="848" t="s">
        <v>120</v>
      </c>
      <c r="AE49" s="848" t="s">
        <v>120</v>
      </c>
      <c r="AF49" s="85" t="s">
        <v>128</v>
      </c>
      <c r="AG49" s="838" t="s">
        <v>112</v>
      </c>
    </row>
    <row r="50" spans="1:33" ht="25.5" outlineLevel="1" x14ac:dyDescent="0.25">
      <c r="A50" s="603" t="s">
        <v>220</v>
      </c>
      <c r="B50" s="593" t="s">
        <v>939</v>
      </c>
      <c r="C50" s="35" t="s">
        <v>238</v>
      </c>
      <c r="D50" s="259" t="s">
        <v>21</v>
      </c>
      <c r="E50" s="259" t="s">
        <v>21</v>
      </c>
      <c r="F50" s="855" t="s">
        <v>221</v>
      </c>
      <c r="G50" s="36">
        <v>54000</v>
      </c>
      <c r="H50" s="693">
        <v>8748.482</v>
      </c>
      <c r="I50" s="629">
        <v>942.16599999999994</v>
      </c>
      <c r="J50" s="605">
        <v>0</v>
      </c>
      <c r="K50" s="337">
        <v>1427.3570999999997</v>
      </c>
      <c r="L50" s="337">
        <v>0</v>
      </c>
      <c r="M50" s="257">
        <v>3330.4998999999993</v>
      </c>
      <c r="N50" s="732">
        <v>4757.8569999999991</v>
      </c>
      <c r="O50" s="759">
        <v>0</v>
      </c>
      <c r="P50" s="346">
        <f t="shared" si="5"/>
        <v>4757.8569999999991</v>
      </c>
      <c r="Q50" s="824">
        <v>5000</v>
      </c>
      <c r="R50" s="824">
        <f>35251.495-700</f>
        <v>34551.495000000003</v>
      </c>
      <c r="S50" s="605">
        <v>0</v>
      </c>
      <c r="T50" s="337">
        <v>0</v>
      </c>
      <c r="U50" s="257">
        <v>0</v>
      </c>
      <c r="V50" s="1080">
        <v>0</v>
      </c>
      <c r="W50" s="950">
        <v>0</v>
      </c>
      <c r="X50" s="852">
        <v>0</v>
      </c>
      <c r="Y50" s="852">
        <v>0</v>
      </c>
      <c r="Z50" s="626">
        <v>0</v>
      </c>
      <c r="AA50" s="34" t="s">
        <v>885</v>
      </c>
      <c r="AB50" s="654" t="s">
        <v>16</v>
      </c>
      <c r="AC50" s="586" t="s">
        <v>321</v>
      </c>
      <c r="AD50" s="448" t="s">
        <v>120</v>
      </c>
      <c r="AE50" s="448" t="s">
        <v>120</v>
      </c>
      <c r="AF50" s="342" t="s">
        <v>128</v>
      </c>
      <c r="AG50" s="259" t="s">
        <v>112</v>
      </c>
    </row>
    <row r="51" spans="1:33" s="406" customFormat="1" ht="25.5" outlineLevel="1" x14ac:dyDescent="0.25">
      <c r="A51" s="603" t="s">
        <v>222</v>
      </c>
      <c r="B51" s="593" t="s">
        <v>940</v>
      </c>
      <c r="C51" s="35" t="s">
        <v>238</v>
      </c>
      <c r="D51" s="259" t="s">
        <v>21</v>
      </c>
      <c r="E51" s="259" t="s">
        <v>21</v>
      </c>
      <c r="F51" s="855" t="s">
        <v>223</v>
      </c>
      <c r="G51" s="36">
        <v>45000</v>
      </c>
      <c r="H51" s="693">
        <v>2987.1112499999999</v>
      </c>
      <c r="I51" s="629">
        <v>38135.999449999996</v>
      </c>
      <c r="J51" s="851">
        <v>3876.8892999999998</v>
      </c>
      <c r="K51" s="950">
        <v>0</v>
      </c>
      <c r="L51" s="950">
        <v>0</v>
      </c>
      <c r="M51" s="626">
        <v>0</v>
      </c>
      <c r="N51" s="732">
        <v>3876.8892999999998</v>
      </c>
      <c r="O51" s="759">
        <v>0</v>
      </c>
      <c r="P51" s="346">
        <f>N51+O51</f>
        <v>3876.8892999999998</v>
      </c>
      <c r="Q51" s="1054">
        <v>0</v>
      </c>
      <c r="R51" s="824">
        <v>0</v>
      </c>
      <c r="S51" s="605">
        <v>0</v>
      </c>
      <c r="T51" s="337">
        <v>0</v>
      </c>
      <c r="U51" s="257">
        <v>0</v>
      </c>
      <c r="V51" s="1058">
        <f>71624-26624</f>
        <v>45000</v>
      </c>
      <c r="W51" s="489">
        <v>41123.110700000005</v>
      </c>
      <c r="X51" s="852">
        <v>0</v>
      </c>
      <c r="Y51" s="489">
        <v>3876.8892999999953</v>
      </c>
      <c r="Z51" s="257">
        <v>0</v>
      </c>
      <c r="AA51" s="35" t="s">
        <v>109</v>
      </c>
      <c r="AB51" s="35" t="s">
        <v>309</v>
      </c>
      <c r="AC51" s="586" t="s">
        <v>493</v>
      </c>
      <c r="AD51" s="448" t="s">
        <v>120</v>
      </c>
      <c r="AE51" s="448" t="s">
        <v>120</v>
      </c>
      <c r="AF51" s="342" t="s">
        <v>128</v>
      </c>
      <c r="AG51" s="259" t="s">
        <v>368</v>
      </c>
    </row>
    <row r="52" spans="1:33" s="406" customFormat="1" ht="25.5" outlineLevel="1" x14ac:dyDescent="0.25">
      <c r="A52" s="603" t="s">
        <v>224</v>
      </c>
      <c r="B52" s="593" t="s">
        <v>941</v>
      </c>
      <c r="C52" s="35" t="s">
        <v>238</v>
      </c>
      <c r="D52" s="259" t="s">
        <v>21</v>
      </c>
      <c r="E52" s="259" t="s">
        <v>21</v>
      </c>
      <c r="F52" s="855" t="s">
        <v>322</v>
      </c>
      <c r="G52" s="36">
        <v>37937</v>
      </c>
      <c r="H52" s="693">
        <v>9835.635690000001</v>
      </c>
      <c r="I52" s="629">
        <v>28100.339720000004</v>
      </c>
      <c r="J52" s="605">
        <v>0</v>
      </c>
      <c r="K52" s="489">
        <v>1.0245899999999999</v>
      </c>
      <c r="L52" s="337">
        <v>0</v>
      </c>
      <c r="M52" s="257">
        <v>0</v>
      </c>
      <c r="N52" s="732">
        <v>1.0245899999999999</v>
      </c>
      <c r="O52" s="759">
        <v>0</v>
      </c>
      <c r="P52" s="346">
        <f t="shared" ref="P52:P53" si="6">N52+O52</f>
        <v>1.0245899999999999</v>
      </c>
      <c r="Q52" s="1054">
        <v>0</v>
      </c>
      <c r="R52" s="824">
        <v>0</v>
      </c>
      <c r="S52" s="605">
        <v>0</v>
      </c>
      <c r="T52" s="337">
        <v>0</v>
      </c>
      <c r="U52" s="257">
        <v>0</v>
      </c>
      <c r="V52" s="1058">
        <f>39000-1063</f>
        <v>37937</v>
      </c>
      <c r="W52" s="489">
        <v>37935.975410000006</v>
      </c>
      <c r="X52" s="852">
        <v>0</v>
      </c>
      <c r="Y52" s="489">
        <f>11120.50089-11119.4763</f>
        <v>1.0245899999990797</v>
      </c>
      <c r="Z52" s="257">
        <v>0</v>
      </c>
      <c r="AA52" s="35" t="s">
        <v>109</v>
      </c>
      <c r="AB52" s="35" t="s">
        <v>309</v>
      </c>
      <c r="AC52" s="586" t="s">
        <v>493</v>
      </c>
      <c r="AD52" s="448" t="s">
        <v>120</v>
      </c>
      <c r="AE52" s="342" t="s">
        <v>120</v>
      </c>
      <c r="AF52" s="342" t="s">
        <v>128</v>
      </c>
      <c r="AG52" s="259" t="s">
        <v>368</v>
      </c>
    </row>
    <row r="53" spans="1:33" ht="25.5" outlineLevel="1" x14ac:dyDescent="0.25">
      <c r="A53" s="603" t="s">
        <v>225</v>
      </c>
      <c r="B53" s="593" t="s">
        <v>942</v>
      </c>
      <c r="C53" s="35" t="s">
        <v>238</v>
      </c>
      <c r="D53" s="259" t="s">
        <v>21</v>
      </c>
      <c r="E53" s="259" t="s">
        <v>21</v>
      </c>
      <c r="F53" s="855" t="s">
        <v>226</v>
      </c>
      <c r="G53" s="36">
        <v>111526</v>
      </c>
      <c r="H53" s="693">
        <v>0</v>
      </c>
      <c r="I53" s="629">
        <v>21.78</v>
      </c>
      <c r="J53" s="605">
        <v>1000</v>
      </c>
      <c r="K53" s="337">
        <v>10000</v>
      </c>
      <c r="L53" s="337">
        <v>50000</v>
      </c>
      <c r="M53" s="257">
        <f>50504+0.22</f>
        <v>50504.22</v>
      </c>
      <c r="N53" s="732">
        <v>111504.22</v>
      </c>
      <c r="O53" s="759">
        <v>0</v>
      </c>
      <c r="P53" s="346">
        <f t="shared" si="6"/>
        <v>111504.22</v>
      </c>
      <c r="Q53" s="1054">
        <v>0</v>
      </c>
      <c r="R53" s="824">
        <v>0</v>
      </c>
      <c r="S53" s="605">
        <v>0</v>
      </c>
      <c r="T53" s="337">
        <v>0</v>
      </c>
      <c r="U53" s="257">
        <v>0</v>
      </c>
      <c r="V53" s="1058">
        <v>39250</v>
      </c>
      <c r="W53" s="489">
        <v>21.78</v>
      </c>
      <c r="X53" s="852">
        <v>0</v>
      </c>
      <c r="Y53" s="852">
        <v>39228.22</v>
      </c>
      <c r="Z53" s="626">
        <v>0</v>
      </c>
      <c r="AA53" s="38" t="s">
        <v>109</v>
      </c>
      <c r="AB53" s="35" t="s">
        <v>16</v>
      </c>
      <c r="AC53" s="586" t="s">
        <v>325</v>
      </c>
      <c r="AD53" s="448" t="s">
        <v>120</v>
      </c>
      <c r="AE53" s="448" t="s">
        <v>120</v>
      </c>
      <c r="AF53" s="342" t="s">
        <v>128</v>
      </c>
      <c r="AG53" s="259" t="s">
        <v>376</v>
      </c>
    </row>
    <row r="54" spans="1:33" ht="25.5" outlineLevel="1" x14ac:dyDescent="0.25">
      <c r="A54" s="836" t="s">
        <v>227</v>
      </c>
      <c r="B54" s="881" t="s">
        <v>943</v>
      </c>
      <c r="C54" s="71" t="s">
        <v>238</v>
      </c>
      <c r="D54" s="838" t="s">
        <v>21</v>
      </c>
      <c r="E54" s="838" t="s">
        <v>21</v>
      </c>
      <c r="F54" s="889" t="s">
        <v>228</v>
      </c>
      <c r="G54" s="83">
        <v>2000</v>
      </c>
      <c r="H54" s="205">
        <v>218.19192000000021</v>
      </c>
      <c r="I54" s="221">
        <v>0</v>
      </c>
      <c r="J54" s="968">
        <v>0</v>
      </c>
      <c r="K54" s="845">
        <v>0</v>
      </c>
      <c r="L54" s="845">
        <v>131.80807999999999</v>
      </c>
      <c r="M54" s="847">
        <v>0</v>
      </c>
      <c r="N54" s="842">
        <v>631.80808000000002</v>
      </c>
      <c r="O54" s="884">
        <v>-500</v>
      </c>
      <c r="P54" s="885">
        <f t="shared" si="5"/>
        <v>131.80808000000002</v>
      </c>
      <c r="Q54" s="1500">
        <v>1650</v>
      </c>
      <c r="R54" s="1500">
        <v>0</v>
      </c>
      <c r="S54" s="844">
        <v>0</v>
      </c>
      <c r="T54" s="845">
        <v>0</v>
      </c>
      <c r="U54" s="847">
        <v>0</v>
      </c>
      <c r="V54" s="1473">
        <v>0</v>
      </c>
      <c r="W54" s="845">
        <v>0</v>
      </c>
      <c r="X54" s="886">
        <v>0</v>
      </c>
      <c r="Y54" s="886">
        <v>0</v>
      </c>
      <c r="Z54" s="970">
        <v>0</v>
      </c>
      <c r="AA54" s="88" t="s">
        <v>1252</v>
      </c>
      <c r="AB54" s="71" t="s">
        <v>16</v>
      </c>
      <c r="AC54" s="1501" t="s">
        <v>555</v>
      </c>
      <c r="AD54" s="848" t="s">
        <v>120</v>
      </c>
      <c r="AE54" s="848" t="s">
        <v>120</v>
      </c>
      <c r="AF54" s="85" t="s">
        <v>129</v>
      </c>
      <c r="AG54" s="838" t="s">
        <v>112</v>
      </c>
    </row>
    <row r="55" spans="1:33" ht="26.25" outlineLevel="1" thickBot="1" x14ac:dyDescent="0.3">
      <c r="A55" s="1510" t="s">
        <v>229</v>
      </c>
      <c r="B55" s="494" t="s">
        <v>944</v>
      </c>
      <c r="C55" s="527" t="s">
        <v>238</v>
      </c>
      <c r="D55" s="495" t="s">
        <v>21</v>
      </c>
      <c r="E55" s="495" t="s">
        <v>21</v>
      </c>
      <c r="F55" s="1511" t="s">
        <v>734</v>
      </c>
      <c r="G55" s="496">
        <v>1133.441</v>
      </c>
      <c r="H55" s="1512">
        <v>0</v>
      </c>
      <c r="I55" s="2094">
        <v>1133.441</v>
      </c>
      <c r="J55" s="1513">
        <v>0</v>
      </c>
      <c r="K55" s="498">
        <v>0</v>
      </c>
      <c r="L55" s="498">
        <v>0</v>
      </c>
      <c r="M55" s="500">
        <v>0</v>
      </c>
      <c r="N55" s="542">
        <v>178.559</v>
      </c>
      <c r="O55" s="403">
        <v>-178.559</v>
      </c>
      <c r="P55" s="528">
        <f t="shared" si="5"/>
        <v>0</v>
      </c>
      <c r="Q55" s="543">
        <v>0</v>
      </c>
      <c r="R55" s="1514">
        <v>0</v>
      </c>
      <c r="S55" s="1513">
        <v>0</v>
      </c>
      <c r="T55" s="1515">
        <v>0</v>
      </c>
      <c r="U55" s="541">
        <v>0</v>
      </c>
      <c r="V55" s="1516">
        <v>0</v>
      </c>
      <c r="W55" s="498">
        <v>0</v>
      </c>
      <c r="X55" s="499">
        <v>0</v>
      </c>
      <c r="Y55" s="499">
        <v>0</v>
      </c>
      <c r="Z55" s="500">
        <v>0</v>
      </c>
      <c r="AA55" s="413" t="s">
        <v>1253</v>
      </c>
      <c r="AB55" s="527" t="s">
        <v>123</v>
      </c>
      <c r="AC55" s="1517" t="s">
        <v>301</v>
      </c>
      <c r="AD55" s="502" t="s">
        <v>120</v>
      </c>
      <c r="AE55" s="502" t="s">
        <v>120</v>
      </c>
      <c r="AF55" s="529" t="s">
        <v>128</v>
      </c>
      <c r="AG55" s="503" t="s">
        <v>378</v>
      </c>
    </row>
    <row r="56" spans="1:33" ht="25.5" outlineLevel="1" x14ac:dyDescent="0.25">
      <c r="A56" s="603" t="s">
        <v>262</v>
      </c>
      <c r="B56" s="593" t="s">
        <v>112</v>
      </c>
      <c r="C56" s="366" t="s">
        <v>277</v>
      </c>
      <c r="D56" s="35" t="s">
        <v>21</v>
      </c>
      <c r="E56" s="259" t="s">
        <v>21</v>
      </c>
      <c r="F56" s="615" t="s">
        <v>263</v>
      </c>
      <c r="G56" s="36">
        <v>2735</v>
      </c>
      <c r="H56" s="693">
        <v>0</v>
      </c>
      <c r="I56" s="629">
        <v>0</v>
      </c>
      <c r="J56" s="605">
        <v>0</v>
      </c>
      <c r="K56" s="337">
        <v>0</v>
      </c>
      <c r="L56" s="337">
        <v>2735</v>
      </c>
      <c r="M56" s="1055">
        <v>0</v>
      </c>
      <c r="N56" s="732">
        <v>2735</v>
      </c>
      <c r="O56" s="759">
        <v>0</v>
      </c>
      <c r="P56" s="346">
        <f t="shared" si="5"/>
        <v>2735</v>
      </c>
      <c r="Q56" s="632">
        <v>0</v>
      </c>
      <c r="R56" s="1056">
        <v>0</v>
      </c>
      <c r="S56" s="605">
        <v>0</v>
      </c>
      <c r="T56" s="337">
        <v>0</v>
      </c>
      <c r="U56" s="257">
        <v>0</v>
      </c>
      <c r="V56" s="1080">
        <v>0</v>
      </c>
      <c r="W56" s="852">
        <v>0</v>
      </c>
      <c r="X56" s="852">
        <v>0</v>
      </c>
      <c r="Y56" s="852">
        <v>0</v>
      </c>
      <c r="Z56" s="626">
        <v>0</v>
      </c>
      <c r="AA56" s="34" t="s">
        <v>109</v>
      </c>
      <c r="AB56" s="35" t="s">
        <v>11</v>
      </c>
      <c r="AC56" s="586" t="s">
        <v>517</v>
      </c>
      <c r="AD56" s="342" t="s">
        <v>119</v>
      </c>
      <c r="AE56" s="448" t="s">
        <v>119</v>
      </c>
      <c r="AF56" s="342" t="s">
        <v>128</v>
      </c>
      <c r="AG56" s="259" t="s">
        <v>373</v>
      </c>
    </row>
    <row r="57" spans="1:33" ht="25.5" outlineLevel="1" x14ac:dyDescent="0.25">
      <c r="A57" s="1373" t="s">
        <v>264</v>
      </c>
      <c r="B57" s="558" t="s">
        <v>1070</v>
      </c>
      <c r="C57" s="1518" t="s">
        <v>277</v>
      </c>
      <c r="D57" s="531" t="s">
        <v>21</v>
      </c>
      <c r="E57" s="538" t="s">
        <v>21</v>
      </c>
      <c r="F57" s="1519" t="s">
        <v>265</v>
      </c>
      <c r="G57" s="1505">
        <v>2027.7952700000001</v>
      </c>
      <c r="H57" s="559">
        <v>0</v>
      </c>
      <c r="I57" s="2092">
        <v>2027.7952700000001</v>
      </c>
      <c r="J57" s="560">
        <v>0</v>
      </c>
      <c r="K57" s="562">
        <v>0</v>
      </c>
      <c r="L57" s="562">
        <v>0</v>
      </c>
      <c r="M57" s="1520">
        <v>0</v>
      </c>
      <c r="N57" s="550">
        <v>470.20472999999998</v>
      </c>
      <c r="O57" s="533">
        <v>-470.20472999999998</v>
      </c>
      <c r="P57" s="534">
        <f t="shared" si="5"/>
        <v>0</v>
      </c>
      <c r="Q57" s="1506">
        <v>0</v>
      </c>
      <c r="R57" s="1507">
        <v>0</v>
      </c>
      <c r="S57" s="560">
        <v>0</v>
      </c>
      <c r="T57" s="562">
        <v>0</v>
      </c>
      <c r="U57" s="563">
        <v>0</v>
      </c>
      <c r="V57" s="1521">
        <v>0</v>
      </c>
      <c r="W57" s="1508">
        <v>0</v>
      </c>
      <c r="X57" s="1508">
        <v>0</v>
      </c>
      <c r="Y57" s="1508">
        <v>0</v>
      </c>
      <c r="Z57" s="549">
        <v>0</v>
      </c>
      <c r="AA57" s="531" t="s">
        <v>1254</v>
      </c>
      <c r="AB57" s="531" t="s">
        <v>123</v>
      </c>
      <c r="AC57" s="565" t="s">
        <v>300</v>
      </c>
      <c r="AD57" s="537" t="s">
        <v>120</v>
      </c>
      <c r="AE57" s="536" t="s">
        <v>120</v>
      </c>
      <c r="AF57" s="537" t="s">
        <v>128</v>
      </c>
      <c r="AG57" s="538" t="s">
        <v>379</v>
      </c>
    </row>
    <row r="58" spans="1:33" ht="25.5" outlineLevel="1" x14ac:dyDescent="0.25">
      <c r="A58" s="603" t="s">
        <v>266</v>
      </c>
      <c r="B58" s="593" t="s">
        <v>112</v>
      </c>
      <c r="C58" s="366" t="s">
        <v>277</v>
      </c>
      <c r="D58" s="35" t="s">
        <v>21</v>
      </c>
      <c r="E58" s="259" t="s">
        <v>21</v>
      </c>
      <c r="F58" s="615" t="s">
        <v>267</v>
      </c>
      <c r="G58" s="36">
        <v>841</v>
      </c>
      <c r="H58" s="693">
        <v>0</v>
      </c>
      <c r="I58" s="629">
        <v>0</v>
      </c>
      <c r="J58" s="605">
        <v>0</v>
      </c>
      <c r="K58" s="337">
        <v>0</v>
      </c>
      <c r="L58" s="337">
        <v>0</v>
      </c>
      <c r="M58" s="1055">
        <v>0</v>
      </c>
      <c r="N58" s="732">
        <v>0</v>
      </c>
      <c r="O58" s="759">
        <v>0</v>
      </c>
      <c r="P58" s="346">
        <f t="shared" si="5"/>
        <v>0</v>
      </c>
      <c r="Q58" s="632">
        <v>841</v>
      </c>
      <c r="R58" s="1056">
        <v>0</v>
      </c>
      <c r="S58" s="605">
        <v>0</v>
      </c>
      <c r="T58" s="337">
        <v>0</v>
      </c>
      <c r="U58" s="257">
        <v>0</v>
      </c>
      <c r="V58" s="1080">
        <v>0</v>
      </c>
      <c r="W58" s="852">
        <v>0</v>
      </c>
      <c r="X58" s="852">
        <v>0</v>
      </c>
      <c r="Y58" s="852">
        <v>0</v>
      </c>
      <c r="Z58" s="626">
        <v>0</v>
      </c>
      <c r="AA58" s="34" t="s">
        <v>109</v>
      </c>
      <c r="AB58" s="35" t="s">
        <v>13</v>
      </c>
      <c r="AC58" s="586" t="s">
        <v>550</v>
      </c>
      <c r="AD58" s="342" t="s">
        <v>119</v>
      </c>
      <c r="AE58" s="448" t="s">
        <v>119</v>
      </c>
      <c r="AF58" s="342" t="s">
        <v>128</v>
      </c>
      <c r="AG58" s="259" t="s">
        <v>367</v>
      </c>
    </row>
    <row r="59" spans="1:33" ht="25.5" outlineLevel="1" x14ac:dyDescent="0.25">
      <c r="A59" s="603" t="s">
        <v>268</v>
      </c>
      <c r="B59" s="593" t="s">
        <v>112</v>
      </c>
      <c r="C59" s="366" t="s">
        <v>277</v>
      </c>
      <c r="D59" s="35" t="s">
        <v>21</v>
      </c>
      <c r="E59" s="259" t="s">
        <v>21</v>
      </c>
      <c r="F59" s="615" t="s">
        <v>269</v>
      </c>
      <c r="G59" s="36">
        <v>3471</v>
      </c>
      <c r="H59" s="693">
        <v>0</v>
      </c>
      <c r="I59" s="629">
        <v>0</v>
      </c>
      <c r="J59" s="605">
        <v>0</v>
      </c>
      <c r="K59" s="337">
        <v>0</v>
      </c>
      <c r="L59" s="337">
        <v>3471</v>
      </c>
      <c r="M59" s="1055">
        <v>0</v>
      </c>
      <c r="N59" s="732">
        <v>3471</v>
      </c>
      <c r="O59" s="759">
        <v>0</v>
      </c>
      <c r="P59" s="346">
        <f t="shared" si="5"/>
        <v>3471</v>
      </c>
      <c r="Q59" s="632">
        <v>0</v>
      </c>
      <c r="R59" s="1056">
        <v>0</v>
      </c>
      <c r="S59" s="605">
        <v>0</v>
      </c>
      <c r="T59" s="337">
        <v>0</v>
      </c>
      <c r="U59" s="257">
        <v>0</v>
      </c>
      <c r="V59" s="1080">
        <v>0</v>
      </c>
      <c r="W59" s="852">
        <v>0</v>
      </c>
      <c r="X59" s="852">
        <v>0</v>
      </c>
      <c r="Y59" s="852">
        <v>0</v>
      </c>
      <c r="Z59" s="626">
        <v>0</v>
      </c>
      <c r="AA59" s="34" t="s">
        <v>109</v>
      </c>
      <c r="AB59" s="35" t="s">
        <v>16</v>
      </c>
      <c r="AC59" s="586" t="s">
        <v>554</v>
      </c>
      <c r="AD59" s="342" t="s">
        <v>120</v>
      </c>
      <c r="AE59" s="448" t="s">
        <v>120</v>
      </c>
      <c r="AF59" s="342" t="s">
        <v>128</v>
      </c>
      <c r="AG59" s="259" t="s">
        <v>376</v>
      </c>
    </row>
    <row r="60" spans="1:33" s="406" customFormat="1" ht="25.5" outlineLevel="1" x14ac:dyDescent="0.25">
      <c r="A60" s="17" t="s">
        <v>270</v>
      </c>
      <c r="B60" s="13" t="s">
        <v>945</v>
      </c>
      <c r="C60" s="646" t="s">
        <v>277</v>
      </c>
      <c r="D60" s="5" t="s">
        <v>21</v>
      </c>
      <c r="E60" s="426" t="s">
        <v>21</v>
      </c>
      <c r="F60" s="830" t="s">
        <v>271</v>
      </c>
      <c r="G60" s="1">
        <v>1296.2563299999999</v>
      </c>
      <c r="H60" s="193">
        <v>0</v>
      </c>
      <c r="I60" s="2091">
        <v>1296.2563299999999</v>
      </c>
      <c r="J60" s="429">
        <v>0</v>
      </c>
      <c r="K60" s="430">
        <v>0</v>
      </c>
      <c r="L60" s="430">
        <v>0</v>
      </c>
      <c r="M60" s="567">
        <v>0</v>
      </c>
      <c r="N60" s="485">
        <v>0</v>
      </c>
      <c r="O60" s="285">
        <v>0</v>
      </c>
      <c r="P60" s="272">
        <f t="shared" si="5"/>
        <v>0</v>
      </c>
      <c r="Q60" s="432">
        <v>0</v>
      </c>
      <c r="R60" s="581">
        <v>0</v>
      </c>
      <c r="S60" s="429">
        <v>0</v>
      </c>
      <c r="T60" s="430">
        <v>0</v>
      </c>
      <c r="U60" s="431">
        <v>0</v>
      </c>
      <c r="V60" s="619">
        <v>0</v>
      </c>
      <c r="W60" s="236">
        <v>0</v>
      </c>
      <c r="X60" s="236">
        <v>0</v>
      </c>
      <c r="Y60" s="430">
        <v>0</v>
      </c>
      <c r="Z60" s="431">
        <v>0</v>
      </c>
      <c r="AA60" s="5" t="s">
        <v>109</v>
      </c>
      <c r="AB60" s="5" t="s">
        <v>123</v>
      </c>
      <c r="AC60" s="525" t="s">
        <v>239</v>
      </c>
      <c r="AD60" s="435" t="s">
        <v>120</v>
      </c>
      <c r="AE60" s="526" t="s">
        <v>120</v>
      </c>
      <c r="AF60" s="435" t="s">
        <v>128</v>
      </c>
      <c r="AG60" s="426" t="s">
        <v>381</v>
      </c>
    </row>
    <row r="61" spans="1:33" ht="25.5" outlineLevel="1" x14ac:dyDescent="0.25">
      <c r="A61" s="1373" t="s">
        <v>275</v>
      </c>
      <c r="B61" s="558" t="s">
        <v>1080</v>
      </c>
      <c r="C61" s="1518" t="s">
        <v>277</v>
      </c>
      <c r="D61" s="531" t="s">
        <v>21</v>
      </c>
      <c r="E61" s="538" t="s">
        <v>21</v>
      </c>
      <c r="F61" s="1519" t="s">
        <v>272</v>
      </c>
      <c r="G61" s="1505">
        <v>5301.7180600000002</v>
      </c>
      <c r="H61" s="559">
        <v>0</v>
      </c>
      <c r="I61" s="2092">
        <v>5301.7180600000002</v>
      </c>
      <c r="J61" s="560">
        <v>0</v>
      </c>
      <c r="K61" s="562">
        <v>0</v>
      </c>
      <c r="L61" s="562">
        <v>0</v>
      </c>
      <c r="M61" s="1520">
        <v>0</v>
      </c>
      <c r="N61" s="550">
        <v>3198.2819399999998</v>
      </c>
      <c r="O61" s="533">
        <v>-3198.2819399999998</v>
      </c>
      <c r="P61" s="534">
        <f t="shared" si="5"/>
        <v>0</v>
      </c>
      <c r="Q61" s="1506">
        <v>0</v>
      </c>
      <c r="R61" s="1507">
        <v>0</v>
      </c>
      <c r="S61" s="560">
        <v>0</v>
      </c>
      <c r="T61" s="562">
        <v>0</v>
      </c>
      <c r="U61" s="563">
        <v>0</v>
      </c>
      <c r="V61" s="1521">
        <v>0</v>
      </c>
      <c r="W61" s="1508">
        <v>0</v>
      </c>
      <c r="X61" s="1508">
        <v>0</v>
      </c>
      <c r="Y61" s="1508">
        <v>0</v>
      </c>
      <c r="Z61" s="549">
        <v>0</v>
      </c>
      <c r="AA61" s="531" t="s">
        <v>1255</v>
      </c>
      <c r="AB61" s="535" t="s">
        <v>123</v>
      </c>
      <c r="AC61" s="1522" t="s">
        <v>300</v>
      </c>
      <c r="AD61" s="537" t="s">
        <v>120</v>
      </c>
      <c r="AE61" s="536" t="s">
        <v>120</v>
      </c>
      <c r="AF61" s="537" t="s">
        <v>128</v>
      </c>
      <c r="AG61" s="538" t="s">
        <v>535</v>
      </c>
    </row>
    <row r="62" spans="1:33" ht="26.25" outlineLevel="1" thickBot="1" x14ac:dyDescent="0.3">
      <c r="A62" s="723" t="s">
        <v>276</v>
      </c>
      <c r="B62" s="16" t="s">
        <v>112</v>
      </c>
      <c r="C62" s="718" t="s">
        <v>277</v>
      </c>
      <c r="D62" s="39" t="s">
        <v>21</v>
      </c>
      <c r="E62" s="340" t="s">
        <v>21</v>
      </c>
      <c r="F62" s="75" t="s">
        <v>273</v>
      </c>
      <c r="G62" s="789">
        <v>2032</v>
      </c>
      <c r="H62" s="1061">
        <v>0</v>
      </c>
      <c r="I62" s="2083">
        <v>0</v>
      </c>
      <c r="J62" s="978">
        <v>0</v>
      </c>
      <c r="K62" s="1062">
        <v>0</v>
      </c>
      <c r="L62" s="1062">
        <v>2032</v>
      </c>
      <c r="M62" s="1063">
        <v>0</v>
      </c>
      <c r="N62" s="736">
        <v>2032</v>
      </c>
      <c r="O62" s="700">
        <v>0</v>
      </c>
      <c r="P62" s="268">
        <f t="shared" si="5"/>
        <v>2032</v>
      </c>
      <c r="Q62" s="1064">
        <v>0</v>
      </c>
      <c r="R62" s="1065">
        <v>0</v>
      </c>
      <c r="S62" s="978">
        <v>0</v>
      </c>
      <c r="T62" s="1062">
        <v>0</v>
      </c>
      <c r="U62" s="1069">
        <v>0</v>
      </c>
      <c r="V62" s="1067">
        <v>0</v>
      </c>
      <c r="W62" s="1068">
        <v>0</v>
      </c>
      <c r="X62" s="1068">
        <v>0</v>
      </c>
      <c r="Y62" s="1068">
        <v>0</v>
      </c>
      <c r="Z62" s="1069">
        <v>0</v>
      </c>
      <c r="AA62" s="258" t="s">
        <v>109</v>
      </c>
      <c r="AB62" s="39" t="s">
        <v>11</v>
      </c>
      <c r="AC62" s="18" t="s">
        <v>517</v>
      </c>
      <c r="AD62" s="18" t="s">
        <v>119</v>
      </c>
      <c r="AE62" s="30" t="s">
        <v>119</v>
      </c>
      <c r="AF62" s="18" t="s">
        <v>128</v>
      </c>
      <c r="AG62" s="340" t="s">
        <v>373</v>
      </c>
    </row>
    <row r="63" spans="1:33" ht="45.75" outlineLevel="1" thickBot="1" x14ac:dyDescent="0.3">
      <c r="A63" s="723" t="s">
        <v>304</v>
      </c>
      <c r="B63" s="16" t="s">
        <v>946</v>
      </c>
      <c r="C63" s="39" t="s">
        <v>310</v>
      </c>
      <c r="D63" s="39" t="s">
        <v>21</v>
      </c>
      <c r="E63" s="340" t="s">
        <v>21</v>
      </c>
      <c r="F63" s="1524" t="s">
        <v>302</v>
      </c>
      <c r="G63" s="789">
        <f>79939-0.73236</f>
        <v>79938.267640000005</v>
      </c>
      <c r="H63" s="1061">
        <v>2806.232</v>
      </c>
      <c r="I63" s="2095">
        <v>1233.8128000000002</v>
      </c>
      <c r="J63" s="1525">
        <v>5000</v>
      </c>
      <c r="K63" s="1526">
        <v>20000</v>
      </c>
      <c r="L63" s="1526">
        <v>30000</v>
      </c>
      <c r="M63" s="1527">
        <f>20898+0.22284</f>
        <v>20898.222839999999</v>
      </c>
      <c r="N63" s="733">
        <v>75898.222839999988</v>
      </c>
      <c r="O63" s="283">
        <v>0</v>
      </c>
      <c r="P63" s="346">
        <f>N63+O63</f>
        <v>75898.222839999988</v>
      </c>
      <c r="Q63" s="1064">
        <v>0</v>
      </c>
      <c r="R63" s="1065">
        <v>0</v>
      </c>
      <c r="S63" s="978">
        <v>0</v>
      </c>
      <c r="T63" s="1062">
        <v>0</v>
      </c>
      <c r="U63" s="1069">
        <v>0</v>
      </c>
      <c r="V63" s="1067">
        <f>79939-0.73236</f>
        <v>79938.267640000005</v>
      </c>
      <c r="W63" s="1062">
        <v>4040.0448000000001</v>
      </c>
      <c r="X63" s="1068">
        <v>0</v>
      </c>
      <c r="Y63" s="1068">
        <f>75966.37004-68.1472</f>
        <v>75898.222839999988</v>
      </c>
      <c r="Z63" s="1069">
        <v>0</v>
      </c>
      <c r="AA63" s="38" t="s">
        <v>109</v>
      </c>
      <c r="AB63" s="39" t="s">
        <v>16</v>
      </c>
      <c r="AC63" s="67" t="s">
        <v>537</v>
      </c>
      <c r="AD63" s="18" t="s">
        <v>120</v>
      </c>
      <c r="AE63" s="30" t="s">
        <v>120</v>
      </c>
      <c r="AF63" s="18" t="s">
        <v>128</v>
      </c>
      <c r="AG63" s="340" t="s">
        <v>372</v>
      </c>
    </row>
    <row r="64" spans="1:33" ht="26.25" outlineLevel="1" thickBot="1" x14ac:dyDescent="0.3">
      <c r="A64" s="724" t="s">
        <v>323</v>
      </c>
      <c r="B64" s="604" t="s">
        <v>112</v>
      </c>
      <c r="C64" s="369" t="s">
        <v>329</v>
      </c>
      <c r="D64" s="369" t="s">
        <v>21</v>
      </c>
      <c r="E64" s="942" t="s">
        <v>21</v>
      </c>
      <c r="F64" s="1528" t="s">
        <v>324</v>
      </c>
      <c r="G64" s="676">
        <v>7540</v>
      </c>
      <c r="H64" s="984">
        <v>0</v>
      </c>
      <c r="I64" s="2084">
        <v>0</v>
      </c>
      <c r="J64" s="945">
        <v>0</v>
      </c>
      <c r="K64" s="946">
        <v>0</v>
      </c>
      <c r="L64" s="946">
        <v>7540</v>
      </c>
      <c r="M64" s="947">
        <v>0</v>
      </c>
      <c r="N64" s="734">
        <v>7540</v>
      </c>
      <c r="O64" s="760">
        <v>0</v>
      </c>
      <c r="P64" s="270">
        <f t="shared" si="5"/>
        <v>7540</v>
      </c>
      <c r="Q64" s="677">
        <v>0</v>
      </c>
      <c r="R64" s="1019">
        <v>0</v>
      </c>
      <c r="S64" s="945">
        <v>0</v>
      </c>
      <c r="T64" s="946">
        <v>0</v>
      </c>
      <c r="U64" s="673">
        <v>0</v>
      </c>
      <c r="V64" s="1020">
        <v>0</v>
      </c>
      <c r="W64" s="946">
        <v>0</v>
      </c>
      <c r="X64" s="986">
        <v>0</v>
      </c>
      <c r="Y64" s="986">
        <v>0</v>
      </c>
      <c r="Z64" s="673">
        <v>0</v>
      </c>
      <c r="AA64" s="438" t="s">
        <v>109</v>
      </c>
      <c r="AB64" s="369" t="s">
        <v>11</v>
      </c>
      <c r="AC64" s="371" t="s">
        <v>517</v>
      </c>
      <c r="AD64" s="371" t="s">
        <v>119</v>
      </c>
      <c r="AE64" s="987" t="s">
        <v>119</v>
      </c>
      <c r="AF64" s="371" t="s">
        <v>128</v>
      </c>
      <c r="AG64" s="942" t="s">
        <v>367</v>
      </c>
    </row>
    <row r="65" spans="1:33" ht="26.25" outlineLevel="1" thickBot="1" x14ac:dyDescent="0.3">
      <c r="A65" s="1530" t="s">
        <v>349</v>
      </c>
      <c r="B65" s="361" t="s">
        <v>947</v>
      </c>
      <c r="C65" s="480" t="s">
        <v>487</v>
      </c>
      <c r="D65" s="480" t="s">
        <v>21</v>
      </c>
      <c r="E65" s="668" t="s">
        <v>21</v>
      </c>
      <c r="F65" s="1531" t="s">
        <v>359</v>
      </c>
      <c r="G65" s="56">
        <f>1830-8.9-0.00014</f>
        <v>1821.0998599999998</v>
      </c>
      <c r="H65" s="1532">
        <v>0</v>
      </c>
      <c r="I65" s="2096">
        <v>1821.09986</v>
      </c>
      <c r="J65" s="664">
        <v>0</v>
      </c>
      <c r="K65" s="666">
        <v>0</v>
      </c>
      <c r="L65" s="666">
        <v>0</v>
      </c>
      <c r="M65" s="1535">
        <v>0</v>
      </c>
      <c r="N65" s="659">
        <v>1.3999999999999999E-4</v>
      </c>
      <c r="O65" s="299">
        <v>-1.3999999999999999E-4</v>
      </c>
      <c r="P65" s="660">
        <f t="shared" si="5"/>
        <v>0</v>
      </c>
      <c r="Q65" s="1536">
        <v>0</v>
      </c>
      <c r="R65" s="1537">
        <v>0</v>
      </c>
      <c r="S65" s="664">
        <v>0</v>
      </c>
      <c r="T65" s="665">
        <v>0</v>
      </c>
      <c r="U65" s="667">
        <v>0</v>
      </c>
      <c r="V65" s="1538">
        <v>0</v>
      </c>
      <c r="W65" s="666">
        <v>0</v>
      </c>
      <c r="X65" s="666">
        <v>0</v>
      </c>
      <c r="Y65" s="666">
        <v>0</v>
      </c>
      <c r="Z65" s="667">
        <v>0</v>
      </c>
      <c r="AA65" s="480" t="s">
        <v>109</v>
      </c>
      <c r="AB65" s="480" t="s">
        <v>123</v>
      </c>
      <c r="AC65" s="482" t="s">
        <v>300</v>
      </c>
      <c r="AD65" s="482" t="s">
        <v>120</v>
      </c>
      <c r="AE65" s="1539" t="s">
        <v>120</v>
      </c>
      <c r="AF65" s="482" t="s">
        <v>128</v>
      </c>
      <c r="AG65" s="668" t="s">
        <v>378</v>
      </c>
    </row>
    <row r="66" spans="1:33" ht="25.5" outlineLevel="1" x14ac:dyDescent="0.25">
      <c r="A66" s="602" t="s">
        <v>413</v>
      </c>
      <c r="B66" s="1994" t="s">
        <v>948</v>
      </c>
      <c r="C66" s="33" t="s">
        <v>488</v>
      </c>
      <c r="D66" s="33" t="s">
        <v>21</v>
      </c>
      <c r="E66" s="368" t="s">
        <v>21</v>
      </c>
      <c r="F66" s="1540" t="s">
        <v>414</v>
      </c>
      <c r="G66" s="622">
        <v>26462</v>
      </c>
      <c r="H66" s="693">
        <v>18412.647010000001</v>
      </c>
      <c r="I66" s="629">
        <v>2040.06916</v>
      </c>
      <c r="J66" s="851">
        <v>0</v>
      </c>
      <c r="K66" s="852">
        <v>1802.7851489999994</v>
      </c>
      <c r="L66" s="601">
        <v>4206.4986809999991</v>
      </c>
      <c r="M66" s="626">
        <v>0</v>
      </c>
      <c r="N66" s="732">
        <v>6009.2838299999985</v>
      </c>
      <c r="O66" s="759">
        <v>0</v>
      </c>
      <c r="P66" s="345">
        <f t="shared" si="5"/>
        <v>6009.2838299999985</v>
      </c>
      <c r="Q66" s="630">
        <v>0</v>
      </c>
      <c r="R66" s="648">
        <v>0</v>
      </c>
      <c r="S66" s="851">
        <v>0</v>
      </c>
      <c r="T66" s="950">
        <v>0</v>
      </c>
      <c r="U66" s="626">
        <v>0</v>
      </c>
      <c r="V66" s="1080">
        <v>0</v>
      </c>
      <c r="W66" s="852">
        <v>0</v>
      </c>
      <c r="X66" s="852">
        <v>0</v>
      </c>
      <c r="Y66" s="852">
        <v>0</v>
      </c>
      <c r="Z66" s="626">
        <v>0</v>
      </c>
      <c r="AA66" s="34" t="s">
        <v>109</v>
      </c>
      <c r="AB66" s="33" t="s">
        <v>16</v>
      </c>
      <c r="AC66" s="375" t="s">
        <v>485</v>
      </c>
      <c r="AD66" s="375" t="s">
        <v>120</v>
      </c>
      <c r="AE66" s="787" t="s">
        <v>120</v>
      </c>
      <c r="AF66" s="375" t="s">
        <v>128</v>
      </c>
      <c r="AG66" s="368" t="s">
        <v>370</v>
      </c>
    </row>
    <row r="67" spans="1:33" ht="26.25" outlineLevel="1" thickBot="1" x14ac:dyDescent="0.3">
      <c r="A67" s="596" t="s">
        <v>415</v>
      </c>
      <c r="B67" s="249" t="s">
        <v>112</v>
      </c>
      <c r="C67" s="258" t="s">
        <v>488</v>
      </c>
      <c r="D67" s="258" t="s">
        <v>21</v>
      </c>
      <c r="E67" s="339" t="s">
        <v>21</v>
      </c>
      <c r="F67" s="1541" t="s">
        <v>416</v>
      </c>
      <c r="G67" s="649">
        <v>2000</v>
      </c>
      <c r="H67" s="1542">
        <v>0</v>
      </c>
      <c r="I67" s="2095">
        <v>0</v>
      </c>
      <c r="J67" s="1525">
        <v>0</v>
      </c>
      <c r="K67" s="1526">
        <v>0</v>
      </c>
      <c r="L67" s="1526">
        <v>0</v>
      </c>
      <c r="M67" s="1527">
        <v>0</v>
      </c>
      <c r="N67" s="733">
        <v>2000</v>
      </c>
      <c r="O67" s="283">
        <v>-2000</v>
      </c>
      <c r="P67" s="359">
        <f t="shared" si="5"/>
        <v>0</v>
      </c>
      <c r="Q67" s="1543">
        <v>2000</v>
      </c>
      <c r="R67" s="1544">
        <v>0</v>
      </c>
      <c r="S67" s="1525">
        <v>0</v>
      </c>
      <c r="T67" s="1526">
        <v>0</v>
      </c>
      <c r="U67" s="651">
        <v>0</v>
      </c>
      <c r="V67" s="1545">
        <v>0</v>
      </c>
      <c r="W67" s="1546">
        <v>0</v>
      </c>
      <c r="X67" s="1546">
        <v>0</v>
      </c>
      <c r="Y67" s="1546">
        <v>0</v>
      </c>
      <c r="Z67" s="651">
        <v>0</v>
      </c>
      <c r="AA67" s="566" t="s">
        <v>109</v>
      </c>
      <c r="AB67" s="258" t="s">
        <v>13</v>
      </c>
      <c r="AC67" s="115" t="s">
        <v>1150</v>
      </c>
      <c r="AD67" s="27" t="s">
        <v>119</v>
      </c>
      <c r="AE67" s="31" t="s">
        <v>119</v>
      </c>
      <c r="AF67" s="27" t="s">
        <v>128</v>
      </c>
      <c r="AG67" s="339" t="s">
        <v>378</v>
      </c>
    </row>
    <row r="68" spans="1:33" ht="25.5" outlineLevel="1" x14ac:dyDescent="0.25">
      <c r="A68" s="602" t="s">
        <v>489</v>
      </c>
      <c r="B68" s="1994" t="s">
        <v>112</v>
      </c>
      <c r="C68" s="33" t="s">
        <v>534</v>
      </c>
      <c r="D68" s="33" t="s">
        <v>21</v>
      </c>
      <c r="E68" s="368" t="s">
        <v>21</v>
      </c>
      <c r="F68" s="1540" t="s">
        <v>490</v>
      </c>
      <c r="G68" s="622">
        <v>30000</v>
      </c>
      <c r="H68" s="693">
        <v>0</v>
      </c>
      <c r="I68" s="629">
        <v>0</v>
      </c>
      <c r="J68" s="851">
        <v>0</v>
      </c>
      <c r="K68" s="950">
        <v>0</v>
      </c>
      <c r="L68" s="950">
        <v>0</v>
      </c>
      <c r="M68" s="1547">
        <v>5500</v>
      </c>
      <c r="N68" s="732">
        <v>5500</v>
      </c>
      <c r="O68" s="765">
        <v>0</v>
      </c>
      <c r="P68" s="345">
        <f t="shared" si="5"/>
        <v>5500</v>
      </c>
      <c r="Q68" s="626">
        <v>14500</v>
      </c>
      <c r="R68" s="1079">
        <v>10000</v>
      </c>
      <c r="S68" s="851">
        <v>0</v>
      </c>
      <c r="T68" s="950">
        <v>0</v>
      </c>
      <c r="U68" s="626">
        <v>0</v>
      </c>
      <c r="V68" s="1080">
        <v>0</v>
      </c>
      <c r="W68" s="950">
        <v>0</v>
      </c>
      <c r="X68" s="852">
        <v>0</v>
      </c>
      <c r="Y68" s="852">
        <v>0</v>
      </c>
      <c r="Z68" s="626">
        <v>0</v>
      </c>
      <c r="AA68" s="439" t="s">
        <v>109</v>
      </c>
      <c r="AB68" s="33" t="s">
        <v>13</v>
      </c>
      <c r="AC68" s="786" t="s">
        <v>257</v>
      </c>
      <c r="AD68" s="375" t="s">
        <v>119</v>
      </c>
      <c r="AE68" s="787" t="s">
        <v>119</v>
      </c>
      <c r="AF68" s="375" t="s">
        <v>129</v>
      </c>
      <c r="AG68" s="368" t="s">
        <v>365</v>
      </c>
    </row>
    <row r="69" spans="1:33" ht="25.5" outlineLevel="1" x14ac:dyDescent="0.25">
      <c r="A69" s="603" t="s">
        <v>491</v>
      </c>
      <c r="B69" s="1995" t="s">
        <v>112</v>
      </c>
      <c r="C69" s="33" t="s">
        <v>534</v>
      </c>
      <c r="D69" s="35" t="s">
        <v>21</v>
      </c>
      <c r="E69" s="259" t="s">
        <v>21</v>
      </c>
      <c r="F69" s="1548" t="s">
        <v>492</v>
      </c>
      <c r="G69" s="36">
        <v>67196</v>
      </c>
      <c r="H69" s="628">
        <v>0</v>
      </c>
      <c r="I69" s="2082">
        <v>0</v>
      </c>
      <c r="J69" s="605">
        <v>0</v>
      </c>
      <c r="K69" s="337">
        <v>5000</v>
      </c>
      <c r="L69" s="337">
        <v>5000</v>
      </c>
      <c r="M69" s="1055">
        <v>20000</v>
      </c>
      <c r="N69" s="735">
        <v>10000</v>
      </c>
      <c r="O69" s="766">
        <v>20000</v>
      </c>
      <c r="P69" s="346">
        <f t="shared" si="5"/>
        <v>30000</v>
      </c>
      <c r="Q69" s="257">
        <v>37196</v>
      </c>
      <c r="R69" s="1057">
        <v>0</v>
      </c>
      <c r="S69" s="605">
        <v>0</v>
      </c>
      <c r="T69" s="337">
        <v>0</v>
      </c>
      <c r="U69" s="257">
        <v>0</v>
      </c>
      <c r="V69" s="1058">
        <v>0</v>
      </c>
      <c r="W69" s="337">
        <v>0</v>
      </c>
      <c r="X69" s="489">
        <v>0</v>
      </c>
      <c r="Y69" s="489">
        <v>0</v>
      </c>
      <c r="Z69" s="257">
        <v>0</v>
      </c>
      <c r="AA69" s="440" t="s">
        <v>109</v>
      </c>
      <c r="AB69" s="35" t="s">
        <v>11</v>
      </c>
      <c r="AC69" s="586" t="s">
        <v>493</v>
      </c>
      <c r="AD69" s="342" t="s">
        <v>119</v>
      </c>
      <c r="AE69" s="448" t="s">
        <v>119</v>
      </c>
      <c r="AF69" s="342" t="s">
        <v>128</v>
      </c>
      <c r="AG69" s="259" t="s">
        <v>368</v>
      </c>
    </row>
    <row r="70" spans="1:33" ht="25.5" outlineLevel="1" x14ac:dyDescent="0.25">
      <c r="A70" s="17" t="s">
        <v>494</v>
      </c>
      <c r="B70" s="1996" t="s">
        <v>112</v>
      </c>
      <c r="C70" s="6" t="s">
        <v>534</v>
      </c>
      <c r="D70" s="5" t="s">
        <v>21</v>
      </c>
      <c r="E70" s="426" t="s">
        <v>21</v>
      </c>
      <c r="F70" s="647" t="s">
        <v>495</v>
      </c>
      <c r="G70" s="1">
        <v>30912</v>
      </c>
      <c r="H70" s="428">
        <v>0</v>
      </c>
      <c r="I70" s="2093">
        <v>0</v>
      </c>
      <c r="J70" s="429">
        <v>0</v>
      </c>
      <c r="K70" s="430">
        <v>0</v>
      </c>
      <c r="L70" s="430">
        <v>0</v>
      </c>
      <c r="M70" s="567">
        <v>0</v>
      </c>
      <c r="N70" s="524">
        <v>30912</v>
      </c>
      <c r="O70" s="568">
        <v>-30912</v>
      </c>
      <c r="P70" s="272">
        <f t="shared" si="5"/>
        <v>0</v>
      </c>
      <c r="Q70" s="431">
        <v>0</v>
      </c>
      <c r="R70" s="569">
        <v>0</v>
      </c>
      <c r="S70" s="429">
        <v>0</v>
      </c>
      <c r="T70" s="430">
        <v>30912</v>
      </c>
      <c r="U70" s="431">
        <v>0</v>
      </c>
      <c r="V70" s="433">
        <v>0</v>
      </c>
      <c r="W70" s="430">
        <v>0</v>
      </c>
      <c r="X70" s="434">
        <v>0</v>
      </c>
      <c r="Y70" s="434">
        <v>0</v>
      </c>
      <c r="Z70" s="431">
        <v>0</v>
      </c>
      <c r="AA70" s="570" t="s">
        <v>1409</v>
      </c>
      <c r="AB70" s="5" t="s">
        <v>123</v>
      </c>
      <c r="AC70" s="53" t="s">
        <v>493</v>
      </c>
      <c r="AD70" s="435" t="s">
        <v>119</v>
      </c>
      <c r="AE70" s="526" t="s">
        <v>119</v>
      </c>
      <c r="AF70" s="435" t="s">
        <v>128</v>
      </c>
      <c r="AG70" s="426" t="s">
        <v>496</v>
      </c>
    </row>
    <row r="71" spans="1:33" ht="25.5" outlineLevel="1" x14ac:dyDescent="0.25">
      <c r="A71" s="603" t="s">
        <v>497</v>
      </c>
      <c r="B71" s="1995" t="s">
        <v>949</v>
      </c>
      <c r="C71" s="33" t="s">
        <v>534</v>
      </c>
      <c r="D71" s="35" t="s">
        <v>21</v>
      </c>
      <c r="E71" s="259" t="s">
        <v>21</v>
      </c>
      <c r="F71" s="1548" t="s">
        <v>498</v>
      </c>
      <c r="G71" s="36">
        <f>983+0.01255</f>
        <v>983.01255000000003</v>
      </c>
      <c r="H71" s="628">
        <v>0</v>
      </c>
      <c r="I71" s="2082">
        <v>907.5</v>
      </c>
      <c r="J71" s="605">
        <f>76-0.5+0.01255</f>
        <v>75.512550000000005</v>
      </c>
      <c r="K71" s="337">
        <v>0</v>
      </c>
      <c r="L71" s="337">
        <v>0</v>
      </c>
      <c r="M71" s="1055">
        <v>0</v>
      </c>
      <c r="N71" s="735">
        <v>75.5</v>
      </c>
      <c r="O71" s="766">
        <v>1.255E-2</v>
      </c>
      <c r="P71" s="346">
        <f t="shared" si="5"/>
        <v>75.512550000000005</v>
      </c>
      <c r="Q71" s="257">
        <v>0</v>
      </c>
      <c r="R71" s="1057">
        <v>0</v>
      </c>
      <c r="S71" s="605">
        <v>0</v>
      </c>
      <c r="T71" s="337">
        <v>0</v>
      </c>
      <c r="U71" s="257">
        <v>0</v>
      </c>
      <c r="V71" s="1058">
        <v>0</v>
      </c>
      <c r="W71" s="337">
        <v>0</v>
      </c>
      <c r="X71" s="489">
        <v>0</v>
      </c>
      <c r="Y71" s="489">
        <v>0</v>
      </c>
      <c r="Z71" s="257">
        <v>0</v>
      </c>
      <c r="AA71" s="440" t="s">
        <v>109</v>
      </c>
      <c r="AB71" s="35" t="s">
        <v>309</v>
      </c>
      <c r="AC71" s="586" t="s">
        <v>318</v>
      </c>
      <c r="AD71" s="342" t="s">
        <v>120</v>
      </c>
      <c r="AE71" s="448" t="s">
        <v>120</v>
      </c>
      <c r="AF71" s="342" t="s">
        <v>128</v>
      </c>
      <c r="AG71" s="259" t="s">
        <v>365</v>
      </c>
    </row>
    <row r="72" spans="1:33" ht="30.75" outlineLevel="1" thickBot="1" x14ac:dyDescent="0.3">
      <c r="A72" s="596" t="s">
        <v>551</v>
      </c>
      <c r="B72" s="249" t="s">
        <v>112</v>
      </c>
      <c r="C72" s="258" t="s">
        <v>564</v>
      </c>
      <c r="D72" s="258" t="s">
        <v>21</v>
      </c>
      <c r="E72" s="339" t="s">
        <v>21</v>
      </c>
      <c r="F72" s="1541" t="s">
        <v>552</v>
      </c>
      <c r="G72" s="649">
        <v>8610</v>
      </c>
      <c r="H72" s="1542">
        <v>0</v>
      </c>
      <c r="I72" s="2095">
        <v>0</v>
      </c>
      <c r="J72" s="1525">
        <v>0</v>
      </c>
      <c r="K72" s="1526">
        <v>4569</v>
      </c>
      <c r="L72" s="1526">
        <v>0</v>
      </c>
      <c r="M72" s="1527">
        <v>0</v>
      </c>
      <c r="N72" s="733">
        <v>4569</v>
      </c>
      <c r="O72" s="767">
        <v>0</v>
      </c>
      <c r="P72" s="359">
        <f t="shared" si="5"/>
        <v>4569</v>
      </c>
      <c r="Q72" s="1543">
        <v>0</v>
      </c>
      <c r="R72" s="1544">
        <v>0</v>
      </c>
      <c r="S72" s="1525">
        <v>0</v>
      </c>
      <c r="T72" s="1526">
        <v>4041</v>
      </c>
      <c r="U72" s="651">
        <v>0</v>
      </c>
      <c r="V72" s="1545">
        <v>0</v>
      </c>
      <c r="W72" s="1526">
        <v>0</v>
      </c>
      <c r="X72" s="1546">
        <v>0</v>
      </c>
      <c r="Y72" s="1546">
        <v>0</v>
      </c>
      <c r="Z72" s="651">
        <v>0</v>
      </c>
      <c r="AA72" s="571" t="s">
        <v>723</v>
      </c>
      <c r="AB72" s="258" t="s">
        <v>11</v>
      </c>
      <c r="AC72" s="115" t="s">
        <v>485</v>
      </c>
      <c r="AD72" s="27" t="s">
        <v>119</v>
      </c>
      <c r="AE72" s="31" t="s">
        <v>119</v>
      </c>
      <c r="AF72" s="27" t="s">
        <v>128</v>
      </c>
      <c r="AG72" s="339" t="s">
        <v>370</v>
      </c>
    </row>
    <row r="73" spans="1:33" ht="25.5" outlineLevel="1" x14ac:dyDescent="0.25">
      <c r="A73" s="1549" t="s">
        <v>690</v>
      </c>
      <c r="B73" s="1997" t="s">
        <v>907</v>
      </c>
      <c r="C73" s="535" t="s">
        <v>564</v>
      </c>
      <c r="D73" s="535" t="s">
        <v>21</v>
      </c>
      <c r="E73" s="544" t="s">
        <v>21</v>
      </c>
      <c r="F73" s="1550" t="s">
        <v>691</v>
      </c>
      <c r="G73" s="545">
        <f>5765-479.20227</f>
        <v>5285.7977300000002</v>
      </c>
      <c r="H73" s="559">
        <v>0</v>
      </c>
      <c r="I73" s="2154">
        <v>5285.7977300000002</v>
      </c>
      <c r="J73" s="547">
        <v>0</v>
      </c>
      <c r="K73" s="548">
        <v>0</v>
      </c>
      <c r="L73" s="548">
        <v>0</v>
      </c>
      <c r="M73" s="1551">
        <v>0</v>
      </c>
      <c r="N73" s="550">
        <v>479.20227</v>
      </c>
      <c r="O73" s="533">
        <v>-479.20227</v>
      </c>
      <c r="P73" s="1552">
        <f t="shared" si="5"/>
        <v>0</v>
      </c>
      <c r="Q73" s="551">
        <v>0</v>
      </c>
      <c r="R73" s="1553">
        <v>0</v>
      </c>
      <c r="S73" s="547">
        <v>0</v>
      </c>
      <c r="T73" s="548">
        <v>0</v>
      </c>
      <c r="U73" s="549">
        <v>0</v>
      </c>
      <c r="V73" s="1521">
        <v>0</v>
      </c>
      <c r="W73" s="548">
        <v>0</v>
      </c>
      <c r="X73" s="1508">
        <v>0</v>
      </c>
      <c r="Y73" s="1508">
        <v>0</v>
      </c>
      <c r="Z73" s="549">
        <v>0</v>
      </c>
      <c r="AA73" s="1554" t="s">
        <v>1256</v>
      </c>
      <c r="AB73" s="535" t="s">
        <v>123</v>
      </c>
      <c r="AC73" s="1522" t="s">
        <v>233</v>
      </c>
      <c r="AD73" s="1555" t="s">
        <v>120</v>
      </c>
      <c r="AE73" s="1556" t="s">
        <v>120</v>
      </c>
      <c r="AF73" s="1555" t="s">
        <v>128</v>
      </c>
      <c r="AG73" s="544" t="s">
        <v>364</v>
      </c>
    </row>
    <row r="74" spans="1:33" ht="25.5" outlineLevel="1" x14ac:dyDescent="0.25">
      <c r="A74" s="1549" t="s">
        <v>692</v>
      </c>
      <c r="B74" s="1997" t="s">
        <v>1079</v>
      </c>
      <c r="C74" s="535" t="s">
        <v>864</v>
      </c>
      <c r="D74" s="535" t="s">
        <v>21</v>
      </c>
      <c r="E74" s="544" t="s">
        <v>21</v>
      </c>
      <c r="F74" s="1550" t="s">
        <v>693</v>
      </c>
      <c r="G74" s="545">
        <v>4716.9938000000002</v>
      </c>
      <c r="H74" s="559">
        <v>0</v>
      </c>
      <c r="I74" s="559">
        <v>4716.9938000000002</v>
      </c>
      <c r="J74" s="547">
        <v>0</v>
      </c>
      <c r="K74" s="548">
        <v>0</v>
      </c>
      <c r="L74" s="548">
        <v>0</v>
      </c>
      <c r="M74" s="1551">
        <v>0</v>
      </c>
      <c r="N74" s="550">
        <v>1134.0062</v>
      </c>
      <c r="O74" s="533">
        <v>-1134.0062</v>
      </c>
      <c r="P74" s="1552">
        <f t="shared" si="5"/>
        <v>0</v>
      </c>
      <c r="Q74" s="551">
        <v>0</v>
      </c>
      <c r="R74" s="1553">
        <v>0</v>
      </c>
      <c r="S74" s="547">
        <v>0</v>
      </c>
      <c r="T74" s="548">
        <v>0</v>
      </c>
      <c r="U74" s="549">
        <v>0</v>
      </c>
      <c r="V74" s="1521">
        <v>0</v>
      </c>
      <c r="W74" s="548">
        <v>0</v>
      </c>
      <c r="X74" s="1508">
        <v>0</v>
      </c>
      <c r="Y74" s="1508">
        <v>0</v>
      </c>
      <c r="Z74" s="549">
        <v>0</v>
      </c>
      <c r="AA74" s="1554" t="s">
        <v>1257</v>
      </c>
      <c r="AB74" s="535" t="s">
        <v>123</v>
      </c>
      <c r="AC74" s="1522" t="s">
        <v>233</v>
      </c>
      <c r="AD74" s="1555" t="s">
        <v>120</v>
      </c>
      <c r="AE74" s="1556" t="s">
        <v>120</v>
      </c>
      <c r="AF74" s="1555" t="s">
        <v>128</v>
      </c>
      <c r="AG74" s="544" t="s">
        <v>382</v>
      </c>
    </row>
    <row r="75" spans="1:33" ht="25.5" outlineLevel="1" x14ac:dyDescent="0.25">
      <c r="A75" s="1549" t="s">
        <v>694</v>
      </c>
      <c r="B75" s="1997" t="s">
        <v>1053</v>
      </c>
      <c r="C75" s="535" t="s">
        <v>864</v>
      </c>
      <c r="D75" s="535" t="s">
        <v>21</v>
      </c>
      <c r="E75" s="544" t="s">
        <v>21</v>
      </c>
      <c r="F75" s="1550" t="s">
        <v>695</v>
      </c>
      <c r="G75" s="545">
        <v>5077.3750899999995</v>
      </c>
      <c r="H75" s="559">
        <v>0</v>
      </c>
      <c r="I75" s="559">
        <v>5077.3750899999995</v>
      </c>
      <c r="J75" s="547">
        <v>0</v>
      </c>
      <c r="K75" s="548">
        <v>0</v>
      </c>
      <c r="L75" s="548">
        <v>0</v>
      </c>
      <c r="M75" s="1551">
        <v>0</v>
      </c>
      <c r="N75" s="550">
        <v>801.62491</v>
      </c>
      <c r="O75" s="533">
        <v>-801.62491</v>
      </c>
      <c r="P75" s="1552">
        <f t="shared" si="5"/>
        <v>0</v>
      </c>
      <c r="Q75" s="551">
        <v>0</v>
      </c>
      <c r="R75" s="1553">
        <v>0</v>
      </c>
      <c r="S75" s="547">
        <v>0</v>
      </c>
      <c r="T75" s="548">
        <v>0</v>
      </c>
      <c r="U75" s="549">
        <v>0</v>
      </c>
      <c r="V75" s="1521">
        <v>0</v>
      </c>
      <c r="W75" s="548">
        <v>0</v>
      </c>
      <c r="X75" s="1508">
        <v>0</v>
      </c>
      <c r="Y75" s="1508">
        <v>0</v>
      </c>
      <c r="Z75" s="549">
        <v>0</v>
      </c>
      <c r="AA75" s="1554" t="s">
        <v>1258</v>
      </c>
      <c r="AB75" s="535" t="s">
        <v>123</v>
      </c>
      <c r="AC75" s="1522" t="s">
        <v>233</v>
      </c>
      <c r="AD75" s="1555" t="s">
        <v>120</v>
      </c>
      <c r="AE75" s="1556" t="s">
        <v>120</v>
      </c>
      <c r="AF75" s="1555" t="s">
        <v>128</v>
      </c>
      <c r="AG75" s="544" t="s">
        <v>382</v>
      </c>
    </row>
    <row r="76" spans="1:33" ht="25.5" outlineLevel="1" x14ac:dyDescent="0.25">
      <c r="A76" s="602" t="s">
        <v>696</v>
      </c>
      <c r="B76" s="1994" t="s">
        <v>112</v>
      </c>
      <c r="C76" s="33" t="s">
        <v>864</v>
      </c>
      <c r="D76" s="33" t="s">
        <v>21</v>
      </c>
      <c r="E76" s="368" t="s">
        <v>21</v>
      </c>
      <c r="F76" s="1540" t="s">
        <v>697</v>
      </c>
      <c r="G76" s="622">
        <v>4899</v>
      </c>
      <c r="H76" s="693">
        <v>0</v>
      </c>
      <c r="I76" s="693">
        <v>0</v>
      </c>
      <c r="J76" s="851">
        <v>0</v>
      </c>
      <c r="K76" s="950">
        <v>4899</v>
      </c>
      <c r="L76" s="950">
        <v>0</v>
      </c>
      <c r="M76" s="1547">
        <v>0</v>
      </c>
      <c r="N76" s="732">
        <v>4899</v>
      </c>
      <c r="O76" s="759">
        <v>0</v>
      </c>
      <c r="P76" s="345">
        <f t="shared" si="5"/>
        <v>4899</v>
      </c>
      <c r="Q76" s="630">
        <v>0</v>
      </c>
      <c r="R76" s="648">
        <v>0</v>
      </c>
      <c r="S76" s="851">
        <v>0</v>
      </c>
      <c r="T76" s="950">
        <v>0</v>
      </c>
      <c r="U76" s="626">
        <v>0</v>
      </c>
      <c r="V76" s="1080">
        <v>0</v>
      </c>
      <c r="W76" s="950">
        <v>0</v>
      </c>
      <c r="X76" s="852">
        <v>0</v>
      </c>
      <c r="Y76" s="852">
        <v>0</v>
      </c>
      <c r="Z76" s="626">
        <v>0</v>
      </c>
      <c r="AA76" s="439" t="s">
        <v>109</v>
      </c>
      <c r="AB76" s="33" t="s">
        <v>16</v>
      </c>
      <c r="AC76" s="786" t="s">
        <v>485</v>
      </c>
      <c r="AD76" s="375" t="s">
        <v>120</v>
      </c>
      <c r="AE76" s="787" t="s">
        <v>120</v>
      </c>
      <c r="AF76" s="375" t="s">
        <v>128</v>
      </c>
      <c r="AG76" s="368" t="s">
        <v>730</v>
      </c>
    </row>
    <row r="77" spans="1:33" ht="25.5" outlineLevel="1" x14ac:dyDescent="0.25">
      <c r="A77" s="1549" t="s">
        <v>698</v>
      </c>
      <c r="B77" s="1997" t="s">
        <v>1068</v>
      </c>
      <c r="C77" s="535" t="s">
        <v>864</v>
      </c>
      <c r="D77" s="535" t="s">
        <v>21</v>
      </c>
      <c r="E77" s="544" t="s">
        <v>21</v>
      </c>
      <c r="F77" s="1550" t="s">
        <v>699</v>
      </c>
      <c r="G77" s="545">
        <v>4212.3523299999997</v>
      </c>
      <c r="H77" s="559">
        <v>0</v>
      </c>
      <c r="I77" s="559">
        <v>4212.3523299999997</v>
      </c>
      <c r="J77" s="547">
        <v>0</v>
      </c>
      <c r="K77" s="548">
        <v>0</v>
      </c>
      <c r="L77" s="548">
        <v>0</v>
      </c>
      <c r="M77" s="1551">
        <v>0</v>
      </c>
      <c r="N77" s="550">
        <v>1297.6476700000001</v>
      </c>
      <c r="O77" s="533">
        <v>-1297.6476700000001</v>
      </c>
      <c r="P77" s="1552">
        <f t="shared" si="5"/>
        <v>0</v>
      </c>
      <c r="Q77" s="551">
        <v>0</v>
      </c>
      <c r="R77" s="1553">
        <v>0</v>
      </c>
      <c r="S77" s="547">
        <v>0</v>
      </c>
      <c r="T77" s="548">
        <v>0</v>
      </c>
      <c r="U77" s="549">
        <v>0</v>
      </c>
      <c r="V77" s="1521">
        <v>0</v>
      </c>
      <c r="W77" s="548">
        <v>0</v>
      </c>
      <c r="X77" s="1508">
        <v>0</v>
      </c>
      <c r="Y77" s="1508">
        <v>0</v>
      </c>
      <c r="Z77" s="549">
        <v>0</v>
      </c>
      <c r="AA77" s="1554" t="s">
        <v>1259</v>
      </c>
      <c r="AB77" s="535" t="s">
        <v>123</v>
      </c>
      <c r="AC77" s="1522" t="s">
        <v>239</v>
      </c>
      <c r="AD77" s="1555" t="s">
        <v>120</v>
      </c>
      <c r="AE77" s="1556" t="s">
        <v>120</v>
      </c>
      <c r="AF77" s="1555" t="s">
        <v>128</v>
      </c>
      <c r="AG77" s="544" t="s">
        <v>371</v>
      </c>
    </row>
    <row r="78" spans="1:33" ht="25.5" outlineLevel="1" x14ac:dyDescent="0.25">
      <c r="A78" s="1549" t="s">
        <v>700</v>
      </c>
      <c r="B78" s="1997" t="s">
        <v>1066</v>
      </c>
      <c r="C78" s="535" t="s">
        <v>864</v>
      </c>
      <c r="D78" s="535" t="s">
        <v>21</v>
      </c>
      <c r="E78" s="544" t="s">
        <v>21</v>
      </c>
      <c r="F78" s="1550" t="s">
        <v>701</v>
      </c>
      <c r="G78" s="545">
        <v>3139.62185</v>
      </c>
      <c r="H78" s="559">
        <v>0</v>
      </c>
      <c r="I78" s="559">
        <v>3139.62185</v>
      </c>
      <c r="J78" s="547">
        <v>0</v>
      </c>
      <c r="K78" s="548">
        <v>0</v>
      </c>
      <c r="L78" s="548">
        <v>0</v>
      </c>
      <c r="M78" s="1551">
        <v>0</v>
      </c>
      <c r="N78" s="550">
        <v>810.37815000000001</v>
      </c>
      <c r="O78" s="533">
        <v>-810.37815000000001</v>
      </c>
      <c r="P78" s="1552">
        <f t="shared" si="5"/>
        <v>0</v>
      </c>
      <c r="Q78" s="551">
        <v>0</v>
      </c>
      <c r="R78" s="1553">
        <v>0</v>
      </c>
      <c r="S78" s="547">
        <v>0</v>
      </c>
      <c r="T78" s="548">
        <v>0</v>
      </c>
      <c r="U78" s="549">
        <v>0</v>
      </c>
      <c r="V78" s="1521">
        <v>0</v>
      </c>
      <c r="W78" s="548">
        <v>0</v>
      </c>
      <c r="X78" s="1508">
        <v>0</v>
      </c>
      <c r="Y78" s="1508">
        <v>0</v>
      </c>
      <c r="Z78" s="549">
        <v>0</v>
      </c>
      <c r="AA78" s="1554" t="s">
        <v>1260</v>
      </c>
      <c r="AB78" s="535" t="s">
        <v>123</v>
      </c>
      <c r="AC78" s="1522" t="s">
        <v>239</v>
      </c>
      <c r="AD78" s="1555" t="s">
        <v>120</v>
      </c>
      <c r="AE78" s="1556" t="s">
        <v>120</v>
      </c>
      <c r="AF78" s="1555" t="s">
        <v>128</v>
      </c>
      <c r="AG78" s="544" t="s">
        <v>375</v>
      </c>
    </row>
    <row r="79" spans="1:33" ht="25.5" outlineLevel="1" x14ac:dyDescent="0.25">
      <c r="A79" s="602" t="s">
        <v>702</v>
      </c>
      <c r="B79" s="1994" t="s">
        <v>112</v>
      </c>
      <c r="C79" s="33" t="s">
        <v>864</v>
      </c>
      <c r="D79" s="33" t="s">
        <v>21</v>
      </c>
      <c r="E79" s="368" t="s">
        <v>21</v>
      </c>
      <c r="F79" s="1540" t="s">
        <v>703</v>
      </c>
      <c r="G79" s="622">
        <v>4224.3999999999996</v>
      </c>
      <c r="H79" s="693">
        <v>0</v>
      </c>
      <c r="I79" s="693">
        <v>0</v>
      </c>
      <c r="J79" s="851">
        <v>4224.3999999999996</v>
      </c>
      <c r="K79" s="950">
        <v>0</v>
      </c>
      <c r="L79" s="950">
        <v>0</v>
      </c>
      <c r="M79" s="1547">
        <v>0</v>
      </c>
      <c r="N79" s="732">
        <v>4224.3999999999996</v>
      </c>
      <c r="O79" s="759">
        <v>0</v>
      </c>
      <c r="P79" s="345">
        <f t="shared" si="5"/>
        <v>4224.3999999999996</v>
      </c>
      <c r="Q79" s="630">
        <v>0</v>
      </c>
      <c r="R79" s="648">
        <v>0</v>
      </c>
      <c r="S79" s="851">
        <v>0</v>
      </c>
      <c r="T79" s="950">
        <v>0</v>
      </c>
      <c r="U79" s="626">
        <v>0</v>
      </c>
      <c r="V79" s="1080">
        <v>0</v>
      </c>
      <c r="W79" s="950">
        <v>0</v>
      </c>
      <c r="X79" s="852">
        <v>0</v>
      </c>
      <c r="Y79" s="852">
        <v>0</v>
      </c>
      <c r="Z79" s="626">
        <v>0</v>
      </c>
      <c r="AA79" s="439" t="s">
        <v>109</v>
      </c>
      <c r="AB79" s="33" t="s">
        <v>309</v>
      </c>
      <c r="AC79" s="786" t="s">
        <v>325</v>
      </c>
      <c r="AD79" s="375" t="s">
        <v>120</v>
      </c>
      <c r="AE79" s="787" t="s">
        <v>120</v>
      </c>
      <c r="AF79" s="375" t="s">
        <v>128</v>
      </c>
      <c r="AG79" s="368" t="s">
        <v>387</v>
      </c>
    </row>
    <row r="80" spans="1:33" ht="25.5" outlineLevel="1" x14ac:dyDescent="0.25">
      <c r="A80" s="1549" t="s">
        <v>704</v>
      </c>
      <c r="B80" s="1997" t="s">
        <v>1067</v>
      </c>
      <c r="C80" s="535" t="s">
        <v>864</v>
      </c>
      <c r="D80" s="535" t="s">
        <v>21</v>
      </c>
      <c r="E80" s="544" t="s">
        <v>21</v>
      </c>
      <c r="F80" s="1550" t="s">
        <v>705</v>
      </c>
      <c r="G80" s="545">
        <v>2525.6519499999999</v>
      </c>
      <c r="H80" s="559">
        <v>0</v>
      </c>
      <c r="I80" s="559">
        <v>2525.6519499999999</v>
      </c>
      <c r="J80" s="547">
        <v>0</v>
      </c>
      <c r="K80" s="548">
        <v>0</v>
      </c>
      <c r="L80" s="548">
        <v>0</v>
      </c>
      <c r="M80" s="1551">
        <v>0</v>
      </c>
      <c r="N80" s="550">
        <v>366.64805000000001</v>
      </c>
      <c r="O80" s="533">
        <v>-366.64805000000001</v>
      </c>
      <c r="P80" s="1552">
        <f t="shared" si="5"/>
        <v>0</v>
      </c>
      <c r="Q80" s="551">
        <v>0</v>
      </c>
      <c r="R80" s="1553">
        <v>0</v>
      </c>
      <c r="S80" s="547">
        <v>0</v>
      </c>
      <c r="T80" s="548">
        <v>0</v>
      </c>
      <c r="U80" s="549">
        <v>0</v>
      </c>
      <c r="V80" s="1521">
        <v>0</v>
      </c>
      <c r="W80" s="548">
        <v>0</v>
      </c>
      <c r="X80" s="1508">
        <v>0</v>
      </c>
      <c r="Y80" s="1508">
        <v>0</v>
      </c>
      <c r="Z80" s="549">
        <v>0</v>
      </c>
      <c r="AA80" s="1554" t="s">
        <v>1261</v>
      </c>
      <c r="AB80" s="535" t="s">
        <v>123</v>
      </c>
      <c r="AC80" s="1522" t="s">
        <v>239</v>
      </c>
      <c r="AD80" s="1555" t="s">
        <v>120</v>
      </c>
      <c r="AE80" s="1556" t="s">
        <v>120</v>
      </c>
      <c r="AF80" s="1555" t="s">
        <v>128</v>
      </c>
      <c r="AG80" s="544" t="s">
        <v>371</v>
      </c>
    </row>
    <row r="81" spans="1:33" ht="25.5" outlineLevel="1" x14ac:dyDescent="0.25">
      <c r="A81" s="1549" t="s">
        <v>706</v>
      </c>
      <c r="B81" s="1997" t="s">
        <v>950</v>
      </c>
      <c r="C81" s="535" t="s">
        <v>864</v>
      </c>
      <c r="D81" s="535" t="s">
        <v>21</v>
      </c>
      <c r="E81" s="544" t="s">
        <v>21</v>
      </c>
      <c r="F81" s="1550" t="s">
        <v>707</v>
      </c>
      <c r="G81" s="545">
        <v>5317.5977899999998</v>
      </c>
      <c r="H81" s="559">
        <v>0</v>
      </c>
      <c r="I81" s="559">
        <v>5317.5977899999998</v>
      </c>
      <c r="J81" s="547">
        <v>0</v>
      </c>
      <c r="K81" s="548">
        <v>0</v>
      </c>
      <c r="L81" s="548">
        <v>0</v>
      </c>
      <c r="M81" s="1551">
        <v>0</v>
      </c>
      <c r="N81" s="550">
        <v>600.40220999999997</v>
      </c>
      <c r="O81" s="533">
        <v>-600.40220999999997</v>
      </c>
      <c r="P81" s="1552">
        <f t="shared" si="5"/>
        <v>0</v>
      </c>
      <c r="Q81" s="551">
        <v>0</v>
      </c>
      <c r="R81" s="1553">
        <v>0</v>
      </c>
      <c r="S81" s="547">
        <v>0</v>
      </c>
      <c r="T81" s="548">
        <v>0</v>
      </c>
      <c r="U81" s="549">
        <v>0</v>
      </c>
      <c r="V81" s="1521">
        <v>0</v>
      </c>
      <c r="W81" s="548">
        <v>0</v>
      </c>
      <c r="X81" s="1508">
        <v>0</v>
      </c>
      <c r="Y81" s="1508">
        <v>0</v>
      </c>
      <c r="Z81" s="549">
        <v>0</v>
      </c>
      <c r="AA81" s="1554" t="s">
        <v>1262</v>
      </c>
      <c r="AB81" s="535" t="s">
        <v>123</v>
      </c>
      <c r="AC81" s="1522" t="s">
        <v>239</v>
      </c>
      <c r="AD81" s="1555" t="s">
        <v>120</v>
      </c>
      <c r="AE81" s="1556" t="s">
        <v>120</v>
      </c>
      <c r="AF81" s="1555" t="s">
        <v>128</v>
      </c>
      <c r="AG81" s="544" t="s">
        <v>368</v>
      </c>
    </row>
    <row r="82" spans="1:33" ht="25.5" outlineLevel="1" x14ac:dyDescent="0.25">
      <c r="A82" s="1549" t="s">
        <v>708</v>
      </c>
      <c r="B82" s="1997" t="s">
        <v>951</v>
      </c>
      <c r="C82" s="535" t="s">
        <v>864</v>
      </c>
      <c r="D82" s="535" t="s">
        <v>21</v>
      </c>
      <c r="E82" s="544" t="s">
        <v>21</v>
      </c>
      <c r="F82" s="1550" t="s">
        <v>709</v>
      </c>
      <c r="G82" s="545">
        <v>6822.0197200000002</v>
      </c>
      <c r="H82" s="559">
        <v>0</v>
      </c>
      <c r="I82" s="559">
        <v>6822.0197200000002</v>
      </c>
      <c r="J82" s="547">
        <v>0</v>
      </c>
      <c r="K82" s="548">
        <v>0</v>
      </c>
      <c r="L82" s="548">
        <v>0</v>
      </c>
      <c r="M82" s="1551">
        <v>0</v>
      </c>
      <c r="N82" s="550">
        <v>125.28028</v>
      </c>
      <c r="O82" s="533">
        <v>-125.28028</v>
      </c>
      <c r="P82" s="1552">
        <f t="shared" si="5"/>
        <v>0</v>
      </c>
      <c r="Q82" s="551">
        <v>0</v>
      </c>
      <c r="R82" s="1553">
        <v>0</v>
      </c>
      <c r="S82" s="547">
        <v>0</v>
      </c>
      <c r="T82" s="548">
        <v>0</v>
      </c>
      <c r="U82" s="549">
        <v>0</v>
      </c>
      <c r="V82" s="1521">
        <v>0</v>
      </c>
      <c r="W82" s="548">
        <v>0</v>
      </c>
      <c r="X82" s="1508">
        <v>0</v>
      </c>
      <c r="Y82" s="1508">
        <v>0</v>
      </c>
      <c r="Z82" s="549">
        <v>0</v>
      </c>
      <c r="AA82" s="1554" t="s">
        <v>1263</v>
      </c>
      <c r="AB82" s="535" t="s">
        <v>123</v>
      </c>
      <c r="AC82" s="1522" t="s">
        <v>239</v>
      </c>
      <c r="AD82" s="1555" t="s">
        <v>120</v>
      </c>
      <c r="AE82" s="1556" t="s">
        <v>120</v>
      </c>
      <c r="AF82" s="1555" t="s">
        <v>128</v>
      </c>
      <c r="AG82" s="544" t="s">
        <v>370</v>
      </c>
    </row>
    <row r="83" spans="1:33" ht="25.5" outlineLevel="1" x14ac:dyDescent="0.25">
      <c r="A83" s="1549" t="s">
        <v>710</v>
      </c>
      <c r="B83" s="1997" t="s">
        <v>1065</v>
      </c>
      <c r="C83" s="535" t="s">
        <v>864</v>
      </c>
      <c r="D83" s="535" t="s">
        <v>21</v>
      </c>
      <c r="E83" s="544" t="s">
        <v>21</v>
      </c>
      <c r="F83" s="1550" t="s">
        <v>735</v>
      </c>
      <c r="G83" s="545">
        <v>4766.3109999999997</v>
      </c>
      <c r="H83" s="559">
        <v>0</v>
      </c>
      <c r="I83" s="559">
        <v>4766.3109999999997</v>
      </c>
      <c r="J83" s="547">
        <v>0</v>
      </c>
      <c r="K83" s="548">
        <v>0</v>
      </c>
      <c r="L83" s="548">
        <v>0</v>
      </c>
      <c r="M83" s="1551">
        <v>0</v>
      </c>
      <c r="N83" s="550">
        <v>640.48900000000003</v>
      </c>
      <c r="O83" s="533">
        <v>-640.48900000000003</v>
      </c>
      <c r="P83" s="1552">
        <f t="shared" si="5"/>
        <v>0</v>
      </c>
      <c r="Q83" s="551">
        <v>0</v>
      </c>
      <c r="R83" s="1553">
        <v>0</v>
      </c>
      <c r="S83" s="547">
        <v>0</v>
      </c>
      <c r="T83" s="548">
        <v>0</v>
      </c>
      <c r="U83" s="549">
        <v>0</v>
      </c>
      <c r="V83" s="1521">
        <v>0</v>
      </c>
      <c r="W83" s="548">
        <v>0</v>
      </c>
      <c r="X83" s="1508">
        <v>0</v>
      </c>
      <c r="Y83" s="1508">
        <v>0</v>
      </c>
      <c r="Z83" s="549">
        <v>0</v>
      </c>
      <c r="AA83" s="1554" t="s">
        <v>1264</v>
      </c>
      <c r="AB83" s="535" t="s">
        <v>123</v>
      </c>
      <c r="AC83" s="1522" t="s">
        <v>239</v>
      </c>
      <c r="AD83" s="1555" t="s">
        <v>120</v>
      </c>
      <c r="AE83" s="1556" t="s">
        <v>120</v>
      </c>
      <c r="AF83" s="1555" t="s">
        <v>128</v>
      </c>
      <c r="AG83" s="544" t="s">
        <v>368</v>
      </c>
    </row>
    <row r="84" spans="1:33" ht="25.5" outlineLevel="1" x14ac:dyDescent="0.25">
      <c r="A84" s="602" t="s">
        <v>711</v>
      </c>
      <c r="B84" s="1994" t="s">
        <v>112</v>
      </c>
      <c r="C84" s="33" t="s">
        <v>864</v>
      </c>
      <c r="D84" s="33" t="s">
        <v>21</v>
      </c>
      <c r="E84" s="368" t="s">
        <v>21</v>
      </c>
      <c r="F84" s="1540" t="s">
        <v>712</v>
      </c>
      <c r="G84" s="622">
        <v>12000</v>
      </c>
      <c r="H84" s="693">
        <v>0</v>
      </c>
      <c r="I84" s="693">
        <v>0</v>
      </c>
      <c r="J84" s="851">
        <v>0</v>
      </c>
      <c r="K84" s="950">
        <v>0</v>
      </c>
      <c r="L84" s="950">
        <v>0</v>
      </c>
      <c r="M84" s="1547">
        <v>10000</v>
      </c>
      <c r="N84" s="735">
        <v>12000</v>
      </c>
      <c r="O84" s="759">
        <v>-2000</v>
      </c>
      <c r="P84" s="345">
        <f t="shared" si="5"/>
        <v>10000</v>
      </c>
      <c r="Q84" s="630">
        <v>2000</v>
      </c>
      <c r="R84" s="648">
        <v>0</v>
      </c>
      <c r="S84" s="851">
        <v>0</v>
      </c>
      <c r="T84" s="950">
        <v>0</v>
      </c>
      <c r="U84" s="626">
        <v>0</v>
      </c>
      <c r="V84" s="1080">
        <v>0</v>
      </c>
      <c r="W84" s="950">
        <v>0</v>
      </c>
      <c r="X84" s="852">
        <v>0</v>
      </c>
      <c r="Y84" s="852">
        <v>0</v>
      </c>
      <c r="Z84" s="626">
        <v>0</v>
      </c>
      <c r="AA84" s="439" t="s">
        <v>109</v>
      </c>
      <c r="AB84" s="33" t="s">
        <v>13</v>
      </c>
      <c r="AC84" s="786" t="s">
        <v>303</v>
      </c>
      <c r="AD84" s="375" t="s">
        <v>119</v>
      </c>
      <c r="AE84" s="787" t="s">
        <v>119</v>
      </c>
      <c r="AF84" s="375" t="s">
        <v>129</v>
      </c>
      <c r="AG84" s="368" t="s">
        <v>372</v>
      </c>
    </row>
    <row r="85" spans="1:33" s="406" customFormat="1" ht="38.25" outlineLevel="1" x14ac:dyDescent="0.25">
      <c r="A85" s="1549" t="s">
        <v>713</v>
      </c>
      <c r="B85" s="1997" t="s">
        <v>1058</v>
      </c>
      <c r="C85" s="535" t="s">
        <v>864</v>
      </c>
      <c r="D85" s="535" t="s">
        <v>21</v>
      </c>
      <c r="E85" s="544" t="s">
        <v>21</v>
      </c>
      <c r="F85" s="1550" t="s">
        <v>736</v>
      </c>
      <c r="G85" s="545">
        <v>3747.5660200000002</v>
      </c>
      <c r="H85" s="559">
        <v>0</v>
      </c>
      <c r="I85" s="559">
        <v>3747.5660200000002</v>
      </c>
      <c r="J85" s="547">
        <v>0</v>
      </c>
      <c r="K85" s="548">
        <v>0</v>
      </c>
      <c r="L85" s="548">
        <v>0</v>
      </c>
      <c r="M85" s="1551">
        <v>0</v>
      </c>
      <c r="N85" s="1380">
        <v>725.43398000000002</v>
      </c>
      <c r="O85" s="533">
        <v>-725.43398000000002</v>
      </c>
      <c r="P85" s="1552">
        <f t="shared" si="5"/>
        <v>0</v>
      </c>
      <c r="Q85" s="551">
        <v>0</v>
      </c>
      <c r="R85" s="1553">
        <v>0</v>
      </c>
      <c r="S85" s="547">
        <v>0</v>
      </c>
      <c r="T85" s="548">
        <v>0</v>
      </c>
      <c r="U85" s="549">
        <v>0</v>
      </c>
      <c r="V85" s="1521">
        <v>0</v>
      </c>
      <c r="W85" s="548">
        <v>0</v>
      </c>
      <c r="X85" s="1508">
        <v>0</v>
      </c>
      <c r="Y85" s="1508">
        <v>0</v>
      </c>
      <c r="Z85" s="549">
        <v>0</v>
      </c>
      <c r="AA85" s="1554" t="s">
        <v>1265</v>
      </c>
      <c r="AB85" s="535" t="s">
        <v>123</v>
      </c>
      <c r="AC85" s="1522" t="s">
        <v>239</v>
      </c>
      <c r="AD85" s="1555" t="s">
        <v>120</v>
      </c>
      <c r="AE85" s="1556" t="s">
        <v>120</v>
      </c>
      <c r="AF85" s="1555" t="s">
        <v>128</v>
      </c>
      <c r="AG85" s="544" t="s">
        <v>731</v>
      </c>
    </row>
    <row r="86" spans="1:33" ht="25.5" outlineLevel="1" x14ac:dyDescent="0.25">
      <c r="A86" s="1549" t="s">
        <v>714</v>
      </c>
      <c r="B86" s="1997" t="s">
        <v>1076</v>
      </c>
      <c r="C86" s="535" t="s">
        <v>864</v>
      </c>
      <c r="D86" s="535" t="s">
        <v>21</v>
      </c>
      <c r="E86" s="544" t="s">
        <v>21</v>
      </c>
      <c r="F86" s="1550" t="s">
        <v>737</v>
      </c>
      <c r="G86" s="559">
        <v>4932.44733</v>
      </c>
      <c r="H86" s="559">
        <v>0</v>
      </c>
      <c r="I86" s="559">
        <v>4932.44733</v>
      </c>
      <c r="J86" s="547">
        <v>0</v>
      </c>
      <c r="K86" s="548">
        <v>0</v>
      </c>
      <c r="L86" s="548">
        <v>0</v>
      </c>
      <c r="M86" s="1551">
        <v>0</v>
      </c>
      <c r="N86" s="550">
        <v>629.55267000000003</v>
      </c>
      <c r="O86" s="533">
        <v>-629.55267000000003</v>
      </c>
      <c r="P86" s="1552">
        <f t="shared" si="5"/>
        <v>0</v>
      </c>
      <c r="Q86" s="551">
        <v>0</v>
      </c>
      <c r="R86" s="1553">
        <v>0</v>
      </c>
      <c r="S86" s="547">
        <v>0</v>
      </c>
      <c r="T86" s="548">
        <v>0</v>
      </c>
      <c r="U86" s="549">
        <v>0</v>
      </c>
      <c r="V86" s="1521">
        <v>0</v>
      </c>
      <c r="W86" s="548">
        <v>0</v>
      </c>
      <c r="X86" s="1508">
        <v>0</v>
      </c>
      <c r="Y86" s="1508">
        <v>0</v>
      </c>
      <c r="Z86" s="549">
        <v>0</v>
      </c>
      <c r="AA86" s="1554" t="s">
        <v>1266</v>
      </c>
      <c r="AB86" s="535" t="s">
        <v>123</v>
      </c>
      <c r="AC86" s="1522" t="s">
        <v>239</v>
      </c>
      <c r="AD86" s="1555" t="s">
        <v>120</v>
      </c>
      <c r="AE86" s="1556" t="s">
        <v>120</v>
      </c>
      <c r="AF86" s="1555" t="s">
        <v>128</v>
      </c>
      <c r="AG86" s="544" t="s">
        <v>374</v>
      </c>
    </row>
    <row r="87" spans="1:33" ht="25.5" outlineLevel="1" x14ac:dyDescent="0.25">
      <c r="A87" s="1549" t="s">
        <v>715</v>
      </c>
      <c r="B87" s="1997" t="s">
        <v>1057</v>
      </c>
      <c r="C87" s="535" t="s">
        <v>864</v>
      </c>
      <c r="D87" s="535" t="s">
        <v>21</v>
      </c>
      <c r="E87" s="544" t="s">
        <v>21</v>
      </c>
      <c r="F87" s="1550" t="s">
        <v>738</v>
      </c>
      <c r="G87" s="545">
        <v>5794.7142000000003</v>
      </c>
      <c r="H87" s="559">
        <v>0</v>
      </c>
      <c r="I87" s="559">
        <v>5794.7142000000003</v>
      </c>
      <c r="J87" s="547">
        <v>0</v>
      </c>
      <c r="K87" s="548">
        <v>0</v>
      </c>
      <c r="L87" s="548">
        <v>0</v>
      </c>
      <c r="M87" s="1551">
        <v>0</v>
      </c>
      <c r="N87" s="550">
        <v>201.28579999999999</v>
      </c>
      <c r="O87" s="533">
        <v>-201.28579999999999</v>
      </c>
      <c r="P87" s="1552">
        <f t="shared" si="5"/>
        <v>0</v>
      </c>
      <c r="Q87" s="551">
        <v>0</v>
      </c>
      <c r="R87" s="1553">
        <v>0</v>
      </c>
      <c r="S87" s="547">
        <v>0</v>
      </c>
      <c r="T87" s="548">
        <v>0</v>
      </c>
      <c r="U87" s="549">
        <v>0</v>
      </c>
      <c r="V87" s="1521">
        <v>0</v>
      </c>
      <c r="W87" s="548">
        <v>0</v>
      </c>
      <c r="X87" s="1508">
        <v>0</v>
      </c>
      <c r="Y87" s="1508">
        <v>0</v>
      </c>
      <c r="Z87" s="549">
        <v>0</v>
      </c>
      <c r="AA87" s="1554" t="s">
        <v>1267</v>
      </c>
      <c r="AB87" s="535" t="s">
        <v>123</v>
      </c>
      <c r="AC87" s="1522" t="s">
        <v>239</v>
      </c>
      <c r="AD87" s="1555" t="s">
        <v>120</v>
      </c>
      <c r="AE87" s="1556" t="s">
        <v>120</v>
      </c>
      <c r="AF87" s="1555" t="s">
        <v>128</v>
      </c>
      <c r="AG87" s="544" t="s">
        <v>362</v>
      </c>
    </row>
    <row r="88" spans="1:33" ht="25.5" outlineLevel="1" x14ac:dyDescent="0.25">
      <c r="A88" s="1549" t="s">
        <v>716</v>
      </c>
      <c r="B88" s="1997" t="s">
        <v>1064</v>
      </c>
      <c r="C88" s="535" t="s">
        <v>864</v>
      </c>
      <c r="D88" s="535" t="s">
        <v>21</v>
      </c>
      <c r="E88" s="544" t="s">
        <v>21</v>
      </c>
      <c r="F88" s="1550" t="s">
        <v>717</v>
      </c>
      <c r="G88" s="559">
        <v>4739.0443299999997</v>
      </c>
      <c r="H88" s="559">
        <v>0</v>
      </c>
      <c r="I88" s="559">
        <v>4739.0443299999997</v>
      </c>
      <c r="J88" s="547">
        <v>0</v>
      </c>
      <c r="K88" s="548">
        <v>0</v>
      </c>
      <c r="L88" s="548">
        <v>0</v>
      </c>
      <c r="M88" s="1551">
        <v>0</v>
      </c>
      <c r="N88" s="550">
        <v>860.95567000000005</v>
      </c>
      <c r="O88" s="533">
        <v>-860.95567000000005</v>
      </c>
      <c r="P88" s="1552">
        <f t="shared" si="5"/>
        <v>0</v>
      </c>
      <c r="Q88" s="551">
        <v>0</v>
      </c>
      <c r="R88" s="1553">
        <v>0</v>
      </c>
      <c r="S88" s="547">
        <v>0</v>
      </c>
      <c r="T88" s="548">
        <v>0</v>
      </c>
      <c r="U88" s="549">
        <v>0</v>
      </c>
      <c r="V88" s="1521">
        <v>0</v>
      </c>
      <c r="W88" s="548">
        <v>0</v>
      </c>
      <c r="X88" s="1508">
        <v>0</v>
      </c>
      <c r="Y88" s="1508">
        <v>0</v>
      </c>
      <c r="Z88" s="549">
        <v>0</v>
      </c>
      <c r="AA88" s="1554" t="s">
        <v>1268</v>
      </c>
      <c r="AB88" s="535" t="s">
        <v>123</v>
      </c>
      <c r="AC88" s="1522" t="s">
        <v>239</v>
      </c>
      <c r="AD88" s="1555" t="s">
        <v>120</v>
      </c>
      <c r="AE88" s="1556" t="s">
        <v>120</v>
      </c>
      <c r="AF88" s="1555" t="s">
        <v>128</v>
      </c>
      <c r="AG88" s="544" t="s">
        <v>380</v>
      </c>
    </row>
    <row r="89" spans="1:33" ht="25.5" outlineLevel="1" x14ac:dyDescent="0.25">
      <c r="A89" s="602" t="s">
        <v>718</v>
      </c>
      <c r="B89" s="1994" t="s">
        <v>112</v>
      </c>
      <c r="C89" s="33" t="s">
        <v>864</v>
      </c>
      <c r="D89" s="33" t="s">
        <v>21</v>
      </c>
      <c r="E89" s="368" t="s">
        <v>21</v>
      </c>
      <c r="F89" s="1540" t="s">
        <v>719</v>
      </c>
      <c r="G89" s="622">
        <v>163047</v>
      </c>
      <c r="H89" s="693">
        <v>0</v>
      </c>
      <c r="I89" s="693">
        <v>0</v>
      </c>
      <c r="J89" s="851">
        <v>0</v>
      </c>
      <c r="K89" s="950">
        <v>2000</v>
      </c>
      <c r="L89" s="950">
        <v>0</v>
      </c>
      <c r="M89" s="1547">
        <v>0</v>
      </c>
      <c r="N89" s="732">
        <v>57000</v>
      </c>
      <c r="O89" s="759">
        <v>-55000</v>
      </c>
      <c r="P89" s="345">
        <f t="shared" si="5"/>
        <v>2000</v>
      </c>
      <c r="Q89" s="630">
        <v>56047</v>
      </c>
      <c r="R89" s="648">
        <v>55000</v>
      </c>
      <c r="S89" s="851">
        <v>0</v>
      </c>
      <c r="T89" s="950">
        <v>50000</v>
      </c>
      <c r="U89" s="626">
        <v>0</v>
      </c>
      <c r="V89" s="1080">
        <v>0</v>
      </c>
      <c r="W89" s="950">
        <v>0</v>
      </c>
      <c r="X89" s="852">
        <v>0</v>
      </c>
      <c r="Y89" s="852">
        <v>0</v>
      </c>
      <c r="Z89" s="626">
        <v>0</v>
      </c>
      <c r="AA89" s="439" t="s">
        <v>724</v>
      </c>
      <c r="AB89" s="33" t="s">
        <v>11</v>
      </c>
      <c r="AC89" s="786" t="s">
        <v>485</v>
      </c>
      <c r="AD89" s="375" t="s">
        <v>120</v>
      </c>
      <c r="AE89" s="787" t="s">
        <v>119</v>
      </c>
      <c r="AF89" s="375" t="s">
        <v>128</v>
      </c>
      <c r="AG89" s="368" t="s">
        <v>362</v>
      </c>
    </row>
    <row r="90" spans="1:33" ht="30.75" outlineLevel="1" thickBot="1" x14ac:dyDescent="0.3">
      <c r="A90" s="474" t="s">
        <v>720</v>
      </c>
      <c r="B90" s="233" t="s">
        <v>952</v>
      </c>
      <c r="C90" s="445" t="s">
        <v>864</v>
      </c>
      <c r="D90" s="24" t="s">
        <v>21</v>
      </c>
      <c r="E90" s="508" t="s">
        <v>21</v>
      </c>
      <c r="F90" s="1558" t="s">
        <v>721</v>
      </c>
      <c r="G90" s="516">
        <v>18921.683349999999</v>
      </c>
      <c r="H90" s="959">
        <v>0</v>
      </c>
      <c r="I90" s="959">
        <v>0</v>
      </c>
      <c r="J90" s="556">
        <v>0</v>
      </c>
      <c r="K90" s="518">
        <v>0</v>
      </c>
      <c r="L90" s="518">
        <v>0</v>
      </c>
      <c r="M90" s="702">
        <v>0</v>
      </c>
      <c r="N90" s="203">
        <v>18921.683349999999</v>
      </c>
      <c r="O90" s="284">
        <v>-18921.683349999999</v>
      </c>
      <c r="P90" s="274">
        <f t="shared" si="5"/>
        <v>0</v>
      </c>
      <c r="Q90" s="517">
        <v>0</v>
      </c>
      <c r="R90" s="555">
        <v>0</v>
      </c>
      <c r="S90" s="556">
        <v>18921.683349999999</v>
      </c>
      <c r="T90" s="518">
        <v>0</v>
      </c>
      <c r="U90" s="702">
        <v>0</v>
      </c>
      <c r="V90" s="701">
        <v>0</v>
      </c>
      <c r="W90" s="518">
        <v>0</v>
      </c>
      <c r="X90" s="519">
        <v>0</v>
      </c>
      <c r="Y90" s="519">
        <v>0</v>
      </c>
      <c r="Z90" s="702">
        <v>0</v>
      </c>
      <c r="AA90" s="1559" t="s">
        <v>722</v>
      </c>
      <c r="AB90" s="24" t="s">
        <v>121</v>
      </c>
      <c r="AC90" s="703" t="s">
        <v>239</v>
      </c>
      <c r="AD90" s="557" t="s">
        <v>120</v>
      </c>
      <c r="AE90" s="557" t="s">
        <v>120</v>
      </c>
      <c r="AF90" s="520" t="s">
        <v>129</v>
      </c>
      <c r="AG90" s="508" t="s">
        <v>377</v>
      </c>
    </row>
    <row r="91" spans="1:33" ht="25.5" outlineLevel="1" x14ac:dyDescent="0.25">
      <c r="A91" s="602" t="s">
        <v>739</v>
      </c>
      <c r="B91" s="599" t="s">
        <v>112</v>
      </c>
      <c r="C91" s="33" t="s">
        <v>878</v>
      </c>
      <c r="D91" s="33" t="s">
        <v>21</v>
      </c>
      <c r="E91" s="368" t="s">
        <v>21</v>
      </c>
      <c r="F91" s="1540" t="s">
        <v>740</v>
      </c>
      <c r="G91" s="622">
        <v>7091</v>
      </c>
      <c r="H91" s="693">
        <v>0</v>
      </c>
      <c r="I91" s="693">
        <v>0</v>
      </c>
      <c r="J91" s="851">
        <v>5958</v>
      </c>
      <c r="K91" s="950">
        <v>1133</v>
      </c>
      <c r="L91" s="950">
        <v>0</v>
      </c>
      <c r="M91" s="626">
        <v>0</v>
      </c>
      <c r="N91" s="731">
        <v>7091</v>
      </c>
      <c r="O91" s="759">
        <v>0</v>
      </c>
      <c r="P91" s="345">
        <f t="shared" si="5"/>
        <v>7091</v>
      </c>
      <c r="Q91" s="630">
        <v>0</v>
      </c>
      <c r="R91" s="648">
        <v>0</v>
      </c>
      <c r="S91" s="851">
        <v>0</v>
      </c>
      <c r="T91" s="950">
        <v>0</v>
      </c>
      <c r="U91" s="626">
        <v>0</v>
      </c>
      <c r="V91" s="1080">
        <v>0</v>
      </c>
      <c r="W91" s="950">
        <v>0</v>
      </c>
      <c r="X91" s="852">
        <v>0</v>
      </c>
      <c r="Y91" s="852">
        <v>0</v>
      </c>
      <c r="Z91" s="626">
        <v>0</v>
      </c>
      <c r="AA91" s="439" t="s">
        <v>109</v>
      </c>
      <c r="AB91" s="33" t="s">
        <v>16</v>
      </c>
      <c r="AC91" s="786" t="s">
        <v>325</v>
      </c>
      <c r="AD91" s="787" t="s">
        <v>120</v>
      </c>
      <c r="AE91" s="787" t="s">
        <v>120</v>
      </c>
      <c r="AF91" s="375" t="s">
        <v>128</v>
      </c>
      <c r="AG91" s="368" t="s">
        <v>367</v>
      </c>
    </row>
    <row r="92" spans="1:33" ht="25.5" outlineLevel="1" x14ac:dyDescent="0.25">
      <c r="A92" s="1373" t="s">
        <v>741</v>
      </c>
      <c r="B92" s="558" t="s">
        <v>1073</v>
      </c>
      <c r="C92" s="535" t="s">
        <v>878</v>
      </c>
      <c r="D92" s="531" t="s">
        <v>21</v>
      </c>
      <c r="E92" s="538" t="s">
        <v>21</v>
      </c>
      <c r="F92" s="1560" t="s">
        <v>742</v>
      </c>
      <c r="G92" s="1506">
        <v>4468.6070499999996</v>
      </c>
      <c r="H92" s="546">
        <v>0</v>
      </c>
      <c r="I92" s="546">
        <v>4468.6070499999996</v>
      </c>
      <c r="J92" s="560">
        <v>0</v>
      </c>
      <c r="K92" s="562">
        <v>0</v>
      </c>
      <c r="L92" s="562">
        <v>0</v>
      </c>
      <c r="M92" s="563">
        <v>0</v>
      </c>
      <c r="N92" s="1380">
        <v>2118.3929499999999</v>
      </c>
      <c r="O92" s="1381">
        <v>-2118.3929499999999</v>
      </c>
      <c r="P92" s="1552">
        <f t="shared" si="5"/>
        <v>0</v>
      </c>
      <c r="Q92" s="1506">
        <v>0</v>
      </c>
      <c r="R92" s="1507">
        <v>0</v>
      </c>
      <c r="S92" s="560">
        <v>0</v>
      </c>
      <c r="T92" s="562">
        <v>0</v>
      </c>
      <c r="U92" s="563">
        <v>0</v>
      </c>
      <c r="V92" s="564">
        <v>0</v>
      </c>
      <c r="W92" s="562">
        <v>0</v>
      </c>
      <c r="X92" s="561">
        <v>0</v>
      </c>
      <c r="Y92" s="561">
        <v>0</v>
      </c>
      <c r="Z92" s="563">
        <v>0</v>
      </c>
      <c r="AA92" s="1554" t="s">
        <v>1269</v>
      </c>
      <c r="AB92" s="531" t="s">
        <v>123</v>
      </c>
      <c r="AC92" s="565" t="s">
        <v>239</v>
      </c>
      <c r="AD92" s="536" t="s">
        <v>120</v>
      </c>
      <c r="AE92" s="536" t="s">
        <v>120</v>
      </c>
      <c r="AF92" s="537" t="s">
        <v>128</v>
      </c>
      <c r="AG92" s="538" t="s">
        <v>378</v>
      </c>
    </row>
    <row r="93" spans="1:33" ht="25.5" outlineLevel="1" x14ac:dyDescent="0.25">
      <c r="A93" s="1549" t="s">
        <v>743</v>
      </c>
      <c r="B93" s="558" t="s">
        <v>1069</v>
      </c>
      <c r="C93" s="535" t="s">
        <v>878</v>
      </c>
      <c r="D93" s="531" t="s">
        <v>21</v>
      </c>
      <c r="E93" s="538" t="s">
        <v>21</v>
      </c>
      <c r="F93" s="1560" t="s">
        <v>865</v>
      </c>
      <c r="G93" s="1505">
        <v>4196.0299800000003</v>
      </c>
      <c r="H93" s="546">
        <v>0</v>
      </c>
      <c r="I93" s="546">
        <v>4196.0299800000003</v>
      </c>
      <c r="J93" s="560">
        <v>0</v>
      </c>
      <c r="K93" s="562">
        <v>0</v>
      </c>
      <c r="L93" s="562">
        <v>0</v>
      </c>
      <c r="M93" s="563">
        <v>0</v>
      </c>
      <c r="N93" s="1380">
        <v>1011.97002</v>
      </c>
      <c r="O93" s="1381">
        <v>-1011.97002</v>
      </c>
      <c r="P93" s="1552">
        <f t="shared" si="5"/>
        <v>0</v>
      </c>
      <c r="Q93" s="1506">
        <v>0</v>
      </c>
      <c r="R93" s="1507">
        <v>0</v>
      </c>
      <c r="S93" s="560">
        <v>0</v>
      </c>
      <c r="T93" s="562">
        <v>0</v>
      </c>
      <c r="U93" s="563">
        <v>0</v>
      </c>
      <c r="V93" s="564">
        <v>0</v>
      </c>
      <c r="W93" s="562">
        <v>0</v>
      </c>
      <c r="X93" s="561">
        <v>0</v>
      </c>
      <c r="Y93" s="561">
        <v>0</v>
      </c>
      <c r="Z93" s="563">
        <v>0</v>
      </c>
      <c r="AA93" s="1554" t="s">
        <v>1270</v>
      </c>
      <c r="AB93" s="531" t="s">
        <v>123</v>
      </c>
      <c r="AC93" s="565" t="s">
        <v>239</v>
      </c>
      <c r="AD93" s="536" t="s">
        <v>120</v>
      </c>
      <c r="AE93" s="536" t="s">
        <v>120</v>
      </c>
      <c r="AF93" s="537" t="s">
        <v>128</v>
      </c>
      <c r="AG93" s="538" t="s">
        <v>368</v>
      </c>
    </row>
    <row r="94" spans="1:33" ht="25.5" outlineLevel="1" x14ac:dyDescent="0.25">
      <c r="A94" s="1373" t="s">
        <v>744</v>
      </c>
      <c r="B94" s="558" t="s">
        <v>1074</v>
      </c>
      <c r="C94" s="535" t="s">
        <v>878</v>
      </c>
      <c r="D94" s="531" t="s">
        <v>21</v>
      </c>
      <c r="E94" s="538" t="s">
        <v>21</v>
      </c>
      <c r="F94" s="1560" t="s">
        <v>1271</v>
      </c>
      <c r="G94" s="1505">
        <v>4658.5</v>
      </c>
      <c r="H94" s="546">
        <v>0</v>
      </c>
      <c r="I94" s="546">
        <v>4658.5</v>
      </c>
      <c r="J94" s="560">
        <v>0</v>
      </c>
      <c r="K94" s="562">
        <v>0</v>
      </c>
      <c r="L94" s="562">
        <v>0</v>
      </c>
      <c r="M94" s="563">
        <v>0</v>
      </c>
      <c r="N94" s="1380">
        <v>1138.5</v>
      </c>
      <c r="O94" s="1381">
        <v>-1138.5</v>
      </c>
      <c r="P94" s="1552">
        <f t="shared" si="5"/>
        <v>0</v>
      </c>
      <c r="Q94" s="1506">
        <v>0</v>
      </c>
      <c r="R94" s="1507">
        <v>0</v>
      </c>
      <c r="S94" s="560">
        <v>0</v>
      </c>
      <c r="T94" s="562">
        <v>0</v>
      </c>
      <c r="U94" s="563">
        <v>0</v>
      </c>
      <c r="V94" s="564">
        <v>0</v>
      </c>
      <c r="W94" s="562">
        <v>0</v>
      </c>
      <c r="X94" s="561">
        <v>0</v>
      </c>
      <c r="Y94" s="561">
        <v>0</v>
      </c>
      <c r="Z94" s="563">
        <v>0</v>
      </c>
      <c r="AA94" s="1554" t="s">
        <v>1272</v>
      </c>
      <c r="AB94" s="531" t="s">
        <v>123</v>
      </c>
      <c r="AC94" s="565" t="s">
        <v>239</v>
      </c>
      <c r="AD94" s="536" t="s">
        <v>120</v>
      </c>
      <c r="AE94" s="536" t="s">
        <v>120</v>
      </c>
      <c r="AF94" s="537" t="s">
        <v>128</v>
      </c>
      <c r="AG94" s="538" t="s">
        <v>368</v>
      </c>
    </row>
    <row r="95" spans="1:33" ht="25.5" outlineLevel="1" x14ac:dyDescent="0.25">
      <c r="A95" s="1373" t="s">
        <v>745</v>
      </c>
      <c r="B95" s="558" t="s">
        <v>1071</v>
      </c>
      <c r="C95" s="535" t="s">
        <v>878</v>
      </c>
      <c r="D95" s="531" t="s">
        <v>21</v>
      </c>
      <c r="E95" s="538" t="s">
        <v>21</v>
      </c>
      <c r="F95" s="1560" t="s">
        <v>746</v>
      </c>
      <c r="G95" s="1505">
        <v>3920.3987900000002</v>
      </c>
      <c r="H95" s="546">
        <v>0</v>
      </c>
      <c r="I95" s="546">
        <v>3920.3987900000002</v>
      </c>
      <c r="J95" s="560">
        <v>0</v>
      </c>
      <c r="K95" s="562">
        <v>0</v>
      </c>
      <c r="L95" s="562">
        <v>0</v>
      </c>
      <c r="M95" s="563">
        <v>0</v>
      </c>
      <c r="N95" s="1380">
        <v>2363.6012099999998</v>
      </c>
      <c r="O95" s="1381">
        <v>-2363.6012099999998</v>
      </c>
      <c r="P95" s="1552">
        <f t="shared" ref="P95:P133" si="7">N95+O95</f>
        <v>0</v>
      </c>
      <c r="Q95" s="1506">
        <v>0</v>
      </c>
      <c r="R95" s="1507">
        <v>0</v>
      </c>
      <c r="S95" s="560">
        <v>0</v>
      </c>
      <c r="T95" s="562">
        <v>0</v>
      </c>
      <c r="U95" s="563">
        <v>0</v>
      </c>
      <c r="V95" s="564">
        <v>0</v>
      </c>
      <c r="W95" s="562">
        <v>0</v>
      </c>
      <c r="X95" s="561">
        <v>0</v>
      </c>
      <c r="Y95" s="561">
        <v>0</v>
      </c>
      <c r="Z95" s="563">
        <v>0</v>
      </c>
      <c r="AA95" s="1554" t="s">
        <v>1273</v>
      </c>
      <c r="AB95" s="531" t="s">
        <v>123</v>
      </c>
      <c r="AC95" s="565" t="s">
        <v>239</v>
      </c>
      <c r="AD95" s="536" t="s">
        <v>120</v>
      </c>
      <c r="AE95" s="536" t="s">
        <v>120</v>
      </c>
      <c r="AF95" s="537" t="s">
        <v>128</v>
      </c>
      <c r="AG95" s="538" t="s">
        <v>368</v>
      </c>
    </row>
    <row r="96" spans="1:33" ht="25.5" outlineLevel="1" x14ac:dyDescent="0.25">
      <c r="A96" s="1373" t="s">
        <v>747</v>
      </c>
      <c r="B96" s="558" t="s">
        <v>1055</v>
      </c>
      <c r="C96" s="535" t="s">
        <v>878</v>
      </c>
      <c r="D96" s="531" t="s">
        <v>21</v>
      </c>
      <c r="E96" s="538" t="s">
        <v>21</v>
      </c>
      <c r="F96" s="1560" t="s">
        <v>748</v>
      </c>
      <c r="G96" s="1505">
        <v>2828.3603600000001</v>
      </c>
      <c r="H96" s="546">
        <v>0</v>
      </c>
      <c r="I96" s="546">
        <v>2828.3603600000001</v>
      </c>
      <c r="J96" s="560">
        <v>0</v>
      </c>
      <c r="K96" s="562">
        <v>0</v>
      </c>
      <c r="L96" s="562">
        <v>0</v>
      </c>
      <c r="M96" s="563">
        <v>0</v>
      </c>
      <c r="N96" s="1380">
        <v>2180.6396399999999</v>
      </c>
      <c r="O96" s="1381">
        <v>-2180.6396399999999</v>
      </c>
      <c r="P96" s="1552">
        <f t="shared" si="7"/>
        <v>0</v>
      </c>
      <c r="Q96" s="1506">
        <v>0</v>
      </c>
      <c r="R96" s="1507">
        <v>0</v>
      </c>
      <c r="S96" s="560">
        <v>0</v>
      </c>
      <c r="T96" s="562">
        <v>0</v>
      </c>
      <c r="U96" s="563">
        <v>0</v>
      </c>
      <c r="V96" s="564">
        <v>0</v>
      </c>
      <c r="W96" s="562">
        <v>0</v>
      </c>
      <c r="X96" s="561">
        <v>0</v>
      </c>
      <c r="Y96" s="561">
        <v>0</v>
      </c>
      <c r="Z96" s="563">
        <v>0</v>
      </c>
      <c r="AA96" s="1554" t="s">
        <v>1274</v>
      </c>
      <c r="AB96" s="531" t="s">
        <v>123</v>
      </c>
      <c r="AC96" s="565" t="s">
        <v>239</v>
      </c>
      <c r="AD96" s="536" t="s">
        <v>120</v>
      </c>
      <c r="AE96" s="536" t="s">
        <v>120</v>
      </c>
      <c r="AF96" s="537" t="s">
        <v>128</v>
      </c>
      <c r="AG96" s="538" t="s">
        <v>368</v>
      </c>
    </row>
    <row r="97" spans="1:33" ht="25.5" outlineLevel="1" x14ac:dyDescent="0.25">
      <c r="A97" s="603" t="s">
        <v>749</v>
      </c>
      <c r="B97" s="593" t="s">
        <v>112</v>
      </c>
      <c r="C97" s="33" t="s">
        <v>878</v>
      </c>
      <c r="D97" s="35" t="s">
        <v>21</v>
      </c>
      <c r="E97" s="259" t="s">
        <v>21</v>
      </c>
      <c r="F97" s="1548" t="s">
        <v>866</v>
      </c>
      <c r="G97" s="36">
        <v>4212</v>
      </c>
      <c r="H97" s="628">
        <v>0</v>
      </c>
      <c r="I97" s="628">
        <v>0</v>
      </c>
      <c r="J97" s="605">
        <v>4212</v>
      </c>
      <c r="K97" s="337">
        <v>0</v>
      </c>
      <c r="L97" s="337">
        <v>0</v>
      </c>
      <c r="M97" s="257">
        <v>0</v>
      </c>
      <c r="N97" s="735">
        <v>4212</v>
      </c>
      <c r="O97" s="761">
        <v>0</v>
      </c>
      <c r="P97" s="345">
        <f t="shared" si="7"/>
        <v>4212</v>
      </c>
      <c r="Q97" s="632">
        <v>0</v>
      </c>
      <c r="R97" s="1056">
        <v>0</v>
      </c>
      <c r="S97" s="605">
        <v>0</v>
      </c>
      <c r="T97" s="337">
        <v>0</v>
      </c>
      <c r="U97" s="257">
        <v>0</v>
      </c>
      <c r="V97" s="1058">
        <v>0</v>
      </c>
      <c r="W97" s="337">
        <v>0</v>
      </c>
      <c r="X97" s="489">
        <v>0</v>
      </c>
      <c r="Y97" s="489">
        <v>0</v>
      </c>
      <c r="Z97" s="257">
        <v>0</v>
      </c>
      <c r="AA97" s="440"/>
      <c r="AB97" s="35" t="s">
        <v>16</v>
      </c>
      <c r="AC97" s="586" t="s">
        <v>325</v>
      </c>
      <c r="AD97" s="448" t="s">
        <v>120</v>
      </c>
      <c r="AE97" s="448" t="s">
        <v>120</v>
      </c>
      <c r="AF97" s="342" t="s">
        <v>128</v>
      </c>
      <c r="AG97" s="259" t="s">
        <v>363</v>
      </c>
    </row>
    <row r="98" spans="1:33" ht="25.5" outlineLevel="1" x14ac:dyDescent="0.25">
      <c r="A98" s="1373" t="s">
        <v>750</v>
      </c>
      <c r="B98" s="558" t="s">
        <v>1072</v>
      </c>
      <c r="C98" s="535" t="s">
        <v>878</v>
      </c>
      <c r="D98" s="531" t="s">
        <v>21</v>
      </c>
      <c r="E98" s="538" t="s">
        <v>21</v>
      </c>
      <c r="F98" s="1560" t="s">
        <v>751</v>
      </c>
      <c r="G98" s="1505">
        <v>2671.3905800000002</v>
      </c>
      <c r="H98" s="546">
        <v>0</v>
      </c>
      <c r="I98" s="546">
        <v>2671.3905800000002</v>
      </c>
      <c r="J98" s="560">
        <v>0</v>
      </c>
      <c r="K98" s="562">
        <v>0</v>
      </c>
      <c r="L98" s="562">
        <v>0</v>
      </c>
      <c r="M98" s="563">
        <v>0</v>
      </c>
      <c r="N98" s="1380">
        <v>1764.60942</v>
      </c>
      <c r="O98" s="1381">
        <v>-1764.60942</v>
      </c>
      <c r="P98" s="1552">
        <f t="shared" si="7"/>
        <v>0</v>
      </c>
      <c r="Q98" s="1506">
        <v>0</v>
      </c>
      <c r="R98" s="1507">
        <v>0</v>
      </c>
      <c r="S98" s="560">
        <v>0</v>
      </c>
      <c r="T98" s="562">
        <v>0</v>
      </c>
      <c r="U98" s="563">
        <v>0</v>
      </c>
      <c r="V98" s="564">
        <v>0</v>
      </c>
      <c r="W98" s="562">
        <v>0</v>
      </c>
      <c r="X98" s="561">
        <v>0</v>
      </c>
      <c r="Y98" s="561">
        <v>0</v>
      </c>
      <c r="Z98" s="563">
        <v>0</v>
      </c>
      <c r="AA98" s="1554" t="s">
        <v>1275</v>
      </c>
      <c r="AB98" s="531" t="s">
        <v>123</v>
      </c>
      <c r="AC98" s="565" t="s">
        <v>239</v>
      </c>
      <c r="AD98" s="536" t="s">
        <v>120</v>
      </c>
      <c r="AE98" s="536" t="s">
        <v>120</v>
      </c>
      <c r="AF98" s="537" t="s">
        <v>128</v>
      </c>
      <c r="AG98" s="538" t="s">
        <v>363</v>
      </c>
    </row>
    <row r="99" spans="1:33" ht="25.5" outlineLevel="1" x14ac:dyDescent="0.25">
      <c r="A99" s="1373" t="s">
        <v>752</v>
      </c>
      <c r="B99" s="558" t="s">
        <v>1056</v>
      </c>
      <c r="C99" s="535" t="s">
        <v>878</v>
      </c>
      <c r="D99" s="531" t="s">
        <v>21</v>
      </c>
      <c r="E99" s="538" t="s">
        <v>21</v>
      </c>
      <c r="F99" s="1560" t="s">
        <v>753</v>
      </c>
      <c r="G99" s="1505">
        <v>2556.4347600000001</v>
      </c>
      <c r="H99" s="546">
        <v>0</v>
      </c>
      <c r="I99" s="546">
        <v>2556.4347600000001</v>
      </c>
      <c r="J99" s="560">
        <v>0</v>
      </c>
      <c r="K99" s="562">
        <v>0</v>
      </c>
      <c r="L99" s="562">
        <v>0</v>
      </c>
      <c r="M99" s="563">
        <v>0</v>
      </c>
      <c r="N99" s="1380">
        <v>1263.5652399999999</v>
      </c>
      <c r="O99" s="1381">
        <v>-1263.5652399999999</v>
      </c>
      <c r="P99" s="1552">
        <f t="shared" si="7"/>
        <v>0</v>
      </c>
      <c r="Q99" s="1506">
        <v>0</v>
      </c>
      <c r="R99" s="1507">
        <v>0</v>
      </c>
      <c r="S99" s="560">
        <v>0</v>
      </c>
      <c r="T99" s="562">
        <v>0</v>
      </c>
      <c r="U99" s="563">
        <v>0</v>
      </c>
      <c r="V99" s="564">
        <v>0</v>
      </c>
      <c r="W99" s="562">
        <v>0</v>
      </c>
      <c r="X99" s="561">
        <v>0</v>
      </c>
      <c r="Y99" s="561">
        <v>0</v>
      </c>
      <c r="Z99" s="563">
        <v>0</v>
      </c>
      <c r="AA99" s="1554" t="s">
        <v>1276</v>
      </c>
      <c r="AB99" s="531" t="s">
        <v>123</v>
      </c>
      <c r="AC99" s="565" t="s">
        <v>239</v>
      </c>
      <c r="AD99" s="536" t="s">
        <v>120</v>
      </c>
      <c r="AE99" s="536" t="s">
        <v>120</v>
      </c>
      <c r="AF99" s="537" t="s">
        <v>128</v>
      </c>
      <c r="AG99" s="538" t="s">
        <v>375</v>
      </c>
    </row>
    <row r="100" spans="1:33" ht="25.5" outlineLevel="1" x14ac:dyDescent="0.25">
      <c r="A100" s="1373" t="s">
        <v>754</v>
      </c>
      <c r="B100" s="558" t="s">
        <v>1075</v>
      </c>
      <c r="C100" s="535" t="s">
        <v>878</v>
      </c>
      <c r="D100" s="531" t="s">
        <v>21</v>
      </c>
      <c r="E100" s="538" t="s">
        <v>21</v>
      </c>
      <c r="F100" s="1560" t="s">
        <v>755</v>
      </c>
      <c r="G100" s="1505">
        <v>3291.6052500000001</v>
      </c>
      <c r="H100" s="546">
        <v>0</v>
      </c>
      <c r="I100" s="546">
        <v>3291.6052500000001</v>
      </c>
      <c r="J100" s="560">
        <v>0</v>
      </c>
      <c r="K100" s="562">
        <v>0</v>
      </c>
      <c r="L100" s="562">
        <v>0</v>
      </c>
      <c r="M100" s="563">
        <v>0</v>
      </c>
      <c r="N100" s="1380">
        <v>2364.3947499999999</v>
      </c>
      <c r="O100" s="1381">
        <v>-2364.3947499999999</v>
      </c>
      <c r="P100" s="1552">
        <f t="shared" si="7"/>
        <v>0</v>
      </c>
      <c r="Q100" s="1506">
        <v>0</v>
      </c>
      <c r="R100" s="1507">
        <v>0</v>
      </c>
      <c r="S100" s="560">
        <v>0</v>
      </c>
      <c r="T100" s="562">
        <v>0</v>
      </c>
      <c r="U100" s="563">
        <v>0</v>
      </c>
      <c r="V100" s="564">
        <v>0</v>
      </c>
      <c r="W100" s="562">
        <v>0</v>
      </c>
      <c r="X100" s="561">
        <v>0</v>
      </c>
      <c r="Y100" s="561">
        <v>0</v>
      </c>
      <c r="Z100" s="563">
        <v>0</v>
      </c>
      <c r="AA100" s="1554" t="s">
        <v>1277</v>
      </c>
      <c r="AB100" s="531" t="s">
        <v>123</v>
      </c>
      <c r="AC100" s="565" t="s">
        <v>239</v>
      </c>
      <c r="AD100" s="536" t="s">
        <v>120</v>
      </c>
      <c r="AE100" s="536" t="s">
        <v>120</v>
      </c>
      <c r="AF100" s="537" t="s">
        <v>128</v>
      </c>
      <c r="AG100" s="538" t="s">
        <v>536</v>
      </c>
    </row>
    <row r="101" spans="1:33" ht="25.5" outlineLevel="1" x14ac:dyDescent="0.25">
      <c r="A101" s="1373" t="s">
        <v>756</v>
      </c>
      <c r="B101" s="558" t="s">
        <v>1078</v>
      </c>
      <c r="C101" s="535" t="s">
        <v>878</v>
      </c>
      <c r="D101" s="531" t="s">
        <v>21</v>
      </c>
      <c r="E101" s="538" t="s">
        <v>21</v>
      </c>
      <c r="F101" s="1560" t="s">
        <v>757</v>
      </c>
      <c r="G101" s="1505">
        <v>5628.3759799999998</v>
      </c>
      <c r="H101" s="546">
        <v>0</v>
      </c>
      <c r="I101" s="546">
        <v>5628.3759799999998</v>
      </c>
      <c r="J101" s="560">
        <v>0</v>
      </c>
      <c r="K101" s="562">
        <v>0</v>
      </c>
      <c r="L101" s="562">
        <v>0</v>
      </c>
      <c r="M101" s="563">
        <v>0</v>
      </c>
      <c r="N101" s="1380">
        <v>364.62401999999997</v>
      </c>
      <c r="O101" s="1381">
        <v>-364.62401999999997</v>
      </c>
      <c r="P101" s="1552">
        <f t="shared" si="7"/>
        <v>0</v>
      </c>
      <c r="Q101" s="1506">
        <v>0</v>
      </c>
      <c r="R101" s="1507">
        <v>0</v>
      </c>
      <c r="S101" s="560">
        <v>0</v>
      </c>
      <c r="T101" s="562">
        <v>0</v>
      </c>
      <c r="U101" s="563">
        <v>0</v>
      </c>
      <c r="V101" s="564">
        <v>0</v>
      </c>
      <c r="W101" s="562">
        <v>0</v>
      </c>
      <c r="X101" s="561">
        <v>0</v>
      </c>
      <c r="Y101" s="561">
        <v>0</v>
      </c>
      <c r="Z101" s="563">
        <v>0</v>
      </c>
      <c r="AA101" s="1554" t="s">
        <v>1278</v>
      </c>
      <c r="AB101" s="531" t="s">
        <v>123</v>
      </c>
      <c r="AC101" s="565" t="s">
        <v>239</v>
      </c>
      <c r="AD101" s="536" t="s">
        <v>120</v>
      </c>
      <c r="AE101" s="536" t="s">
        <v>120</v>
      </c>
      <c r="AF101" s="537" t="s">
        <v>128</v>
      </c>
      <c r="AG101" s="538" t="s">
        <v>374</v>
      </c>
    </row>
    <row r="102" spans="1:33" ht="45" outlineLevel="1" x14ac:dyDescent="0.25">
      <c r="A102" s="603" t="s">
        <v>758</v>
      </c>
      <c r="B102" s="593" t="s">
        <v>112</v>
      </c>
      <c r="C102" s="35" t="s">
        <v>878</v>
      </c>
      <c r="D102" s="35" t="s">
        <v>21</v>
      </c>
      <c r="E102" s="259" t="s">
        <v>21</v>
      </c>
      <c r="F102" s="1562" t="s">
        <v>863</v>
      </c>
      <c r="G102" s="36">
        <v>3647.8521599999999</v>
      </c>
      <c r="H102" s="628">
        <v>0</v>
      </c>
      <c r="I102" s="628">
        <v>0</v>
      </c>
      <c r="J102" s="605">
        <v>3647.8521599999999</v>
      </c>
      <c r="K102" s="337">
        <v>0</v>
      </c>
      <c r="L102" s="337">
        <v>0</v>
      </c>
      <c r="M102" s="1055">
        <v>0</v>
      </c>
      <c r="N102" s="735">
        <v>3647.8521599999999</v>
      </c>
      <c r="O102" s="761">
        <v>0</v>
      </c>
      <c r="P102" s="346">
        <f t="shared" si="7"/>
        <v>3647.8521599999999</v>
      </c>
      <c r="Q102" s="632">
        <v>0</v>
      </c>
      <c r="R102" s="1056">
        <v>0</v>
      </c>
      <c r="S102" s="605">
        <v>0</v>
      </c>
      <c r="T102" s="337">
        <v>0</v>
      </c>
      <c r="U102" s="257">
        <v>0</v>
      </c>
      <c r="V102" s="1058">
        <v>0</v>
      </c>
      <c r="W102" s="337">
        <v>0</v>
      </c>
      <c r="X102" s="489">
        <v>0</v>
      </c>
      <c r="Y102" s="489">
        <v>0</v>
      </c>
      <c r="Z102" s="257">
        <v>0</v>
      </c>
      <c r="AA102" s="440"/>
      <c r="AB102" s="35" t="s">
        <v>309</v>
      </c>
      <c r="AC102" s="586" t="s">
        <v>318</v>
      </c>
      <c r="AD102" s="448" t="s">
        <v>120</v>
      </c>
      <c r="AE102" s="448" t="s">
        <v>120</v>
      </c>
      <c r="AF102" s="342" t="s">
        <v>128</v>
      </c>
      <c r="AG102" s="259" t="s">
        <v>536</v>
      </c>
    </row>
    <row r="103" spans="1:33" ht="25.5" outlineLevel="1" x14ac:dyDescent="0.25">
      <c r="A103" s="603" t="s">
        <v>759</v>
      </c>
      <c r="B103" s="593" t="s">
        <v>112</v>
      </c>
      <c r="C103" s="35" t="s">
        <v>878</v>
      </c>
      <c r="D103" s="35" t="s">
        <v>21</v>
      </c>
      <c r="E103" s="259" t="s">
        <v>21</v>
      </c>
      <c r="F103" s="1562" t="s">
        <v>760</v>
      </c>
      <c r="G103" s="36">
        <v>6158.63598</v>
      </c>
      <c r="H103" s="628">
        <v>0</v>
      </c>
      <c r="I103" s="628">
        <v>0</v>
      </c>
      <c r="J103" s="605">
        <v>1520</v>
      </c>
      <c r="K103" s="337">
        <v>0</v>
      </c>
      <c r="L103" s="337">
        <v>0</v>
      </c>
      <c r="M103" s="1055">
        <v>4638.63598</v>
      </c>
      <c r="N103" s="735">
        <v>6158.63598</v>
      </c>
      <c r="O103" s="761">
        <v>0</v>
      </c>
      <c r="P103" s="346">
        <f t="shared" si="7"/>
        <v>6158.63598</v>
      </c>
      <c r="Q103" s="632">
        <v>0</v>
      </c>
      <c r="R103" s="1056">
        <v>0</v>
      </c>
      <c r="S103" s="605">
        <v>0</v>
      </c>
      <c r="T103" s="337">
        <v>0</v>
      </c>
      <c r="U103" s="257">
        <v>0</v>
      </c>
      <c r="V103" s="1058">
        <v>0</v>
      </c>
      <c r="W103" s="337">
        <v>0</v>
      </c>
      <c r="X103" s="489">
        <v>0</v>
      </c>
      <c r="Y103" s="489">
        <v>0</v>
      </c>
      <c r="Z103" s="257">
        <v>0</v>
      </c>
      <c r="AA103" s="440"/>
      <c r="AB103" s="35" t="s">
        <v>16</v>
      </c>
      <c r="AC103" s="586" t="s">
        <v>821</v>
      </c>
      <c r="AD103" s="448" t="s">
        <v>120</v>
      </c>
      <c r="AE103" s="448" t="s">
        <v>120</v>
      </c>
      <c r="AF103" s="342" t="s">
        <v>128</v>
      </c>
      <c r="AG103" s="259" t="s">
        <v>381</v>
      </c>
    </row>
    <row r="104" spans="1:33" ht="25.5" outlineLevel="1" x14ac:dyDescent="0.25">
      <c r="A104" s="17" t="s">
        <v>761</v>
      </c>
      <c r="B104" s="13" t="s">
        <v>1077</v>
      </c>
      <c r="C104" s="5" t="s">
        <v>878</v>
      </c>
      <c r="D104" s="5" t="s">
        <v>21</v>
      </c>
      <c r="E104" s="426" t="s">
        <v>21</v>
      </c>
      <c r="F104" s="1563" t="s">
        <v>762</v>
      </c>
      <c r="G104" s="1">
        <v>5690.3529099999996</v>
      </c>
      <c r="H104" s="428">
        <v>0</v>
      </c>
      <c r="I104" s="428">
        <v>5690.3529099999996</v>
      </c>
      <c r="J104" s="429">
        <v>0</v>
      </c>
      <c r="K104" s="430">
        <v>0</v>
      </c>
      <c r="L104" s="430">
        <v>0</v>
      </c>
      <c r="M104" s="567">
        <v>0</v>
      </c>
      <c r="N104" s="524">
        <v>0</v>
      </c>
      <c r="O104" s="286">
        <v>0</v>
      </c>
      <c r="P104" s="272">
        <f t="shared" si="7"/>
        <v>0</v>
      </c>
      <c r="Q104" s="432">
        <v>0</v>
      </c>
      <c r="R104" s="581">
        <v>0</v>
      </c>
      <c r="S104" s="429">
        <v>0</v>
      </c>
      <c r="T104" s="430">
        <v>0</v>
      </c>
      <c r="U104" s="431">
        <v>0</v>
      </c>
      <c r="V104" s="433">
        <v>0</v>
      </c>
      <c r="W104" s="430">
        <v>0</v>
      </c>
      <c r="X104" s="434">
        <v>0</v>
      </c>
      <c r="Y104" s="434">
        <v>0</v>
      </c>
      <c r="Z104" s="431">
        <v>0</v>
      </c>
      <c r="AA104" s="570" t="s">
        <v>857</v>
      </c>
      <c r="AB104" s="5" t="s">
        <v>123</v>
      </c>
      <c r="AC104" s="53" t="s">
        <v>239</v>
      </c>
      <c r="AD104" s="526" t="s">
        <v>120</v>
      </c>
      <c r="AE104" s="526" t="s">
        <v>120</v>
      </c>
      <c r="AF104" s="435" t="s">
        <v>128</v>
      </c>
      <c r="AG104" s="426" t="s">
        <v>367</v>
      </c>
    </row>
    <row r="105" spans="1:33" ht="25.5" outlineLevel="1" x14ac:dyDescent="0.25">
      <c r="A105" s="603" t="s">
        <v>763</v>
      </c>
      <c r="B105" s="593" t="s">
        <v>112</v>
      </c>
      <c r="C105" s="35" t="s">
        <v>878</v>
      </c>
      <c r="D105" s="35" t="s">
        <v>21</v>
      </c>
      <c r="E105" s="259" t="s">
        <v>21</v>
      </c>
      <c r="F105" s="1562" t="s">
        <v>764</v>
      </c>
      <c r="G105" s="36">
        <v>1189.43</v>
      </c>
      <c r="H105" s="628">
        <v>0</v>
      </c>
      <c r="I105" s="628">
        <v>0</v>
      </c>
      <c r="J105" s="605">
        <v>0</v>
      </c>
      <c r="K105" s="337">
        <v>1189.43</v>
      </c>
      <c r="L105" s="337">
        <v>0</v>
      </c>
      <c r="M105" s="1055">
        <v>0</v>
      </c>
      <c r="N105" s="735">
        <v>1189.43</v>
      </c>
      <c r="O105" s="761">
        <v>0</v>
      </c>
      <c r="P105" s="346">
        <f t="shared" si="7"/>
        <v>1189.43</v>
      </c>
      <c r="Q105" s="632">
        <v>0</v>
      </c>
      <c r="R105" s="1056">
        <v>0</v>
      </c>
      <c r="S105" s="605">
        <v>0</v>
      </c>
      <c r="T105" s="337">
        <v>0</v>
      </c>
      <c r="U105" s="257">
        <v>0</v>
      </c>
      <c r="V105" s="1058">
        <v>0</v>
      </c>
      <c r="W105" s="337">
        <v>0</v>
      </c>
      <c r="X105" s="489">
        <v>0</v>
      </c>
      <c r="Y105" s="489">
        <v>0</v>
      </c>
      <c r="Z105" s="257">
        <v>0</v>
      </c>
      <c r="AA105" s="440" t="s">
        <v>858</v>
      </c>
      <c r="AB105" s="35" t="s">
        <v>16</v>
      </c>
      <c r="AC105" s="586" t="s">
        <v>493</v>
      </c>
      <c r="AD105" s="448" t="s">
        <v>120</v>
      </c>
      <c r="AE105" s="448" t="s">
        <v>120</v>
      </c>
      <c r="AF105" s="342" t="s">
        <v>128</v>
      </c>
      <c r="AG105" s="259" t="s">
        <v>21</v>
      </c>
    </row>
    <row r="106" spans="1:33" ht="25.5" outlineLevel="1" x14ac:dyDescent="0.25">
      <c r="A106" s="603" t="s">
        <v>765</v>
      </c>
      <c r="B106" s="593" t="s">
        <v>112</v>
      </c>
      <c r="C106" s="35" t="s">
        <v>878</v>
      </c>
      <c r="D106" s="35" t="s">
        <v>21</v>
      </c>
      <c r="E106" s="259" t="s">
        <v>21</v>
      </c>
      <c r="F106" s="1562" t="s">
        <v>842</v>
      </c>
      <c r="G106" s="36">
        <v>20000</v>
      </c>
      <c r="H106" s="628">
        <v>0</v>
      </c>
      <c r="I106" s="628">
        <v>0</v>
      </c>
      <c r="J106" s="605">
        <v>0</v>
      </c>
      <c r="K106" s="337">
        <v>6000</v>
      </c>
      <c r="L106" s="337">
        <v>0</v>
      </c>
      <c r="M106" s="1055">
        <v>14000</v>
      </c>
      <c r="N106" s="732">
        <v>20000</v>
      </c>
      <c r="O106" s="761">
        <v>0</v>
      </c>
      <c r="P106" s="346">
        <f t="shared" si="7"/>
        <v>20000</v>
      </c>
      <c r="Q106" s="632">
        <v>0</v>
      </c>
      <c r="R106" s="1056">
        <v>0</v>
      </c>
      <c r="S106" s="605">
        <v>0</v>
      </c>
      <c r="T106" s="337">
        <v>0</v>
      </c>
      <c r="U106" s="257">
        <v>0</v>
      </c>
      <c r="V106" s="1058">
        <v>0</v>
      </c>
      <c r="W106" s="337">
        <v>0</v>
      </c>
      <c r="X106" s="489">
        <v>0</v>
      </c>
      <c r="Y106" s="489">
        <v>0</v>
      </c>
      <c r="Z106" s="257">
        <v>0</v>
      </c>
      <c r="AA106" s="440" t="s">
        <v>859</v>
      </c>
      <c r="AB106" s="35" t="s">
        <v>13</v>
      </c>
      <c r="AC106" s="586" t="s">
        <v>517</v>
      </c>
      <c r="AD106" s="448" t="s">
        <v>119</v>
      </c>
      <c r="AE106" s="448" t="s">
        <v>119</v>
      </c>
      <c r="AF106" s="342" t="s">
        <v>129</v>
      </c>
      <c r="AG106" s="259" t="s">
        <v>376</v>
      </c>
    </row>
    <row r="107" spans="1:33" ht="25.5" outlineLevel="1" x14ac:dyDescent="0.25">
      <c r="A107" s="603" t="s">
        <v>766</v>
      </c>
      <c r="B107" s="593" t="s">
        <v>112</v>
      </c>
      <c r="C107" s="35" t="s">
        <v>878</v>
      </c>
      <c r="D107" s="35" t="s">
        <v>21</v>
      </c>
      <c r="E107" s="259" t="s">
        <v>21</v>
      </c>
      <c r="F107" s="1562" t="s">
        <v>843</v>
      </c>
      <c r="G107" s="36">
        <v>10000</v>
      </c>
      <c r="H107" s="628">
        <v>0</v>
      </c>
      <c r="I107" s="628">
        <v>0</v>
      </c>
      <c r="J107" s="605">
        <v>0</v>
      </c>
      <c r="K107" s="337">
        <v>3000</v>
      </c>
      <c r="L107" s="337">
        <v>0</v>
      </c>
      <c r="M107" s="1055">
        <v>7000</v>
      </c>
      <c r="N107" s="735">
        <v>10000</v>
      </c>
      <c r="O107" s="761">
        <v>0</v>
      </c>
      <c r="P107" s="346">
        <f t="shared" si="7"/>
        <v>10000</v>
      </c>
      <c r="Q107" s="632">
        <v>0</v>
      </c>
      <c r="R107" s="1056">
        <v>0</v>
      </c>
      <c r="S107" s="605">
        <v>0</v>
      </c>
      <c r="T107" s="337">
        <v>0</v>
      </c>
      <c r="U107" s="257">
        <v>0</v>
      </c>
      <c r="V107" s="1058">
        <v>0</v>
      </c>
      <c r="W107" s="337">
        <v>0</v>
      </c>
      <c r="X107" s="489">
        <v>0</v>
      </c>
      <c r="Y107" s="489">
        <v>0</v>
      </c>
      <c r="Z107" s="257">
        <v>0</v>
      </c>
      <c r="AA107" s="440" t="s">
        <v>859</v>
      </c>
      <c r="AB107" s="35" t="s">
        <v>13</v>
      </c>
      <c r="AC107" s="586" t="s">
        <v>821</v>
      </c>
      <c r="AD107" s="448" t="s">
        <v>119</v>
      </c>
      <c r="AE107" s="448" t="s">
        <v>119</v>
      </c>
      <c r="AF107" s="342" t="s">
        <v>127</v>
      </c>
      <c r="AG107" s="259" t="s">
        <v>372</v>
      </c>
    </row>
    <row r="108" spans="1:33" ht="25.5" outlineLevel="1" x14ac:dyDescent="0.25">
      <c r="A108" s="603" t="s">
        <v>767</v>
      </c>
      <c r="B108" s="593" t="s">
        <v>112</v>
      </c>
      <c r="C108" s="35" t="s">
        <v>878</v>
      </c>
      <c r="D108" s="35" t="s">
        <v>21</v>
      </c>
      <c r="E108" s="259" t="s">
        <v>21</v>
      </c>
      <c r="F108" s="1562" t="s">
        <v>844</v>
      </c>
      <c r="G108" s="36">
        <v>14984</v>
      </c>
      <c r="H108" s="628">
        <v>0</v>
      </c>
      <c r="I108" s="628">
        <v>0</v>
      </c>
      <c r="J108" s="605">
        <v>0</v>
      </c>
      <c r="K108" s="337">
        <v>4495.2000000000007</v>
      </c>
      <c r="L108" s="337">
        <v>0</v>
      </c>
      <c r="M108" s="1055">
        <v>10488.8</v>
      </c>
      <c r="N108" s="735">
        <v>14984</v>
      </c>
      <c r="O108" s="761">
        <v>0</v>
      </c>
      <c r="P108" s="346">
        <f t="shared" si="7"/>
        <v>14984</v>
      </c>
      <c r="Q108" s="632">
        <v>0</v>
      </c>
      <c r="R108" s="1056">
        <v>0</v>
      </c>
      <c r="S108" s="605">
        <v>0</v>
      </c>
      <c r="T108" s="337">
        <v>0</v>
      </c>
      <c r="U108" s="257">
        <v>0</v>
      </c>
      <c r="V108" s="1058">
        <v>0</v>
      </c>
      <c r="W108" s="337">
        <v>0</v>
      </c>
      <c r="X108" s="489">
        <v>0</v>
      </c>
      <c r="Y108" s="489">
        <v>0</v>
      </c>
      <c r="Z108" s="257">
        <v>0</v>
      </c>
      <c r="AA108" s="440" t="s">
        <v>859</v>
      </c>
      <c r="AB108" s="35" t="s">
        <v>13</v>
      </c>
      <c r="AC108" s="586" t="s">
        <v>517</v>
      </c>
      <c r="AD108" s="448" t="s">
        <v>119</v>
      </c>
      <c r="AE108" s="448" t="s">
        <v>119</v>
      </c>
      <c r="AF108" s="342" t="s">
        <v>129</v>
      </c>
      <c r="AG108" s="259" t="s">
        <v>363</v>
      </c>
    </row>
    <row r="109" spans="1:33" ht="25.5" outlineLevel="1" x14ac:dyDescent="0.25">
      <c r="A109" s="603" t="s">
        <v>768</v>
      </c>
      <c r="B109" s="593" t="s">
        <v>112</v>
      </c>
      <c r="C109" s="35" t="s">
        <v>878</v>
      </c>
      <c r="D109" s="35" t="s">
        <v>21</v>
      </c>
      <c r="E109" s="259" t="s">
        <v>21</v>
      </c>
      <c r="F109" s="1562" t="s">
        <v>845</v>
      </c>
      <c r="G109" s="36">
        <v>6300</v>
      </c>
      <c r="H109" s="628">
        <v>0</v>
      </c>
      <c r="I109" s="628">
        <v>0</v>
      </c>
      <c r="J109" s="605">
        <v>0</v>
      </c>
      <c r="K109" s="337">
        <v>1890</v>
      </c>
      <c r="L109" s="337">
        <v>0</v>
      </c>
      <c r="M109" s="1055">
        <v>4410</v>
      </c>
      <c r="N109" s="735">
        <v>6300</v>
      </c>
      <c r="O109" s="761">
        <v>0</v>
      </c>
      <c r="P109" s="346">
        <f t="shared" si="7"/>
        <v>6300</v>
      </c>
      <c r="Q109" s="632">
        <v>0</v>
      </c>
      <c r="R109" s="1056">
        <v>0</v>
      </c>
      <c r="S109" s="605">
        <v>0</v>
      </c>
      <c r="T109" s="337">
        <v>0</v>
      </c>
      <c r="U109" s="257">
        <v>0</v>
      </c>
      <c r="V109" s="1058">
        <v>0</v>
      </c>
      <c r="W109" s="337">
        <v>0</v>
      </c>
      <c r="X109" s="489">
        <v>0</v>
      </c>
      <c r="Y109" s="489">
        <v>0</v>
      </c>
      <c r="Z109" s="257">
        <v>0</v>
      </c>
      <c r="AA109" s="440" t="s">
        <v>859</v>
      </c>
      <c r="AB109" s="35" t="s">
        <v>13</v>
      </c>
      <c r="AC109" s="586" t="s">
        <v>517</v>
      </c>
      <c r="AD109" s="448" t="s">
        <v>119</v>
      </c>
      <c r="AE109" s="448" t="s">
        <v>119</v>
      </c>
      <c r="AF109" s="342" t="s">
        <v>129</v>
      </c>
      <c r="AG109" s="259" t="s">
        <v>371</v>
      </c>
    </row>
    <row r="110" spans="1:33" ht="30" outlineLevel="1" x14ac:dyDescent="0.25">
      <c r="A110" s="603" t="s">
        <v>769</v>
      </c>
      <c r="B110" s="593" t="s">
        <v>112</v>
      </c>
      <c r="C110" s="35" t="s">
        <v>878</v>
      </c>
      <c r="D110" s="35" t="s">
        <v>21</v>
      </c>
      <c r="E110" s="259" t="s">
        <v>21</v>
      </c>
      <c r="F110" s="1562" t="s">
        <v>846</v>
      </c>
      <c r="G110" s="36">
        <v>20000</v>
      </c>
      <c r="H110" s="628">
        <v>0</v>
      </c>
      <c r="I110" s="628">
        <v>0</v>
      </c>
      <c r="J110" s="605">
        <v>0</v>
      </c>
      <c r="K110" s="337">
        <v>6000</v>
      </c>
      <c r="L110" s="337">
        <v>0</v>
      </c>
      <c r="M110" s="1055">
        <v>14000</v>
      </c>
      <c r="N110" s="735">
        <v>20000</v>
      </c>
      <c r="O110" s="761">
        <v>0</v>
      </c>
      <c r="P110" s="346">
        <f t="shared" si="7"/>
        <v>20000</v>
      </c>
      <c r="Q110" s="632">
        <v>0</v>
      </c>
      <c r="R110" s="1056">
        <v>0</v>
      </c>
      <c r="S110" s="605">
        <v>0</v>
      </c>
      <c r="T110" s="337">
        <v>0</v>
      </c>
      <c r="U110" s="257">
        <v>0</v>
      </c>
      <c r="V110" s="1058">
        <v>0</v>
      </c>
      <c r="W110" s="337">
        <v>0</v>
      </c>
      <c r="X110" s="489">
        <v>0</v>
      </c>
      <c r="Y110" s="489">
        <v>0</v>
      </c>
      <c r="Z110" s="257">
        <v>0</v>
      </c>
      <c r="AA110" s="440" t="s">
        <v>859</v>
      </c>
      <c r="AB110" s="35" t="s">
        <v>13</v>
      </c>
      <c r="AC110" s="586" t="s">
        <v>517</v>
      </c>
      <c r="AD110" s="448" t="s">
        <v>119</v>
      </c>
      <c r="AE110" s="448" t="s">
        <v>119</v>
      </c>
      <c r="AF110" s="342" t="s">
        <v>127</v>
      </c>
      <c r="AG110" s="259" t="s">
        <v>377</v>
      </c>
    </row>
    <row r="111" spans="1:33" ht="25.5" outlineLevel="1" x14ac:dyDescent="0.25">
      <c r="A111" s="603" t="s">
        <v>771</v>
      </c>
      <c r="B111" s="593" t="s">
        <v>112</v>
      </c>
      <c r="C111" s="35" t="s">
        <v>878</v>
      </c>
      <c r="D111" s="35" t="s">
        <v>21</v>
      </c>
      <c r="E111" s="259" t="s">
        <v>21</v>
      </c>
      <c r="F111" s="1562" t="s">
        <v>847</v>
      </c>
      <c r="G111" s="36">
        <v>9097</v>
      </c>
      <c r="H111" s="628">
        <v>0</v>
      </c>
      <c r="I111" s="628">
        <v>0</v>
      </c>
      <c r="J111" s="605">
        <v>0</v>
      </c>
      <c r="K111" s="337">
        <v>2729.1000000000004</v>
      </c>
      <c r="L111" s="337">
        <v>0</v>
      </c>
      <c r="M111" s="1055">
        <v>6367.9</v>
      </c>
      <c r="N111" s="735">
        <v>9097</v>
      </c>
      <c r="O111" s="761">
        <v>0</v>
      </c>
      <c r="P111" s="346">
        <f t="shared" si="7"/>
        <v>9097</v>
      </c>
      <c r="Q111" s="632">
        <v>0</v>
      </c>
      <c r="R111" s="1056">
        <v>0</v>
      </c>
      <c r="S111" s="605">
        <v>0</v>
      </c>
      <c r="T111" s="337">
        <v>0</v>
      </c>
      <c r="U111" s="257">
        <v>0</v>
      </c>
      <c r="V111" s="1058">
        <v>0</v>
      </c>
      <c r="W111" s="337">
        <v>0</v>
      </c>
      <c r="X111" s="489">
        <v>0</v>
      </c>
      <c r="Y111" s="489">
        <v>0</v>
      </c>
      <c r="Z111" s="257">
        <v>0</v>
      </c>
      <c r="AA111" s="440" t="s">
        <v>859</v>
      </c>
      <c r="AB111" s="35" t="s">
        <v>13</v>
      </c>
      <c r="AC111" s="586" t="s">
        <v>517</v>
      </c>
      <c r="AD111" s="448" t="s">
        <v>119</v>
      </c>
      <c r="AE111" s="448" t="s">
        <v>119</v>
      </c>
      <c r="AF111" s="342" t="s">
        <v>129</v>
      </c>
      <c r="AG111" s="259" t="s">
        <v>378</v>
      </c>
    </row>
    <row r="112" spans="1:33" ht="25.5" outlineLevel="1" x14ac:dyDescent="0.25">
      <c r="A112" s="603" t="s">
        <v>772</v>
      </c>
      <c r="B112" s="593" t="s">
        <v>112</v>
      </c>
      <c r="C112" s="35" t="s">
        <v>878</v>
      </c>
      <c r="D112" s="35" t="s">
        <v>21</v>
      </c>
      <c r="E112" s="259" t="s">
        <v>21</v>
      </c>
      <c r="F112" s="1562" t="s">
        <v>861</v>
      </c>
      <c r="G112" s="36">
        <v>5889</v>
      </c>
      <c r="H112" s="628">
        <v>0</v>
      </c>
      <c r="I112" s="628">
        <v>0</v>
      </c>
      <c r="J112" s="605">
        <v>0</v>
      </c>
      <c r="K112" s="337">
        <v>1766.6999999999998</v>
      </c>
      <c r="L112" s="337">
        <v>0</v>
      </c>
      <c r="M112" s="1055">
        <v>4122.3</v>
      </c>
      <c r="N112" s="735">
        <v>5889</v>
      </c>
      <c r="O112" s="761">
        <v>0</v>
      </c>
      <c r="P112" s="346">
        <f t="shared" si="7"/>
        <v>5889</v>
      </c>
      <c r="Q112" s="632">
        <v>0</v>
      </c>
      <c r="R112" s="1056">
        <v>0</v>
      </c>
      <c r="S112" s="605">
        <v>0</v>
      </c>
      <c r="T112" s="337">
        <v>0</v>
      </c>
      <c r="U112" s="257">
        <v>0</v>
      </c>
      <c r="V112" s="1058">
        <v>0</v>
      </c>
      <c r="W112" s="337">
        <v>0</v>
      </c>
      <c r="X112" s="489">
        <v>0</v>
      </c>
      <c r="Y112" s="489">
        <v>0</v>
      </c>
      <c r="Z112" s="257">
        <v>0</v>
      </c>
      <c r="AA112" s="440" t="s">
        <v>859</v>
      </c>
      <c r="AB112" s="35" t="s">
        <v>13</v>
      </c>
      <c r="AC112" s="586" t="s">
        <v>517</v>
      </c>
      <c r="AD112" s="448" t="s">
        <v>119</v>
      </c>
      <c r="AE112" s="448" t="s">
        <v>119</v>
      </c>
      <c r="AF112" s="342" t="s">
        <v>129</v>
      </c>
      <c r="AG112" s="259" t="s">
        <v>378</v>
      </c>
    </row>
    <row r="113" spans="1:33" ht="25.5" outlineLevel="1" x14ac:dyDescent="0.25">
      <c r="A113" s="603" t="s">
        <v>773</v>
      </c>
      <c r="B113" s="593" t="s">
        <v>112</v>
      </c>
      <c r="C113" s="35" t="s">
        <v>878</v>
      </c>
      <c r="D113" s="35" t="s">
        <v>21</v>
      </c>
      <c r="E113" s="259" t="s">
        <v>21</v>
      </c>
      <c r="F113" s="1562" t="s">
        <v>860</v>
      </c>
      <c r="G113" s="36">
        <v>2539</v>
      </c>
      <c r="H113" s="628">
        <v>0</v>
      </c>
      <c r="I113" s="628">
        <v>0</v>
      </c>
      <c r="J113" s="605">
        <v>0</v>
      </c>
      <c r="K113" s="337">
        <v>761.7</v>
      </c>
      <c r="L113" s="337">
        <v>0</v>
      </c>
      <c r="M113" s="1055">
        <v>1777.3</v>
      </c>
      <c r="N113" s="735">
        <v>2539</v>
      </c>
      <c r="O113" s="761">
        <v>0</v>
      </c>
      <c r="P113" s="346">
        <f t="shared" si="7"/>
        <v>2539</v>
      </c>
      <c r="Q113" s="632">
        <v>0</v>
      </c>
      <c r="R113" s="1056">
        <v>0</v>
      </c>
      <c r="S113" s="605">
        <v>0</v>
      </c>
      <c r="T113" s="337">
        <v>0</v>
      </c>
      <c r="U113" s="257">
        <v>0</v>
      </c>
      <c r="V113" s="1058">
        <v>0</v>
      </c>
      <c r="W113" s="337">
        <v>0</v>
      </c>
      <c r="X113" s="489">
        <v>0</v>
      </c>
      <c r="Y113" s="489">
        <v>0</v>
      </c>
      <c r="Z113" s="257">
        <v>0</v>
      </c>
      <c r="AA113" s="440" t="s">
        <v>859</v>
      </c>
      <c r="AB113" s="35" t="s">
        <v>13</v>
      </c>
      <c r="AC113" s="586" t="s">
        <v>517</v>
      </c>
      <c r="AD113" s="448" t="s">
        <v>119</v>
      </c>
      <c r="AE113" s="448" t="s">
        <v>119</v>
      </c>
      <c r="AF113" s="342" t="s">
        <v>129</v>
      </c>
      <c r="AG113" s="259" t="s">
        <v>389</v>
      </c>
    </row>
    <row r="114" spans="1:33" ht="25.5" outlineLevel="1" x14ac:dyDescent="0.25">
      <c r="A114" s="603" t="s">
        <v>774</v>
      </c>
      <c r="B114" s="593" t="s">
        <v>112</v>
      </c>
      <c r="C114" s="35" t="s">
        <v>878</v>
      </c>
      <c r="D114" s="35" t="s">
        <v>21</v>
      </c>
      <c r="E114" s="259" t="s">
        <v>21</v>
      </c>
      <c r="F114" s="1562" t="s">
        <v>862</v>
      </c>
      <c r="G114" s="36">
        <v>2333</v>
      </c>
      <c r="H114" s="628">
        <v>0</v>
      </c>
      <c r="I114" s="628">
        <v>0</v>
      </c>
      <c r="J114" s="605">
        <v>0</v>
      </c>
      <c r="K114" s="337">
        <v>699.90000000000009</v>
      </c>
      <c r="L114" s="337">
        <v>0</v>
      </c>
      <c r="M114" s="1055">
        <v>1633.1</v>
      </c>
      <c r="N114" s="735">
        <v>2333</v>
      </c>
      <c r="O114" s="761">
        <v>0</v>
      </c>
      <c r="P114" s="346">
        <f t="shared" si="7"/>
        <v>2333</v>
      </c>
      <c r="Q114" s="632">
        <v>0</v>
      </c>
      <c r="R114" s="1056">
        <v>0</v>
      </c>
      <c r="S114" s="605">
        <v>0</v>
      </c>
      <c r="T114" s="337">
        <v>0</v>
      </c>
      <c r="U114" s="257">
        <v>0</v>
      </c>
      <c r="V114" s="1058">
        <v>0</v>
      </c>
      <c r="W114" s="337">
        <v>0</v>
      </c>
      <c r="X114" s="489">
        <v>0</v>
      </c>
      <c r="Y114" s="489">
        <v>0</v>
      </c>
      <c r="Z114" s="257">
        <v>0</v>
      </c>
      <c r="AA114" s="440" t="s">
        <v>859</v>
      </c>
      <c r="AB114" s="35" t="s">
        <v>13</v>
      </c>
      <c r="AC114" s="586" t="s">
        <v>517</v>
      </c>
      <c r="AD114" s="448" t="s">
        <v>119</v>
      </c>
      <c r="AE114" s="448" t="s">
        <v>119</v>
      </c>
      <c r="AF114" s="342" t="s">
        <v>129</v>
      </c>
      <c r="AG114" s="259" t="s">
        <v>378</v>
      </c>
    </row>
    <row r="115" spans="1:33" ht="25.5" outlineLevel="1" x14ac:dyDescent="0.25">
      <c r="A115" s="603" t="s">
        <v>775</v>
      </c>
      <c r="B115" s="593" t="s">
        <v>112</v>
      </c>
      <c r="C115" s="35" t="s">
        <v>878</v>
      </c>
      <c r="D115" s="35" t="s">
        <v>21</v>
      </c>
      <c r="E115" s="259" t="s">
        <v>21</v>
      </c>
      <c r="F115" s="1562" t="s">
        <v>770</v>
      </c>
      <c r="G115" s="36">
        <v>4000</v>
      </c>
      <c r="H115" s="628">
        <v>0</v>
      </c>
      <c r="I115" s="628">
        <v>0</v>
      </c>
      <c r="J115" s="605">
        <v>0</v>
      </c>
      <c r="K115" s="337">
        <v>1200</v>
      </c>
      <c r="L115" s="337">
        <v>0</v>
      </c>
      <c r="M115" s="1055">
        <v>2800</v>
      </c>
      <c r="N115" s="735">
        <v>4000</v>
      </c>
      <c r="O115" s="761">
        <v>0</v>
      </c>
      <c r="P115" s="346">
        <f t="shared" si="7"/>
        <v>4000</v>
      </c>
      <c r="Q115" s="632">
        <v>0</v>
      </c>
      <c r="R115" s="1056">
        <v>0</v>
      </c>
      <c r="S115" s="605">
        <v>0</v>
      </c>
      <c r="T115" s="337">
        <v>0</v>
      </c>
      <c r="U115" s="257">
        <v>0</v>
      </c>
      <c r="V115" s="1058">
        <v>0</v>
      </c>
      <c r="W115" s="337">
        <v>0</v>
      </c>
      <c r="X115" s="489">
        <v>0</v>
      </c>
      <c r="Y115" s="489">
        <v>0</v>
      </c>
      <c r="Z115" s="257">
        <v>0</v>
      </c>
      <c r="AA115" s="440" t="s">
        <v>859</v>
      </c>
      <c r="AB115" s="35" t="s">
        <v>13</v>
      </c>
      <c r="AC115" s="586" t="s">
        <v>517</v>
      </c>
      <c r="AD115" s="448" t="s">
        <v>119</v>
      </c>
      <c r="AE115" s="448" t="s">
        <v>119</v>
      </c>
      <c r="AF115" s="342" t="s">
        <v>127</v>
      </c>
      <c r="AG115" s="259" t="s">
        <v>362</v>
      </c>
    </row>
    <row r="116" spans="1:33" ht="25.5" outlineLevel="1" x14ac:dyDescent="0.25">
      <c r="A116" s="603" t="s">
        <v>776</v>
      </c>
      <c r="B116" s="593" t="s">
        <v>112</v>
      </c>
      <c r="C116" s="35" t="s">
        <v>878</v>
      </c>
      <c r="D116" s="35" t="s">
        <v>21</v>
      </c>
      <c r="E116" s="259" t="s">
        <v>21</v>
      </c>
      <c r="F116" s="1562" t="s">
        <v>848</v>
      </c>
      <c r="G116" s="36">
        <v>15575</v>
      </c>
      <c r="H116" s="628">
        <v>0</v>
      </c>
      <c r="I116" s="628">
        <v>0</v>
      </c>
      <c r="J116" s="605">
        <v>0</v>
      </c>
      <c r="K116" s="337">
        <v>4672.5</v>
      </c>
      <c r="L116" s="337">
        <v>0</v>
      </c>
      <c r="M116" s="1055">
        <v>10902.5</v>
      </c>
      <c r="N116" s="735">
        <v>15575</v>
      </c>
      <c r="O116" s="761">
        <v>0</v>
      </c>
      <c r="P116" s="346">
        <f t="shared" si="7"/>
        <v>15575</v>
      </c>
      <c r="Q116" s="632">
        <v>0</v>
      </c>
      <c r="R116" s="1056">
        <v>0</v>
      </c>
      <c r="S116" s="605">
        <v>0</v>
      </c>
      <c r="T116" s="337">
        <v>0</v>
      </c>
      <c r="U116" s="257">
        <v>0</v>
      </c>
      <c r="V116" s="1058">
        <v>0</v>
      </c>
      <c r="W116" s="337">
        <v>0</v>
      </c>
      <c r="X116" s="489">
        <v>0</v>
      </c>
      <c r="Y116" s="489">
        <v>0</v>
      </c>
      <c r="Z116" s="257">
        <v>0</v>
      </c>
      <c r="AA116" s="440" t="s">
        <v>859</v>
      </c>
      <c r="AB116" s="35" t="s">
        <v>13</v>
      </c>
      <c r="AC116" s="586" t="s">
        <v>517</v>
      </c>
      <c r="AD116" s="448" t="s">
        <v>119</v>
      </c>
      <c r="AE116" s="448" t="s">
        <v>119</v>
      </c>
      <c r="AF116" s="342" t="s">
        <v>129</v>
      </c>
      <c r="AG116" s="259" t="s">
        <v>388</v>
      </c>
    </row>
    <row r="117" spans="1:33" ht="26.25" outlineLevel="1" thickBot="1" x14ac:dyDescent="0.3">
      <c r="A117" s="723" t="s">
        <v>777</v>
      </c>
      <c r="B117" s="16" t="s">
        <v>112</v>
      </c>
      <c r="C117" s="39" t="s">
        <v>878</v>
      </c>
      <c r="D117" s="39" t="s">
        <v>21</v>
      </c>
      <c r="E117" s="340" t="s">
        <v>21</v>
      </c>
      <c r="F117" s="2153" t="s">
        <v>849</v>
      </c>
      <c r="G117" s="789">
        <v>5553</v>
      </c>
      <c r="H117" s="1061">
        <v>0</v>
      </c>
      <c r="I117" s="1061">
        <v>0</v>
      </c>
      <c r="J117" s="978">
        <v>0</v>
      </c>
      <c r="K117" s="1062">
        <v>1665.9</v>
      </c>
      <c r="L117" s="1062">
        <v>0</v>
      </c>
      <c r="M117" s="1063">
        <v>3887.1</v>
      </c>
      <c r="N117" s="736">
        <v>5553</v>
      </c>
      <c r="O117" s="700">
        <v>0</v>
      </c>
      <c r="P117" s="268">
        <f t="shared" si="7"/>
        <v>5553</v>
      </c>
      <c r="Q117" s="1064">
        <v>0</v>
      </c>
      <c r="R117" s="1065">
        <v>0</v>
      </c>
      <c r="S117" s="978">
        <v>0</v>
      </c>
      <c r="T117" s="1062">
        <v>0</v>
      </c>
      <c r="U117" s="1069">
        <v>0</v>
      </c>
      <c r="V117" s="1067">
        <v>0</v>
      </c>
      <c r="W117" s="1062">
        <v>0</v>
      </c>
      <c r="X117" s="1068">
        <v>0</v>
      </c>
      <c r="Y117" s="1068">
        <v>0</v>
      </c>
      <c r="Z117" s="1069">
        <v>0</v>
      </c>
      <c r="AA117" s="708" t="s">
        <v>859</v>
      </c>
      <c r="AB117" s="39" t="s">
        <v>13</v>
      </c>
      <c r="AC117" s="67" t="s">
        <v>517</v>
      </c>
      <c r="AD117" s="30" t="s">
        <v>119</v>
      </c>
      <c r="AE117" s="30" t="s">
        <v>119</v>
      </c>
      <c r="AF117" s="18" t="s">
        <v>129</v>
      </c>
      <c r="AG117" s="340" t="s">
        <v>362</v>
      </c>
    </row>
    <row r="118" spans="1:33" outlineLevel="1" x14ac:dyDescent="0.25">
      <c r="A118" s="2141" t="s">
        <v>1279</v>
      </c>
      <c r="B118" s="2142" t="s">
        <v>112</v>
      </c>
      <c r="C118" s="63" t="s">
        <v>109</v>
      </c>
      <c r="D118" s="63" t="s">
        <v>21</v>
      </c>
      <c r="E118" s="1573" t="s">
        <v>21</v>
      </c>
      <c r="F118" s="2143" t="s">
        <v>1280</v>
      </c>
      <c r="G118" s="66">
        <v>3177</v>
      </c>
      <c r="H118" s="200">
        <v>0</v>
      </c>
      <c r="I118" s="295">
        <v>0</v>
      </c>
      <c r="J118" s="2144">
        <v>0</v>
      </c>
      <c r="K118" s="2145">
        <v>0</v>
      </c>
      <c r="L118" s="2145">
        <v>0</v>
      </c>
      <c r="M118" s="2146">
        <v>3177</v>
      </c>
      <c r="N118" s="2147">
        <v>0</v>
      </c>
      <c r="O118" s="2148">
        <v>3177</v>
      </c>
      <c r="P118" s="2148">
        <f t="shared" si="7"/>
        <v>3177</v>
      </c>
      <c r="Q118" s="2147">
        <v>0</v>
      </c>
      <c r="R118" s="229">
        <v>0</v>
      </c>
      <c r="S118" s="2144">
        <v>0</v>
      </c>
      <c r="T118" s="2145">
        <v>0</v>
      </c>
      <c r="U118" s="2149"/>
      <c r="V118" s="2150">
        <v>0</v>
      </c>
      <c r="W118" s="2145">
        <v>0</v>
      </c>
      <c r="X118" s="2151">
        <v>0</v>
      </c>
      <c r="Y118" s="2151">
        <v>0</v>
      </c>
      <c r="Z118" s="2149">
        <v>0</v>
      </c>
      <c r="AA118" s="353" t="s">
        <v>859</v>
      </c>
      <c r="AB118" s="63" t="s">
        <v>13</v>
      </c>
      <c r="AC118" s="2152" t="s">
        <v>821</v>
      </c>
      <c r="AD118" s="394" t="s">
        <v>119</v>
      </c>
      <c r="AE118" s="394" t="s">
        <v>119</v>
      </c>
      <c r="AF118" s="175" t="s">
        <v>129</v>
      </c>
      <c r="AG118" s="1573" t="s">
        <v>364</v>
      </c>
    </row>
    <row r="119" spans="1:33" outlineLevel="1" x14ac:dyDescent="0.25">
      <c r="A119" s="1421" t="s">
        <v>1281</v>
      </c>
      <c r="B119" s="1564" t="s">
        <v>112</v>
      </c>
      <c r="C119" s="61" t="s">
        <v>109</v>
      </c>
      <c r="D119" s="61" t="s">
        <v>21</v>
      </c>
      <c r="E119" s="1443" t="s">
        <v>21</v>
      </c>
      <c r="F119" s="1565" t="s">
        <v>1282</v>
      </c>
      <c r="G119" s="64">
        <v>7223</v>
      </c>
      <c r="H119" s="201">
        <v>0</v>
      </c>
      <c r="I119" s="220">
        <v>0</v>
      </c>
      <c r="J119" s="1447">
        <v>0</v>
      </c>
      <c r="K119" s="1454">
        <v>0</v>
      </c>
      <c r="L119" s="1454">
        <v>7223</v>
      </c>
      <c r="M119" s="1566">
        <v>0</v>
      </c>
      <c r="N119" s="1398">
        <v>0</v>
      </c>
      <c r="O119" s="1434">
        <v>7223</v>
      </c>
      <c r="P119" s="1434">
        <f t="shared" si="7"/>
        <v>7223</v>
      </c>
      <c r="Q119" s="1398">
        <v>0</v>
      </c>
      <c r="R119" s="1567">
        <v>0</v>
      </c>
      <c r="S119" s="1447">
        <v>0</v>
      </c>
      <c r="T119" s="1454">
        <v>0</v>
      </c>
      <c r="U119" s="1568"/>
      <c r="V119" s="1569">
        <v>0</v>
      </c>
      <c r="W119" s="1454">
        <v>0</v>
      </c>
      <c r="X119" s="1570">
        <v>0</v>
      </c>
      <c r="Y119" s="1570">
        <v>0</v>
      </c>
      <c r="Z119" s="1568">
        <v>0</v>
      </c>
      <c r="AA119" s="219" t="s">
        <v>859</v>
      </c>
      <c r="AB119" s="61" t="s">
        <v>13</v>
      </c>
      <c r="AC119" s="1571" t="s">
        <v>1250</v>
      </c>
      <c r="AD119" s="441" t="s">
        <v>119</v>
      </c>
      <c r="AE119" s="441" t="s">
        <v>119</v>
      </c>
      <c r="AF119" s="130" t="s">
        <v>129</v>
      </c>
      <c r="AG119" s="1443" t="s">
        <v>382</v>
      </c>
    </row>
    <row r="120" spans="1:33" outlineLevel="1" x14ac:dyDescent="0.25">
      <c r="A120" s="1421" t="s">
        <v>1283</v>
      </c>
      <c r="B120" s="1564" t="s">
        <v>112</v>
      </c>
      <c r="C120" s="61" t="s">
        <v>109</v>
      </c>
      <c r="D120" s="61" t="s">
        <v>21</v>
      </c>
      <c r="E120" s="1443" t="s">
        <v>21</v>
      </c>
      <c r="F120" s="1565" t="s">
        <v>1284</v>
      </c>
      <c r="G120" s="64">
        <v>10211</v>
      </c>
      <c r="H120" s="201">
        <v>0</v>
      </c>
      <c r="I120" s="220">
        <v>0</v>
      </c>
      <c r="J120" s="1447">
        <v>0</v>
      </c>
      <c r="K120" s="1454">
        <v>0</v>
      </c>
      <c r="L120" s="1454">
        <v>10211</v>
      </c>
      <c r="M120" s="1566">
        <v>0</v>
      </c>
      <c r="N120" s="1398">
        <v>0</v>
      </c>
      <c r="O120" s="1434">
        <v>10211</v>
      </c>
      <c r="P120" s="1434">
        <f t="shared" si="7"/>
        <v>10211</v>
      </c>
      <c r="Q120" s="1398">
        <v>0</v>
      </c>
      <c r="R120" s="1567">
        <v>0</v>
      </c>
      <c r="S120" s="1447">
        <v>0</v>
      </c>
      <c r="T120" s="1454">
        <v>0</v>
      </c>
      <c r="U120" s="1568"/>
      <c r="V120" s="1569">
        <v>0</v>
      </c>
      <c r="W120" s="1454">
        <v>0</v>
      </c>
      <c r="X120" s="1570">
        <v>0</v>
      </c>
      <c r="Y120" s="1570">
        <v>0</v>
      </c>
      <c r="Z120" s="1568">
        <v>0</v>
      </c>
      <c r="AA120" s="219" t="s">
        <v>859</v>
      </c>
      <c r="AB120" s="61" t="s">
        <v>13</v>
      </c>
      <c r="AC120" s="1571" t="s">
        <v>1250</v>
      </c>
      <c r="AD120" s="441" t="s">
        <v>119</v>
      </c>
      <c r="AE120" s="441" t="s">
        <v>119</v>
      </c>
      <c r="AF120" s="130" t="s">
        <v>129</v>
      </c>
      <c r="AG120" s="1443" t="s">
        <v>367</v>
      </c>
    </row>
    <row r="121" spans="1:33" outlineLevel="1" x14ac:dyDescent="0.25">
      <c r="A121" s="1421" t="s">
        <v>1285</v>
      </c>
      <c r="B121" s="1564" t="s">
        <v>112</v>
      </c>
      <c r="C121" s="61" t="s">
        <v>109</v>
      </c>
      <c r="D121" s="61" t="s">
        <v>21</v>
      </c>
      <c r="E121" s="1443" t="s">
        <v>21</v>
      </c>
      <c r="F121" s="1565" t="s">
        <v>1286</v>
      </c>
      <c r="G121" s="64">
        <v>10477</v>
      </c>
      <c r="H121" s="201">
        <v>0</v>
      </c>
      <c r="I121" s="220">
        <v>0</v>
      </c>
      <c r="J121" s="1447">
        <v>0</v>
      </c>
      <c r="K121" s="1454">
        <v>0</v>
      </c>
      <c r="L121" s="1454">
        <v>0</v>
      </c>
      <c r="M121" s="1566">
        <v>10477</v>
      </c>
      <c r="N121" s="1398">
        <v>0</v>
      </c>
      <c r="O121" s="1434">
        <v>10477</v>
      </c>
      <c r="P121" s="1434">
        <f t="shared" si="7"/>
        <v>10477</v>
      </c>
      <c r="Q121" s="1398">
        <v>0</v>
      </c>
      <c r="R121" s="1567">
        <v>0</v>
      </c>
      <c r="S121" s="1447">
        <v>0</v>
      </c>
      <c r="T121" s="1454">
        <v>0</v>
      </c>
      <c r="U121" s="1568"/>
      <c r="V121" s="1569">
        <v>0</v>
      </c>
      <c r="W121" s="1454">
        <v>0</v>
      </c>
      <c r="X121" s="1570">
        <v>0</v>
      </c>
      <c r="Y121" s="1570">
        <v>0</v>
      </c>
      <c r="Z121" s="1568">
        <v>0</v>
      </c>
      <c r="AA121" s="219" t="s">
        <v>859</v>
      </c>
      <c r="AB121" s="61" t="s">
        <v>13</v>
      </c>
      <c r="AC121" s="1571" t="s">
        <v>821</v>
      </c>
      <c r="AD121" s="441" t="s">
        <v>119</v>
      </c>
      <c r="AE121" s="441" t="s">
        <v>119</v>
      </c>
      <c r="AF121" s="130" t="s">
        <v>129</v>
      </c>
      <c r="AG121" s="1443" t="s">
        <v>378</v>
      </c>
    </row>
    <row r="122" spans="1:33" outlineLevel="1" x14ac:dyDescent="0.25">
      <c r="A122" s="1421" t="s">
        <v>1287</v>
      </c>
      <c r="B122" s="1564" t="s">
        <v>112</v>
      </c>
      <c r="C122" s="61" t="s">
        <v>109</v>
      </c>
      <c r="D122" s="61" t="s">
        <v>21</v>
      </c>
      <c r="E122" s="1443" t="s">
        <v>21</v>
      </c>
      <c r="F122" s="1565" t="s">
        <v>1288</v>
      </c>
      <c r="G122" s="64">
        <v>8930</v>
      </c>
      <c r="H122" s="201">
        <v>0</v>
      </c>
      <c r="I122" s="220">
        <v>0</v>
      </c>
      <c r="J122" s="1447">
        <v>0</v>
      </c>
      <c r="K122" s="1454">
        <v>0</v>
      </c>
      <c r="L122" s="1454">
        <v>0</v>
      </c>
      <c r="M122" s="1566">
        <v>8930</v>
      </c>
      <c r="N122" s="1398">
        <v>0</v>
      </c>
      <c r="O122" s="1434">
        <v>8930</v>
      </c>
      <c r="P122" s="1434">
        <f t="shared" si="7"/>
        <v>8930</v>
      </c>
      <c r="Q122" s="1398">
        <v>0</v>
      </c>
      <c r="R122" s="1567">
        <v>0</v>
      </c>
      <c r="S122" s="1447">
        <v>0</v>
      </c>
      <c r="T122" s="1454">
        <v>0</v>
      </c>
      <c r="U122" s="1568"/>
      <c r="V122" s="1569">
        <v>0</v>
      </c>
      <c r="W122" s="1454">
        <v>0</v>
      </c>
      <c r="X122" s="1570">
        <v>0</v>
      </c>
      <c r="Y122" s="1570">
        <v>0</v>
      </c>
      <c r="Z122" s="1568">
        <v>0</v>
      </c>
      <c r="AA122" s="219" t="s">
        <v>859</v>
      </c>
      <c r="AB122" s="61" t="s">
        <v>13</v>
      </c>
      <c r="AC122" s="1571" t="s">
        <v>821</v>
      </c>
      <c r="AD122" s="441" t="s">
        <v>119</v>
      </c>
      <c r="AE122" s="441" t="s">
        <v>119</v>
      </c>
      <c r="AF122" s="130" t="s">
        <v>129</v>
      </c>
      <c r="AG122" s="1443" t="s">
        <v>389</v>
      </c>
    </row>
    <row r="123" spans="1:33" outlineLevel="1" x14ac:dyDescent="0.25">
      <c r="A123" s="1421" t="s">
        <v>1289</v>
      </c>
      <c r="B123" s="1564" t="s">
        <v>112</v>
      </c>
      <c r="C123" s="61" t="s">
        <v>109</v>
      </c>
      <c r="D123" s="61" t="s">
        <v>21</v>
      </c>
      <c r="E123" s="1443" t="s">
        <v>21</v>
      </c>
      <c r="F123" s="1565" t="s">
        <v>1290</v>
      </c>
      <c r="G123" s="64">
        <v>7400</v>
      </c>
      <c r="H123" s="201">
        <v>0</v>
      </c>
      <c r="I123" s="220">
        <v>0</v>
      </c>
      <c r="J123" s="1447">
        <v>0</v>
      </c>
      <c r="K123" s="1454">
        <v>0</v>
      </c>
      <c r="L123" s="1454">
        <v>0</v>
      </c>
      <c r="M123" s="1566">
        <v>7400</v>
      </c>
      <c r="N123" s="1398">
        <v>0</v>
      </c>
      <c r="O123" s="1434">
        <v>7400</v>
      </c>
      <c r="P123" s="1434">
        <f t="shared" si="7"/>
        <v>7400</v>
      </c>
      <c r="Q123" s="1398">
        <v>0</v>
      </c>
      <c r="R123" s="1567">
        <v>0</v>
      </c>
      <c r="S123" s="1447">
        <v>0</v>
      </c>
      <c r="T123" s="1454">
        <v>0</v>
      </c>
      <c r="U123" s="1568"/>
      <c r="V123" s="1569">
        <v>0</v>
      </c>
      <c r="W123" s="1454">
        <v>0</v>
      </c>
      <c r="X123" s="1570">
        <v>0</v>
      </c>
      <c r="Y123" s="1570">
        <v>0</v>
      </c>
      <c r="Z123" s="1568">
        <v>0</v>
      </c>
      <c r="AA123" s="219" t="s">
        <v>859</v>
      </c>
      <c r="AB123" s="61" t="s">
        <v>13</v>
      </c>
      <c r="AC123" s="1571" t="s">
        <v>821</v>
      </c>
      <c r="AD123" s="441" t="s">
        <v>119</v>
      </c>
      <c r="AE123" s="441" t="s">
        <v>119</v>
      </c>
      <c r="AF123" s="130" t="s">
        <v>129</v>
      </c>
      <c r="AG123" s="1443" t="s">
        <v>368</v>
      </c>
    </row>
    <row r="124" spans="1:33" outlineLevel="1" x14ac:dyDescent="0.25">
      <c r="A124" s="1421" t="s">
        <v>1291</v>
      </c>
      <c r="B124" s="1564" t="s">
        <v>112</v>
      </c>
      <c r="C124" s="61" t="s">
        <v>109</v>
      </c>
      <c r="D124" s="61" t="s">
        <v>21</v>
      </c>
      <c r="E124" s="1443" t="s">
        <v>21</v>
      </c>
      <c r="F124" s="1565" t="s">
        <v>1292</v>
      </c>
      <c r="G124" s="64">
        <v>13400</v>
      </c>
      <c r="H124" s="201">
        <v>0</v>
      </c>
      <c r="I124" s="220">
        <v>0</v>
      </c>
      <c r="J124" s="1447">
        <v>0</v>
      </c>
      <c r="K124" s="1454">
        <v>0</v>
      </c>
      <c r="L124" s="1454">
        <v>0</v>
      </c>
      <c r="M124" s="1566">
        <v>13400</v>
      </c>
      <c r="N124" s="1398">
        <v>0</v>
      </c>
      <c r="O124" s="1434">
        <v>13400</v>
      </c>
      <c r="P124" s="1434">
        <f t="shared" si="7"/>
        <v>13400</v>
      </c>
      <c r="Q124" s="1398">
        <v>0</v>
      </c>
      <c r="R124" s="1567">
        <v>0</v>
      </c>
      <c r="S124" s="1447">
        <v>0</v>
      </c>
      <c r="T124" s="1454">
        <v>0</v>
      </c>
      <c r="U124" s="1568"/>
      <c r="V124" s="1569">
        <v>0</v>
      </c>
      <c r="W124" s="1454">
        <v>0</v>
      </c>
      <c r="X124" s="1570">
        <v>0</v>
      </c>
      <c r="Y124" s="1570">
        <v>0</v>
      </c>
      <c r="Z124" s="1568">
        <v>0</v>
      </c>
      <c r="AA124" s="219" t="s">
        <v>859</v>
      </c>
      <c r="AB124" s="61" t="s">
        <v>13</v>
      </c>
      <c r="AC124" s="1571" t="s">
        <v>821</v>
      </c>
      <c r="AD124" s="441" t="s">
        <v>119</v>
      </c>
      <c r="AE124" s="441" t="s">
        <v>119</v>
      </c>
      <c r="AF124" s="130" t="s">
        <v>129</v>
      </c>
      <c r="AG124" s="1443" t="s">
        <v>365</v>
      </c>
    </row>
    <row r="125" spans="1:33" outlineLevel="1" x14ac:dyDescent="0.25">
      <c r="A125" s="1421" t="s">
        <v>1293</v>
      </c>
      <c r="B125" s="1564" t="s">
        <v>112</v>
      </c>
      <c r="C125" s="61" t="s">
        <v>109</v>
      </c>
      <c r="D125" s="61" t="s">
        <v>21</v>
      </c>
      <c r="E125" s="1443" t="s">
        <v>21</v>
      </c>
      <c r="F125" s="1565" t="s">
        <v>1294</v>
      </c>
      <c r="G125" s="64">
        <v>4200</v>
      </c>
      <c r="H125" s="201">
        <v>0</v>
      </c>
      <c r="I125" s="220">
        <v>0</v>
      </c>
      <c r="J125" s="1447">
        <v>0</v>
      </c>
      <c r="K125" s="1454">
        <v>0</v>
      </c>
      <c r="L125" s="1454">
        <v>0</v>
      </c>
      <c r="M125" s="1566">
        <v>4200</v>
      </c>
      <c r="N125" s="1398">
        <v>0</v>
      </c>
      <c r="O125" s="1434">
        <v>4200</v>
      </c>
      <c r="P125" s="1434">
        <f t="shared" si="7"/>
        <v>4200</v>
      </c>
      <c r="Q125" s="1398">
        <v>0</v>
      </c>
      <c r="R125" s="1567">
        <v>0</v>
      </c>
      <c r="S125" s="1447">
        <v>0</v>
      </c>
      <c r="T125" s="1454">
        <v>0</v>
      </c>
      <c r="U125" s="1568"/>
      <c r="V125" s="1569">
        <v>0</v>
      </c>
      <c r="W125" s="1454">
        <v>0</v>
      </c>
      <c r="X125" s="1570">
        <v>0</v>
      </c>
      <c r="Y125" s="1570">
        <v>0</v>
      </c>
      <c r="Z125" s="1568">
        <v>0</v>
      </c>
      <c r="AA125" s="219" t="s">
        <v>859</v>
      </c>
      <c r="AB125" s="61" t="s">
        <v>13</v>
      </c>
      <c r="AC125" s="1571" t="s">
        <v>821</v>
      </c>
      <c r="AD125" s="441" t="s">
        <v>119</v>
      </c>
      <c r="AE125" s="441" t="s">
        <v>119</v>
      </c>
      <c r="AF125" s="130" t="s">
        <v>129</v>
      </c>
      <c r="AG125" s="1443" t="s">
        <v>370</v>
      </c>
    </row>
    <row r="126" spans="1:33" outlineLevel="1" x14ac:dyDescent="0.25">
      <c r="A126" s="1421" t="s">
        <v>1295</v>
      </c>
      <c r="B126" s="1564" t="s">
        <v>112</v>
      </c>
      <c r="C126" s="61" t="s">
        <v>109</v>
      </c>
      <c r="D126" s="61" t="s">
        <v>21</v>
      </c>
      <c r="E126" s="1443" t="s">
        <v>21</v>
      </c>
      <c r="F126" s="1565" t="s">
        <v>1296</v>
      </c>
      <c r="G126" s="64">
        <v>11902</v>
      </c>
      <c r="H126" s="201">
        <v>0</v>
      </c>
      <c r="I126" s="220">
        <v>0</v>
      </c>
      <c r="J126" s="1447">
        <v>0</v>
      </c>
      <c r="K126" s="1454">
        <v>0</v>
      </c>
      <c r="L126" s="1454">
        <v>0</v>
      </c>
      <c r="M126" s="1566">
        <v>11902</v>
      </c>
      <c r="N126" s="1398">
        <v>0</v>
      </c>
      <c r="O126" s="1434">
        <v>11902</v>
      </c>
      <c r="P126" s="1434">
        <f t="shared" si="7"/>
        <v>11902</v>
      </c>
      <c r="Q126" s="1398">
        <v>0</v>
      </c>
      <c r="R126" s="1567">
        <v>0</v>
      </c>
      <c r="S126" s="1447">
        <v>0</v>
      </c>
      <c r="T126" s="1454">
        <v>0</v>
      </c>
      <c r="U126" s="1568"/>
      <c r="V126" s="1569">
        <v>0</v>
      </c>
      <c r="W126" s="1454">
        <v>0</v>
      </c>
      <c r="X126" s="1570">
        <v>0</v>
      </c>
      <c r="Y126" s="1570">
        <v>0</v>
      </c>
      <c r="Z126" s="1568">
        <v>0</v>
      </c>
      <c r="AA126" s="219" t="s">
        <v>859</v>
      </c>
      <c r="AB126" s="61" t="s">
        <v>13</v>
      </c>
      <c r="AC126" s="1571" t="s">
        <v>821</v>
      </c>
      <c r="AD126" s="441" t="s">
        <v>119</v>
      </c>
      <c r="AE126" s="441" t="s">
        <v>119</v>
      </c>
      <c r="AF126" s="130" t="s">
        <v>129</v>
      </c>
      <c r="AG126" s="1443" t="s">
        <v>363</v>
      </c>
    </row>
    <row r="127" spans="1:33" outlineLevel="1" x14ac:dyDescent="0.25">
      <c r="A127" s="1421" t="s">
        <v>1297</v>
      </c>
      <c r="B127" s="1564" t="s">
        <v>112</v>
      </c>
      <c r="C127" s="61" t="s">
        <v>109</v>
      </c>
      <c r="D127" s="61" t="s">
        <v>21</v>
      </c>
      <c r="E127" s="1443" t="s">
        <v>21</v>
      </c>
      <c r="F127" s="1565" t="s">
        <v>1298</v>
      </c>
      <c r="G127" s="64">
        <v>5719</v>
      </c>
      <c r="H127" s="201">
        <v>0</v>
      </c>
      <c r="I127" s="220">
        <v>0</v>
      </c>
      <c r="J127" s="1447">
        <v>0</v>
      </c>
      <c r="K127" s="1454">
        <v>0</v>
      </c>
      <c r="L127" s="1454">
        <v>0</v>
      </c>
      <c r="M127" s="1566">
        <v>5719</v>
      </c>
      <c r="N127" s="1398">
        <v>0</v>
      </c>
      <c r="O127" s="1434">
        <v>5719</v>
      </c>
      <c r="P127" s="1434">
        <f t="shared" si="7"/>
        <v>5719</v>
      </c>
      <c r="Q127" s="1398">
        <v>0</v>
      </c>
      <c r="R127" s="1567">
        <v>0</v>
      </c>
      <c r="S127" s="1447">
        <v>0</v>
      </c>
      <c r="T127" s="1454">
        <v>0</v>
      </c>
      <c r="U127" s="1568"/>
      <c r="V127" s="1569">
        <v>0</v>
      </c>
      <c r="W127" s="1454">
        <v>0</v>
      </c>
      <c r="X127" s="1570">
        <v>0</v>
      </c>
      <c r="Y127" s="1570">
        <v>0</v>
      </c>
      <c r="Z127" s="1568">
        <v>0</v>
      </c>
      <c r="AA127" s="219" t="s">
        <v>859</v>
      </c>
      <c r="AB127" s="61" t="s">
        <v>13</v>
      </c>
      <c r="AC127" s="1571" t="s">
        <v>821</v>
      </c>
      <c r="AD127" s="441" t="s">
        <v>119</v>
      </c>
      <c r="AE127" s="441" t="s">
        <v>119</v>
      </c>
      <c r="AF127" s="130" t="s">
        <v>129</v>
      </c>
      <c r="AG127" s="1443" t="s">
        <v>363</v>
      </c>
    </row>
    <row r="128" spans="1:33" outlineLevel="1" x14ac:dyDescent="0.25">
      <c r="A128" s="1421" t="s">
        <v>1299</v>
      </c>
      <c r="B128" s="1564" t="s">
        <v>112</v>
      </c>
      <c r="C128" s="61" t="s">
        <v>109</v>
      </c>
      <c r="D128" s="61" t="s">
        <v>21</v>
      </c>
      <c r="E128" s="1443" t="s">
        <v>21</v>
      </c>
      <c r="F128" s="1565" t="s">
        <v>1300</v>
      </c>
      <c r="G128" s="64">
        <v>5000</v>
      </c>
      <c r="H128" s="201">
        <v>0</v>
      </c>
      <c r="I128" s="220">
        <v>0</v>
      </c>
      <c r="J128" s="1447">
        <v>0</v>
      </c>
      <c r="K128" s="1454">
        <v>0</v>
      </c>
      <c r="L128" s="1454">
        <v>0</v>
      </c>
      <c r="M128" s="1566">
        <v>5000</v>
      </c>
      <c r="N128" s="1398">
        <v>0</v>
      </c>
      <c r="O128" s="1434">
        <v>5000</v>
      </c>
      <c r="P128" s="1434">
        <f t="shared" si="7"/>
        <v>5000</v>
      </c>
      <c r="Q128" s="1398">
        <v>0</v>
      </c>
      <c r="R128" s="1567">
        <v>0</v>
      </c>
      <c r="S128" s="1447">
        <v>0</v>
      </c>
      <c r="T128" s="1454">
        <v>0</v>
      </c>
      <c r="U128" s="1568"/>
      <c r="V128" s="1569">
        <v>0</v>
      </c>
      <c r="W128" s="1454">
        <v>0</v>
      </c>
      <c r="X128" s="1570">
        <v>0</v>
      </c>
      <c r="Y128" s="1570">
        <v>0</v>
      </c>
      <c r="Z128" s="1568">
        <v>0</v>
      </c>
      <c r="AA128" s="219" t="s">
        <v>859</v>
      </c>
      <c r="AB128" s="61" t="s">
        <v>13</v>
      </c>
      <c r="AC128" s="1571" t="s">
        <v>821</v>
      </c>
      <c r="AD128" s="441" t="s">
        <v>119</v>
      </c>
      <c r="AE128" s="441" t="s">
        <v>119</v>
      </c>
      <c r="AF128" s="130" t="s">
        <v>129</v>
      </c>
      <c r="AG128" s="1443" t="s">
        <v>363</v>
      </c>
    </row>
    <row r="129" spans="1:33" ht="25.5" outlineLevel="1" x14ac:dyDescent="0.25">
      <c r="A129" s="1421" t="s">
        <v>1301</v>
      </c>
      <c r="B129" s="1564" t="s">
        <v>112</v>
      </c>
      <c r="C129" s="61" t="s">
        <v>109</v>
      </c>
      <c r="D129" s="61" t="s">
        <v>21</v>
      </c>
      <c r="E129" s="1443" t="s">
        <v>21</v>
      </c>
      <c r="F129" s="1565" t="s">
        <v>1302</v>
      </c>
      <c r="G129" s="64">
        <v>19500</v>
      </c>
      <c r="H129" s="201">
        <v>0</v>
      </c>
      <c r="I129" s="220">
        <v>0</v>
      </c>
      <c r="J129" s="1447">
        <v>0</v>
      </c>
      <c r="K129" s="1454">
        <v>0</v>
      </c>
      <c r="L129" s="1454">
        <v>0</v>
      </c>
      <c r="M129" s="1566">
        <v>19500</v>
      </c>
      <c r="N129" s="1398">
        <v>0</v>
      </c>
      <c r="O129" s="1434">
        <v>19500</v>
      </c>
      <c r="P129" s="1434">
        <f t="shared" si="7"/>
        <v>19500</v>
      </c>
      <c r="Q129" s="1398">
        <v>0</v>
      </c>
      <c r="R129" s="1567">
        <v>0</v>
      </c>
      <c r="S129" s="1447">
        <v>0</v>
      </c>
      <c r="T129" s="1454">
        <v>0</v>
      </c>
      <c r="U129" s="1568"/>
      <c r="V129" s="1569">
        <v>0</v>
      </c>
      <c r="W129" s="1454">
        <v>0</v>
      </c>
      <c r="X129" s="1570">
        <v>0</v>
      </c>
      <c r="Y129" s="1570">
        <v>0</v>
      </c>
      <c r="Z129" s="1568">
        <v>0</v>
      </c>
      <c r="AA129" s="219" t="s">
        <v>859</v>
      </c>
      <c r="AB129" s="61" t="s">
        <v>13</v>
      </c>
      <c r="AC129" s="1571" t="s">
        <v>821</v>
      </c>
      <c r="AD129" s="441" t="s">
        <v>119</v>
      </c>
      <c r="AE129" s="441" t="s">
        <v>119</v>
      </c>
      <c r="AF129" s="130" t="s">
        <v>129</v>
      </c>
      <c r="AG129" s="1443" t="s">
        <v>374</v>
      </c>
    </row>
    <row r="130" spans="1:33" ht="25.5" outlineLevel="1" x14ac:dyDescent="0.25">
      <c r="A130" s="1421" t="s">
        <v>1303</v>
      </c>
      <c r="B130" s="1564" t="s">
        <v>112</v>
      </c>
      <c r="C130" s="61" t="s">
        <v>109</v>
      </c>
      <c r="D130" s="61" t="s">
        <v>21</v>
      </c>
      <c r="E130" s="1443" t="s">
        <v>21</v>
      </c>
      <c r="F130" s="1565" t="s">
        <v>1304</v>
      </c>
      <c r="G130" s="64">
        <v>19850</v>
      </c>
      <c r="H130" s="201">
        <v>0</v>
      </c>
      <c r="I130" s="220">
        <v>0</v>
      </c>
      <c r="J130" s="1447">
        <v>0</v>
      </c>
      <c r="K130" s="1454">
        <v>0</v>
      </c>
      <c r="L130" s="1454">
        <v>0</v>
      </c>
      <c r="M130" s="1566">
        <v>19850</v>
      </c>
      <c r="N130" s="1398">
        <v>0</v>
      </c>
      <c r="O130" s="1434">
        <v>19850</v>
      </c>
      <c r="P130" s="1434">
        <f t="shared" si="7"/>
        <v>19850</v>
      </c>
      <c r="Q130" s="1398">
        <v>0</v>
      </c>
      <c r="R130" s="1567">
        <v>0</v>
      </c>
      <c r="S130" s="1447">
        <v>0</v>
      </c>
      <c r="T130" s="1454">
        <v>0</v>
      </c>
      <c r="U130" s="1568"/>
      <c r="V130" s="1569">
        <v>0</v>
      </c>
      <c r="W130" s="1454">
        <v>0</v>
      </c>
      <c r="X130" s="1570">
        <v>0</v>
      </c>
      <c r="Y130" s="1570">
        <v>0</v>
      </c>
      <c r="Z130" s="1568">
        <v>0</v>
      </c>
      <c r="AA130" s="219" t="s">
        <v>859</v>
      </c>
      <c r="AB130" s="61" t="s">
        <v>13</v>
      </c>
      <c r="AC130" s="1571" t="s">
        <v>821</v>
      </c>
      <c r="AD130" s="441" t="s">
        <v>119</v>
      </c>
      <c r="AE130" s="441" t="s">
        <v>119</v>
      </c>
      <c r="AF130" s="130" t="s">
        <v>129</v>
      </c>
      <c r="AG130" s="1443" t="s">
        <v>374</v>
      </c>
    </row>
    <row r="131" spans="1:33" outlineLevel="1" x14ac:dyDescent="0.25">
      <c r="A131" s="1421" t="s">
        <v>1305</v>
      </c>
      <c r="B131" s="1564" t="s">
        <v>112</v>
      </c>
      <c r="C131" s="61" t="s">
        <v>109</v>
      </c>
      <c r="D131" s="61" t="s">
        <v>21</v>
      </c>
      <c r="E131" s="1443" t="s">
        <v>21</v>
      </c>
      <c r="F131" s="1565" t="s">
        <v>1306</v>
      </c>
      <c r="G131" s="64">
        <v>11000</v>
      </c>
      <c r="H131" s="201">
        <v>0</v>
      </c>
      <c r="I131" s="220">
        <v>0</v>
      </c>
      <c r="J131" s="1447">
        <v>0</v>
      </c>
      <c r="K131" s="1454">
        <v>0</v>
      </c>
      <c r="L131" s="1454">
        <v>0</v>
      </c>
      <c r="M131" s="1566">
        <v>11000</v>
      </c>
      <c r="N131" s="1398">
        <v>0</v>
      </c>
      <c r="O131" s="1434">
        <v>11000</v>
      </c>
      <c r="P131" s="1434">
        <f t="shared" si="7"/>
        <v>11000</v>
      </c>
      <c r="Q131" s="1398">
        <v>0</v>
      </c>
      <c r="R131" s="1567">
        <v>0</v>
      </c>
      <c r="S131" s="1447">
        <v>0</v>
      </c>
      <c r="T131" s="1454">
        <v>0</v>
      </c>
      <c r="U131" s="1568"/>
      <c r="V131" s="1569">
        <v>0</v>
      </c>
      <c r="W131" s="1454">
        <v>0</v>
      </c>
      <c r="X131" s="1570">
        <v>0</v>
      </c>
      <c r="Y131" s="1570">
        <v>0</v>
      </c>
      <c r="Z131" s="1568">
        <v>0</v>
      </c>
      <c r="AA131" s="219" t="s">
        <v>859</v>
      </c>
      <c r="AB131" s="61" t="s">
        <v>13</v>
      </c>
      <c r="AC131" s="1571" t="s">
        <v>821</v>
      </c>
      <c r="AD131" s="441" t="s">
        <v>119</v>
      </c>
      <c r="AE131" s="441" t="s">
        <v>119</v>
      </c>
      <c r="AF131" s="130" t="s">
        <v>127</v>
      </c>
      <c r="AG131" s="1443" t="s">
        <v>362</v>
      </c>
    </row>
    <row r="132" spans="1:33" outlineLevel="1" x14ac:dyDescent="0.25">
      <c r="A132" s="1421" t="s">
        <v>1307</v>
      </c>
      <c r="B132" s="1564" t="s">
        <v>112</v>
      </c>
      <c r="C132" s="61" t="s">
        <v>109</v>
      </c>
      <c r="D132" s="61" t="s">
        <v>21</v>
      </c>
      <c r="E132" s="1443" t="s">
        <v>21</v>
      </c>
      <c r="F132" s="1565" t="s">
        <v>1308</v>
      </c>
      <c r="G132" s="64">
        <v>17500</v>
      </c>
      <c r="H132" s="201">
        <v>0</v>
      </c>
      <c r="I132" s="220">
        <v>0</v>
      </c>
      <c r="J132" s="1447">
        <v>0</v>
      </c>
      <c r="K132" s="1454">
        <v>0</v>
      </c>
      <c r="L132" s="1454">
        <v>0</v>
      </c>
      <c r="M132" s="1566">
        <v>17500</v>
      </c>
      <c r="N132" s="1398">
        <v>0</v>
      </c>
      <c r="O132" s="1434">
        <v>17500</v>
      </c>
      <c r="P132" s="1434">
        <f t="shared" si="7"/>
        <v>17500</v>
      </c>
      <c r="Q132" s="1398">
        <v>0</v>
      </c>
      <c r="R132" s="1567">
        <v>0</v>
      </c>
      <c r="S132" s="1447">
        <v>0</v>
      </c>
      <c r="T132" s="1454">
        <v>0</v>
      </c>
      <c r="U132" s="1568"/>
      <c r="V132" s="1569">
        <v>0</v>
      </c>
      <c r="W132" s="1454">
        <v>0</v>
      </c>
      <c r="X132" s="1570">
        <v>0</v>
      </c>
      <c r="Y132" s="1570">
        <v>0</v>
      </c>
      <c r="Z132" s="1568">
        <v>0</v>
      </c>
      <c r="AA132" s="219" t="s">
        <v>859</v>
      </c>
      <c r="AB132" s="61" t="s">
        <v>13</v>
      </c>
      <c r="AC132" s="1571" t="s">
        <v>821</v>
      </c>
      <c r="AD132" s="441" t="s">
        <v>119</v>
      </c>
      <c r="AE132" s="441" t="s">
        <v>119</v>
      </c>
      <c r="AF132" s="130" t="s">
        <v>127</v>
      </c>
      <c r="AG132" s="1443" t="s">
        <v>362</v>
      </c>
    </row>
    <row r="133" spans="1:33" outlineLevel="1" x14ac:dyDescent="0.25">
      <c r="A133" s="1421" t="s">
        <v>1309</v>
      </c>
      <c r="B133" s="1564" t="s">
        <v>112</v>
      </c>
      <c r="C133" s="61" t="s">
        <v>109</v>
      </c>
      <c r="D133" s="61" t="s">
        <v>21</v>
      </c>
      <c r="E133" s="1443" t="s">
        <v>21</v>
      </c>
      <c r="F133" s="1565" t="s">
        <v>1310</v>
      </c>
      <c r="G133" s="64">
        <v>15500</v>
      </c>
      <c r="H133" s="201">
        <v>0</v>
      </c>
      <c r="I133" s="220">
        <v>0</v>
      </c>
      <c r="J133" s="1447">
        <v>0</v>
      </c>
      <c r="K133" s="1454">
        <v>0</v>
      </c>
      <c r="L133" s="1454">
        <v>0</v>
      </c>
      <c r="M133" s="1566">
        <v>15500</v>
      </c>
      <c r="N133" s="1398">
        <v>0</v>
      </c>
      <c r="O133" s="1434">
        <v>15500</v>
      </c>
      <c r="P133" s="1434">
        <f t="shared" si="7"/>
        <v>15500</v>
      </c>
      <c r="Q133" s="1398">
        <v>0</v>
      </c>
      <c r="R133" s="1567">
        <v>0</v>
      </c>
      <c r="S133" s="1447">
        <v>0</v>
      </c>
      <c r="T133" s="1454">
        <v>0</v>
      </c>
      <c r="U133" s="1568"/>
      <c r="V133" s="1569">
        <v>0</v>
      </c>
      <c r="W133" s="1454">
        <v>0</v>
      </c>
      <c r="X133" s="1570">
        <v>0</v>
      </c>
      <c r="Y133" s="1570">
        <v>0</v>
      </c>
      <c r="Z133" s="1568">
        <v>0</v>
      </c>
      <c r="AA133" s="219" t="s">
        <v>859</v>
      </c>
      <c r="AB133" s="61" t="s">
        <v>13</v>
      </c>
      <c r="AC133" s="1571" t="s">
        <v>821</v>
      </c>
      <c r="AD133" s="441" t="s">
        <v>119</v>
      </c>
      <c r="AE133" s="441" t="s">
        <v>119</v>
      </c>
      <c r="AF133" s="130" t="s">
        <v>127</v>
      </c>
      <c r="AG133" s="1443" t="s">
        <v>387</v>
      </c>
    </row>
    <row r="134" spans="1:33" s="316" customFormat="1" ht="15.75" outlineLevel="1" thickBot="1" x14ac:dyDescent="0.3">
      <c r="A134" s="244" t="s">
        <v>124</v>
      </c>
      <c r="B134" s="124" t="s">
        <v>124</v>
      </c>
      <c r="C134" s="258" t="s">
        <v>124</v>
      </c>
      <c r="D134" s="339" t="s">
        <v>124</v>
      </c>
      <c r="E134" s="339" t="s">
        <v>124</v>
      </c>
      <c r="F134" s="580" t="s">
        <v>124</v>
      </c>
      <c r="G134" s="243" t="s">
        <v>124</v>
      </c>
      <c r="H134" s="243" t="s">
        <v>124</v>
      </c>
      <c r="I134" s="288"/>
      <c r="J134" s="187" t="s">
        <v>124</v>
      </c>
      <c r="K134" s="136" t="s">
        <v>124</v>
      </c>
      <c r="L134" s="136" t="s">
        <v>124</v>
      </c>
      <c r="M134" s="128" t="s">
        <v>124</v>
      </c>
      <c r="N134" s="737" t="s">
        <v>124</v>
      </c>
      <c r="O134" s="768" t="s">
        <v>124</v>
      </c>
      <c r="P134" s="737" t="s">
        <v>124</v>
      </c>
      <c r="Q134" s="68" t="s">
        <v>124</v>
      </c>
      <c r="R134" s="188" t="s">
        <v>124</v>
      </c>
      <c r="S134" s="187" t="s">
        <v>124</v>
      </c>
      <c r="T134" s="136" t="s">
        <v>124</v>
      </c>
      <c r="U134" s="134" t="s">
        <v>124</v>
      </c>
      <c r="V134" s="187" t="s">
        <v>124</v>
      </c>
      <c r="W134" s="138" t="s">
        <v>124</v>
      </c>
      <c r="X134" s="138" t="s">
        <v>124</v>
      </c>
      <c r="Y134" s="138" t="s">
        <v>124</v>
      </c>
      <c r="Z134" s="128" t="s">
        <v>124</v>
      </c>
      <c r="AA134" s="128" t="s">
        <v>124</v>
      </c>
      <c r="AB134" s="258" t="s">
        <v>124</v>
      </c>
      <c r="AC134" s="31" t="s">
        <v>124</v>
      </c>
      <c r="AD134" s="31" t="s">
        <v>124</v>
      </c>
      <c r="AE134" s="31" t="s">
        <v>124</v>
      </c>
      <c r="AF134" s="27" t="s">
        <v>124</v>
      </c>
      <c r="AG134" s="339" t="s">
        <v>124</v>
      </c>
    </row>
    <row r="135" spans="1:33" ht="39" thickBot="1" x14ac:dyDescent="0.3">
      <c r="A135" s="114" t="s">
        <v>109</v>
      </c>
      <c r="B135" s="302" t="s">
        <v>109</v>
      </c>
      <c r="C135" s="12" t="s">
        <v>109</v>
      </c>
      <c r="D135" s="336" t="s">
        <v>109</v>
      </c>
      <c r="E135" s="336" t="s">
        <v>109</v>
      </c>
      <c r="F135" s="127" t="s">
        <v>136</v>
      </c>
      <c r="G135" s="341">
        <f>SUM(G31:G134)</f>
        <v>3245230.8492700006</v>
      </c>
      <c r="H135" s="341">
        <f t="shared" ref="H135:K135" si="8">SUM(H31:H134)</f>
        <v>787453.63940999995</v>
      </c>
      <c r="I135" s="341">
        <f t="shared" si="8"/>
        <v>428089.02484000003</v>
      </c>
      <c r="J135" s="341">
        <f t="shared" si="8"/>
        <v>50289.654009999998</v>
      </c>
      <c r="K135" s="341">
        <f t="shared" si="8"/>
        <v>147944.363568</v>
      </c>
      <c r="L135" s="341">
        <f t="shared" ref="L135:Z135" si="9">SUM(L31:L134)</f>
        <v>173852.042181</v>
      </c>
      <c r="M135" s="341">
        <f t="shared" si="9"/>
        <v>456646.25930099993</v>
      </c>
      <c r="N135" s="341">
        <f t="shared" si="9"/>
        <v>809712.23977999971</v>
      </c>
      <c r="O135" s="341">
        <f t="shared" si="9"/>
        <v>19020.079280000005</v>
      </c>
      <c r="P135" s="341">
        <f t="shared" si="9"/>
        <v>828732.31906000001</v>
      </c>
      <c r="Q135" s="341">
        <f t="shared" si="9"/>
        <v>385271</v>
      </c>
      <c r="R135" s="341">
        <f t="shared" si="9"/>
        <v>711810.18261000002</v>
      </c>
      <c r="S135" s="341">
        <f t="shared" si="9"/>
        <v>18921.683349999999</v>
      </c>
      <c r="T135" s="341">
        <f t="shared" si="9"/>
        <v>84953</v>
      </c>
      <c r="U135" s="341">
        <f t="shared" si="9"/>
        <v>0</v>
      </c>
      <c r="V135" s="341">
        <f t="shared" si="9"/>
        <v>234639.61905000001</v>
      </c>
      <c r="W135" s="341">
        <f t="shared" si="9"/>
        <v>115635.26232000001</v>
      </c>
      <c r="X135" s="341">
        <f t="shared" si="9"/>
        <v>0</v>
      </c>
      <c r="Y135" s="341">
        <f t="shared" si="9"/>
        <v>119004.35672999998</v>
      </c>
      <c r="Z135" s="341">
        <f t="shared" si="9"/>
        <v>0</v>
      </c>
      <c r="AA135" s="14" t="s">
        <v>1231</v>
      </c>
      <c r="AB135" s="12" t="s">
        <v>109</v>
      </c>
      <c r="AC135" s="261" t="s">
        <v>109</v>
      </c>
      <c r="AD135" s="77" t="s">
        <v>109</v>
      </c>
      <c r="AE135" s="261" t="s">
        <v>109</v>
      </c>
      <c r="AF135" s="50" t="s">
        <v>109</v>
      </c>
      <c r="AG135" s="336" t="s">
        <v>109</v>
      </c>
    </row>
    <row r="136" spans="1:33" ht="30" outlineLevel="1" x14ac:dyDescent="0.25">
      <c r="A136" s="602" t="s">
        <v>447</v>
      </c>
      <c r="B136" s="1574" t="s">
        <v>953</v>
      </c>
      <c r="C136" s="33" t="s">
        <v>158</v>
      </c>
      <c r="D136" s="368" t="s">
        <v>9</v>
      </c>
      <c r="E136" s="374" t="s">
        <v>27</v>
      </c>
      <c r="F136" s="849" t="s">
        <v>28</v>
      </c>
      <c r="G136" s="319">
        <v>17735.187600000001</v>
      </c>
      <c r="H136" s="622">
        <v>17014.405350000001</v>
      </c>
      <c r="I136" s="182">
        <v>0</v>
      </c>
      <c r="J136" s="806">
        <v>0</v>
      </c>
      <c r="K136" s="807">
        <v>216.23467500000004</v>
      </c>
      <c r="L136" s="807">
        <v>0</v>
      </c>
      <c r="M136" s="808">
        <v>504.54757499999994</v>
      </c>
      <c r="N136" s="732">
        <v>720.78224999999998</v>
      </c>
      <c r="O136" s="759">
        <v>0</v>
      </c>
      <c r="P136" s="345">
        <f t="shared" ref="P136:P166" si="10">N136+O136</f>
        <v>720.78224999999998</v>
      </c>
      <c r="Q136" s="625">
        <v>0</v>
      </c>
      <c r="R136" s="623">
        <v>0</v>
      </c>
      <c r="S136" s="806">
        <v>0</v>
      </c>
      <c r="T136" s="807">
        <v>0</v>
      </c>
      <c r="U136" s="823">
        <v>0</v>
      </c>
      <c r="V136" s="609">
        <v>0</v>
      </c>
      <c r="W136" s="600">
        <v>0</v>
      </c>
      <c r="X136" s="852">
        <v>0</v>
      </c>
      <c r="Y136" s="852">
        <v>0</v>
      </c>
      <c r="Z136" s="626">
        <v>0</v>
      </c>
      <c r="AA136" s="385" t="s">
        <v>332</v>
      </c>
      <c r="AB136" s="33" t="s">
        <v>309</v>
      </c>
      <c r="AC136" s="787" t="s">
        <v>234</v>
      </c>
      <c r="AD136" s="787" t="s">
        <v>120</v>
      </c>
      <c r="AE136" s="787" t="s">
        <v>120</v>
      </c>
      <c r="AF136" s="375" t="s">
        <v>128</v>
      </c>
      <c r="AG136" s="253" t="s">
        <v>387</v>
      </c>
    </row>
    <row r="137" spans="1:33" ht="51" outlineLevel="1" x14ac:dyDescent="0.25">
      <c r="A137" s="988" t="s">
        <v>448</v>
      </c>
      <c r="B137" s="1575" t="s">
        <v>954</v>
      </c>
      <c r="C137" s="1576" t="s">
        <v>157</v>
      </c>
      <c r="D137" s="1577" t="s">
        <v>9</v>
      </c>
      <c r="E137" s="1578" t="s">
        <v>29</v>
      </c>
      <c r="F137" s="1579" t="s">
        <v>30</v>
      </c>
      <c r="G137" s="1580">
        <f>104982.385+3149.47155+1989.802+8273.63773</f>
        <v>118395.29628</v>
      </c>
      <c r="H137" s="1581">
        <v>3677.77925</v>
      </c>
      <c r="I137" s="2097">
        <v>41680.917440000005</v>
      </c>
      <c r="J137" s="1169">
        <v>18259.149897499999</v>
      </c>
      <c r="K137" s="1582">
        <v>18259.149897499999</v>
      </c>
      <c r="L137" s="1582">
        <v>18259.149897499999</v>
      </c>
      <c r="M137" s="1583">
        <v>18259.149897499999</v>
      </c>
      <c r="N137" s="1171">
        <v>64762.961859999996</v>
      </c>
      <c r="O137" s="1172">
        <v>8273.6377300000004</v>
      </c>
      <c r="P137" s="1173">
        <f t="shared" si="10"/>
        <v>73036.599589999998</v>
      </c>
      <c r="Q137" s="1584">
        <v>0</v>
      </c>
      <c r="R137" s="1585">
        <v>0</v>
      </c>
      <c r="S137" s="1586">
        <v>0</v>
      </c>
      <c r="T137" s="1582">
        <v>0</v>
      </c>
      <c r="U137" s="1587">
        <v>0</v>
      </c>
      <c r="V137" s="1588">
        <v>105000</v>
      </c>
      <c r="W137" s="1589">
        <v>43320.49469</v>
      </c>
      <c r="X137" s="1590">
        <v>0</v>
      </c>
      <c r="Y137" s="1591">
        <f>67137.14416-5457.63885</f>
        <v>61679.505309999993</v>
      </c>
      <c r="Z137" s="1592">
        <v>0</v>
      </c>
      <c r="AA137" s="1602" t="s">
        <v>1410</v>
      </c>
      <c r="AB137" s="1576" t="s">
        <v>16</v>
      </c>
      <c r="AC137" s="1593" t="s">
        <v>234</v>
      </c>
      <c r="AD137" s="1593" t="s">
        <v>120</v>
      </c>
      <c r="AE137" s="1593" t="s">
        <v>120</v>
      </c>
      <c r="AF137" s="376" t="s">
        <v>128</v>
      </c>
      <c r="AG137" s="1578" t="s">
        <v>365</v>
      </c>
    </row>
    <row r="138" spans="1:33" ht="30" outlineLevel="1" x14ac:dyDescent="0.25">
      <c r="A138" s="1594" t="s">
        <v>449</v>
      </c>
      <c r="B138" s="1595" t="s">
        <v>955</v>
      </c>
      <c r="C138" s="52" t="s">
        <v>168</v>
      </c>
      <c r="D138" s="52" t="s">
        <v>175</v>
      </c>
      <c r="E138" s="52" t="s">
        <v>175</v>
      </c>
      <c r="F138" s="1596" t="s">
        <v>476</v>
      </c>
      <c r="G138" s="1581">
        <f>24585.773+2500+525</f>
        <v>27610.773000000001</v>
      </c>
      <c r="H138" s="1597">
        <v>585.77300000000002</v>
      </c>
      <c r="I138" s="2098">
        <v>2080.2382400000001</v>
      </c>
      <c r="J138" s="1598">
        <v>2500</v>
      </c>
      <c r="K138" s="1170">
        <v>6575.9285280000022</v>
      </c>
      <c r="L138" s="1170">
        <v>10000</v>
      </c>
      <c r="M138" s="1599">
        <f>5343.833232+525</f>
        <v>5868.833232</v>
      </c>
      <c r="N138" s="1171">
        <v>21919.761760000001</v>
      </c>
      <c r="O138" s="1172">
        <f>2500+525</f>
        <v>3025</v>
      </c>
      <c r="P138" s="1173">
        <f t="shared" si="10"/>
        <v>24944.761760000001</v>
      </c>
      <c r="Q138" s="1600">
        <v>0</v>
      </c>
      <c r="R138" s="1601">
        <v>0</v>
      </c>
      <c r="S138" s="1169">
        <v>0</v>
      </c>
      <c r="T138" s="1170">
        <v>0</v>
      </c>
      <c r="U138" s="1178">
        <v>0</v>
      </c>
      <c r="V138" s="1179">
        <v>0</v>
      </c>
      <c r="W138" s="1182">
        <v>0</v>
      </c>
      <c r="X138" s="1181">
        <v>0</v>
      </c>
      <c r="Y138" s="1182">
        <v>0</v>
      </c>
      <c r="Z138" s="1183">
        <v>0</v>
      </c>
      <c r="AA138" s="1602" t="s">
        <v>1311</v>
      </c>
      <c r="AB138" s="52" t="s">
        <v>16</v>
      </c>
      <c r="AC138" s="1603" t="s">
        <v>325</v>
      </c>
      <c r="AD138" s="1603" t="s">
        <v>120</v>
      </c>
      <c r="AE138" s="1603" t="s">
        <v>120</v>
      </c>
      <c r="AF138" s="376" t="s">
        <v>128</v>
      </c>
      <c r="AG138" s="1578" t="s">
        <v>362</v>
      </c>
    </row>
    <row r="139" spans="1:33" ht="25.5" outlineLevel="1" x14ac:dyDescent="0.25">
      <c r="A139" s="23" t="s">
        <v>450</v>
      </c>
      <c r="B139" s="13" t="s">
        <v>956</v>
      </c>
      <c r="C139" s="5" t="s">
        <v>398</v>
      </c>
      <c r="D139" s="426" t="s">
        <v>9</v>
      </c>
      <c r="E139" s="1604" t="s">
        <v>31</v>
      </c>
      <c r="F139" s="478" t="s">
        <v>32</v>
      </c>
      <c r="G139" s="1">
        <f>69390.465+1254.802+5968.67241+985.0158+316.778-0.00349</f>
        <v>77915.729719999988</v>
      </c>
      <c r="H139" s="618">
        <v>71371.520969999998</v>
      </c>
      <c r="I139" s="2099">
        <v>6544.2087499999989</v>
      </c>
      <c r="J139" s="452">
        <v>0</v>
      </c>
      <c r="K139" s="41">
        <v>0</v>
      </c>
      <c r="L139" s="41">
        <v>0</v>
      </c>
      <c r="M139" s="479">
        <v>0</v>
      </c>
      <c r="N139" s="524">
        <v>0</v>
      </c>
      <c r="O139" s="285">
        <v>0</v>
      </c>
      <c r="P139" s="272">
        <f t="shared" si="10"/>
        <v>0</v>
      </c>
      <c r="Q139" s="833">
        <v>0</v>
      </c>
      <c r="R139" s="834">
        <v>0</v>
      </c>
      <c r="S139" s="452">
        <v>0</v>
      </c>
      <c r="T139" s="41">
        <v>0</v>
      </c>
      <c r="U139" s="679">
        <v>0</v>
      </c>
      <c r="V139" s="429">
        <f>56410.98745-0.00349</f>
        <v>56410.983959999998</v>
      </c>
      <c r="W139" s="434">
        <v>56410.98395999999</v>
      </c>
      <c r="X139" s="236">
        <v>0</v>
      </c>
      <c r="Y139" s="434">
        <v>0</v>
      </c>
      <c r="Z139" s="431">
        <v>0</v>
      </c>
      <c r="AA139" s="53" t="s">
        <v>109</v>
      </c>
      <c r="AB139" s="5" t="s">
        <v>123</v>
      </c>
      <c r="AC139" s="526" t="s">
        <v>260</v>
      </c>
      <c r="AD139" s="435" t="s">
        <v>120</v>
      </c>
      <c r="AE139" s="435" t="s">
        <v>120</v>
      </c>
      <c r="AF139" s="435" t="s">
        <v>128</v>
      </c>
      <c r="AG139" s="426" t="s">
        <v>367</v>
      </c>
    </row>
    <row r="140" spans="1:33" ht="25.5" outlineLevel="1" x14ac:dyDescent="0.25">
      <c r="A140" s="1605" t="s">
        <v>451</v>
      </c>
      <c r="B140" s="1595" t="s">
        <v>957</v>
      </c>
      <c r="C140" s="52" t="s">
        <v>153</v>
      </c>
      <c r="D140" s="1606" t="s">
        <v>35</v>
      </c>
      <c r="E140" s="1606" t="s">
        <v>35</v>
      </c>
      <c r="F140" s="1596" t="s">
        <v>425</v>
      </c>
      <c r="G140" s="1581">
        <v>18723.79</v>
      </c>
      <c r="H140" s="1479">
        <v>603.79</v>
      </c>
      <c r="I140" s="2100">
        <v>0</v>
      </c>
      <c r="J140" s="1169">
        <v>0</v>
      </c>
      <c r="K140" s="1170">
        <v>2040</v>
      </c>
      <c r="L140" s="1170">
        <v>10040</v>
      </c>
      <c r="M140" s="1607">
        <v>6040</v>
      </c>
      <c r="N140" s="1171">
        <v>13220.21</v>
      </c>
      <c r="O140" s="1172">
        <v>4899.79</v>
      </c>
      <c r="P140" s="1173">
        <f t="shared" si="10"/>
        <v>18120</v>
      </c>
      <c r="Q140" s="1600">
        <v>0</v>
      </c>
      <c r="R140" s="1601">
        <v>0</v>
      </c>
      <c r="S140" s="1169">
        <v>0</v>
      </c>
      <c r="T140" s="1170">
        <v>0</v>
      </c>
      <c r="U140" s="1178">
        <v>0</v>
      </c>
      <c r="V140" s="1179">
        <v>0</v>
      </c>
      <c r="W140" s="1182">
        <v>0</v>
      </c>
      <c r="X140" s="1181">
        <v>0</v>
      </c>
      <c r="Y140" s="1182">
        <v>0</v>
      </c>
      <c r="Z140" s="1183">
        <v>0</v>
      </c>
      <c r="AA140" s="1843" t="s">
        <v>1312</v>
      </c>
      <c r="AB140" s="52" t="s">
        <v>11</v>
      </c>
      <c r="AC140" s="1603" t="s">
        <v>493</v>
      </c>
      <c r="AD140" s="1603" t="s">
        <v>119</v>
      </c>
      <c r="AE140" s="1603" t="s">
        <v>119</v>
      </c>
      <c r="AF140" s="376" t="s">
        <v>129</v>
      </c>
      <c r="AG140" s="1578" t="s">
        <v>368</v>
      </c>
    </row>
    <row r="141" spans="1:33" ht="25.5" outlineLevel="1" x14ac:dyDescent="0.25">
      <c r="A141" s="962" t="s">
        <v>452</v>
      </c>
      <c r="B141" s="881" t="s">
        <v>958</v>
      </c>
      <c r="C141" s="71" t="s">
        <v>153</v>
      </c>
      <c r="D141" s="838" t="s">
        <v>9</v>
      </c>
      <c r="E141" s="839" t="s">
        <v>36</v>
      </c>
      <c r="F141" s="889" t="s">
        <v>426</v>
      </c>
      <c r="G141" s="83">
        <v>88000</v>
      </c>
      <c r="H141" s="113">
        <v>4516.4944000000005</v>
      </c>
      <c r="I141" s="2101">
        <v>0</v>
      </c>
      <c r="J141" s="162">
        <v>0</v>
      </c>
      <c r="K141" s="163">
        <v>3000</v>
      </c>
      <c r="L141" s="163">
        <v>0</v>
      </c>
      <c r="M141" s="164">
        <v>0</v>
      </c>
      <c r="N141" s="208">
        <v>10000</v>
      </c>
      <c r="O141" s="884">
        <v>-7000</v>
      </c>
      <c r="P141" s="885">
        <f t="shared" si="10"/>
        <v>3000</v>
      </c>
      <c r="Q141" s="185">
        <v>80483.505600000004</v>
      </c>
      <c r="R141" s="84">
        <v>0</v>
      </c>
      <c r="S141" s="162">
        <v>0</v>
      </c>
      <c r="T141" s="163">
        <v>0</v>
      </c>
      <c r="U141" s="100">
        <v>0</v>
      </c>
      <c r="V141" s="1161">
        <v>0</v>
      </c>
      <c r="W141" s="512">
        <v>0</v>
      </c>
      <c r="X141" s="1113">
        <v>0</v>
      </c>
      <c r="Y141" s="512">
        <v>0</v>
      </c>
      <c r="Z141" s="165">
        <v>0</v>
      </c>
      <c r="AA141" s="1998" t="s">
        <v>1411</v>
      </c>
      <c r="AB141" s="71" t="s">
        <v>11</v>
      </c>
      <c r="AC141" s="848" t="s">
        <v>493</v>
      </c>
      <c r="AD141" s="848" t="s">
        <v>119</v>
      </c>
      <c r="AE141" s="848" t="s">
        <v>119</v>
      </c>
      <c r="AF141" s="85" t="s">
        <v>129</v>
      </c>
      <c r="AG141" s="838" t="s">
        <v>362</v>
      </c>
    </row>
    <row r="142" spans="1:33" s="362" customFormat="1" ht="38.25" outlineLevel="1" x14ac:dyDescent="0.25">
      <c r="A142" s="23" t="s">
        <v>453</v>
      </c>
      <c r="B142" s="13" t="s">
        <v>959</v>
      </c>
      <c r="C142" s="5" t="s">
        <v>153</v>
      </c>
      <c r="D142" s="426" t="s">
        <v>9</v>
      </c>
      <c r="E142" s="477" t="s">
        <v>37</v>
      </c>
      <c r="F142" s="478" t="s">
        <v>38</v>
      </c>
      <c r="G142" s="1">
        <f>14292.75+381.66887+10.73</f>
        <v>14685.148869999999</v>
      </c>
      <c r="H142" s="1608">
        <v>14278.718870000001</v>
      </c>
      <c r="I142" s="2102">
        <v>10.73</v>
      </c>
      <c r="J142" s="452">
        <v>0</v>
      </c>
      <c r="K142" s="41">
        <v>0</v>
      </c>
      <c r="L142" s="41">
        <v>0</v>
      </c>
      <c r="M142" s="479">
        <v>0</v>
      </c>
      <c r="N142" s="485">
        <v>0</v>
      </c>
      <c r="O142" s="285">
        <v>0</v>
      </c>
      <c r="P142" s="272">
        <f t="shared" si="10"/>
        <v>0</v>
      </c>
      <c r="Q142" s="833">
        <v>0</v>
      </c>
      <c r="R142" s="834">
        <v>0</v>
      </c>
      <c r="S142" s="452">
        <v>0</v>
      </c>
      <c r="T142" s="41">
        <v>0</v>
      </c>
      <c r="U142" s="457">
        <v>395.7</v>
      </c>
      <c r="V142" s="458">
        <v>0</v>
      </c>
      <c r="W142" s="460">
        <v>0</v>
      </c>
      <c r="X142" s="381">
        <v>0</v>
      </c>
      <c r="Y142" s="460">
        <v>0</v>
      </c>
      <c r="Z142" s="461">
        <v>0</v>
      </c>
      <c r="AA142" s="53" t="s">
        <v>109</v>
      </c>
      <c r="AB142" s="5" t="s">
        <v>123</v>
      </c>
      <c r="AC142" s="526" t="s">
        <v>317</v>
      </c>
      <c r="AD142" s="526" t="s">
        <v>120</v>
      </c>
      <c r="AE142" s="526" t="s">
        <v>120</v>
      </c>
      <c r="AF142" s="435" t="s">
        <v>128</v>
      </c>
      <c r="AG142" s="426" t="s">
        <v>370</v>
      </c>
    </row>
    <row r="143" spans="1:33" ht="25.5" outlineLevel="1" x14ac:dyDescent="0.25">
      <c r="A143" s="1605" t="s">
        <v>454</v>
      </c>
      <c r="B143" s="1595" t="s">
        <v>960</v>
      </c>
      <c r="C143" s="52" t="s">
        <v>40</v>
      </c>
      <c r="D143" s="1578" t="s">
        <v>39</v>
      </c>
      <c r="E143" s="1606" t="s">
        <v>39</v>
      </c>
      <c r="F143" s="1596" t="s">
        <v>41</v>
      </c>
      <c r="G143" s="1581">
        <v>18098.52</v>
      </c>
      <c r="H143" s="1479">
        <v>498.52</v>
      </c>
      <c r="I143" s="2100">
        <v>0</v>
      </c>
      <c r="J143" s="1169">
        <v>0</v>
      </c>
      <c r="K143" s="1170">
        <v>1000</v>
      </c>
      <c r="L143" s="1170">
        <v>8300</v>
      </c>
      <c r="M143" s="1607">
        <v>8300</v>
      </c>
      <c r="N143" s="1171">
        <v>1000</v>
      </c>
      <c r="O143" s="1172">
        <v>16600</v>
      </c>
      <c r="P143" s="1173">
        <f t="shared" si="10"/>
        <v>17600</v>
      </c>
      <c r="Q143" s="1600">
        <v>0</v>
      </c>
      <c r="R143" s="1601">
        <v>0</v>
      </c>
      <c r="S143" s="1169">
        <v>0</v>
      </c>
      <c r="T143" s="1170">
        <v>0</v>
      </c>
      <c r="U143" s="1178">
        <v>0</v>
      </c>
      <c r="V143" s="1179">
        <v>0</v>
      </c>
      <c r="W143" s="1182">
        <v>0</v>
      </c>
      <c r="X143" s="1181">
        <v>0</v>
      </c>
      <c r="Y143" s="1182">
        <v>0</v>
      </c>
      <c r="Z143" s="1183">
        <v>0</v>
      </c>
      <c r="AA143" s="1843" t="s">
        <v>1412</v>
      </c>
      <c r="AB143" s="52" t="s">
        <v>11</v>
      </c>
      <c r="AC143" s="1603" t="s">
        <v>299</v>
      </c>
      <c r="AD143" s="1603" t="s">
        <v>119</v>
      </c>
      <c r="AE143" s="1603" t="s">
        <v>119</v>
      </c>
      <c r="AF143" s="376" t="s">
        <v>129</v>
      </c>
      <c r="AG143" s="1578" t="s">
        <v>367</v>
      </c>
    </row>
    <row r="144" spans="1:33" ht="25.5" outlineLevel="1" x14ac:dyDescent="0.25">
      <c r="A144" s="602" t="s">
        <v>455</v>
      </c>
      <c r="B144" s="593" t="s">
        <v>961</v>
      </c>
      <c r="C144" s="35" t="s">
        <v>40</v>
      </c>
      <c r="D144" s="259" t="s">
        <v>43</v>
      </c>
      <c r="E144" s="627" t="s">
        <v>43</v>
      </c>
      <c r="F144" s="855" t="s">
        <v>44</v>
      </c>
      <c r="G144" s="36">
        <v>3865.5</v>
      </c>
      <c r="H144" s="1609">
        <v>101.64</v>
      </c>
      <c r="I144" s="2103">
        <v>0</v>
      </c>
      <c r="J144" s="260">
        <v>0</v>
      </c>
      <c r="K144" s="343">
        <v>0</v>
      </c>
      <c r="L144" s="343">
        <v>3763.86</v>
      </c>
      <c r="M144" s="256">
        <v>0</v>
      </c>
      <c r="N144" s="732">
        <v>3763.86</v>
      </c>
      <c r="O144" s="759">
        <v>0</v>
      </c>
      <c r="P144" s="346">
        <f t="shared" si="10"/>
        <v>3763.86</v>
      </c>
      <c r="Q144" s="1610">
        <v>0</v>
      </c>
      <c r="R144" s="1611">
        <v>0</v>
      </c>
      <c r="S144" s="260">
        <v>0</v>
      </c>
      <c r="T144" s="343">
        <v>0</v>
      </c>
      <c r="U144" s="684">
        <v>0</v>
      </c>
      <c r="V144" s="1353">
        <v>0</v>
      </c>
      <c r="W144" s="685">
        <v>0</v>
      </c>
      <c r="X144" s="1154">
        <v>0</v>
      </c>
      <c r="Y144" s="685">
        <v>0</v>
      </c>
      <c r="Z144" s="687">
        <v>0</v>
      </c>
      <c r="AA144" s="382" t="s">
        <v>109</v>
      </c>
      <c r="AB144" s="35" t="s">
        <v>11</v>
      </c>
      <c r="AC144" s="448" t="s">
        <v>234</v>
      </c>
      <c r="AD144" s="448" t="s">
        <v>119</v>
      </c>
      <c r="AE144" s="448" t="s">
        <v>119</v>
      </c>
      <c r="AF144" s="342" t="s">
        <v>129</v>
      </c>
      <c r="AG144" s="259" t="s">
        <v>388</v>
      </c>
    </row>
    <row r="145" spans="1:33" ht="26.25" outlineLevel="1" thickBot="1" x14ac:dyDescent="0.3">
      <c r="A145" s="444" t="s">
        <v>456</v>
      </c>
      <c r="B145" s="475" t="s">
        <v>962</v>
      </c>
      <c r="C145" s="24" t="s">
        <v>24</v>
      </c>
      <c r="D145" s="446" t="s">
        <v>9</v>
      </c>
      <c r="E145" s="1612" t="s">
        <v>47</v>
      </c>
      <c r="F145" s="515" t="s">
        <v>427</v>
      </c>
      <c r="G145" s="516">
        <f>15020.22397-22.22057</f>
        <v>14998.0034</v>
      </c>
      <c r="H145" s="1613">
        <v>8027.6869399999996</v>
      </c>
      <c r="I145" s="2104">
        <v>6970.31646</v>
      </c>
      <c r="J145" s="463">
        <v>0</v>
      </c>
      <c r="K145" s="476">
        <v>0</v>
      </c>
      <c r="L145" s="476">
        <v>0</v>
      </c>
      <c r="M145" s="464">
        <v>0</v>
      </c>
      <c r="N145" s="230">
        <v>0</v>
      </c>
      <c r="O145" s="287">
        <v>0</v>
      </c>
      <c r="P145" s="269">
        <f t="shared" si="10"/>
        <v>0</v>
      </c>
      <c r="Q145" s="1614">
        <v>0</v>
      </c>
      <c r="R145" s="1615">
        <v>0</v>
      </c>
      <c r="S145" s="463">
        <v>0</v>
      </c>
      <c r="T145" s="476">
        <v>0</v>
      </c>
      <c r="U145" s="467">
        <v>0</v>
      </c>
      <c r="V145" s="468">
        <v>0</v>
      </c>
      <c r="W145" s="471">
        <v>0</v>
      </c>
      <c r="X145" s="1138">
        <v>0</v>
      </c>
      <c r="Y145" s="471">
        <v>0</v>
      </c>
      <c r="Z145" s="472">
        <v>0</v>
      </c>
      <c r="AA145" s="710" t="s">
        <v>109</v>
      </c>
      <c r="AB145" s="520" t="s">
        <v>123</v>
      </c>
      <c r="AC145" s="557" t="s">
        <v>260</v>
      </c>
      <c r="AD145" s="557" t="s">
        <v>120</v>
      </c>
      <c r="AE145" s="557" t="s">
        <v>120</v>
      </c>
      <c r="AF145" s="520" t="s">
        <v>128</v>
      </c>
      <c r="AG145" s="508" t="s">
        <v>370</v>
      </c>
    </row>
    <row r="146" spans="1:33" ht="38.25" outlineLevel="1" x14ac:dyDescent="0.25">
      <c r="A146" s="602" t="s">
        <v>169</v>
      </c>
      <c r="B146" s="599" t="s">
        <v>112</v>
      </c>
      <c r="C146" s="33" t="s">
        <v>116</v>
      </c>
      <c r="D146" s="33" t="s">
        <v>92</v>
      </c>
      <c r="E146" s="33" t="s">
        <v>92</v>
      </c>
      <c r="F146" s="849" t="s">
        <v>687</v>
      </c>
      <c r="G146" s="1215">
        <v>4000</v>
      </c>
      <c r="H146" s="1609">
        <v>0</v>
      </c>
      <c r="I146" s="2103">
        <v>0</v>
      </c>
      <c r="J146" s="631">
        <v>0</v>
      </c>
      <c r="K146" s="624">
        <v>0</v>
      </c>
      <c r="L146" s="624">
        <v>1200</v>
      </c>
      <c r="M146" s="850">
        <v>2800</v>
      </c>
      <c r="N146" s="732">
        <v>4000</v>
      </c>
      <c r="O146" s="759">
        <v>0</v>
      </c>
      <c r="P146" s="345">
        <f t="shared" si="10"/>
        <v>4000</v>
      </c>
      <c r="Q146" s="1147">
        <v>0</v>
      </c>
      <c r="R146" s="1148">
        <v>0</v>
      </c>
      <c r="S146" s="631">
        <v>0</v>
      </c>
      <c r="T146" s="624">
        <v>0</v>
      </c>
      <c r="U146" s="1151">
        <v>0</v>
      </c>
      <c r="V146" s="1152">
        <v>0</v>
      </c>
      <c r="W146" s="1154">
        <v>0</v>
      </c>
      <c r="X146" s="1154">
        <v>0</v>
      </c>
      <c r="Y146" s="1154">
        <v>0</v>
      </c>
      <c r="Z146" s="1155">
        <v>0</v>
      </c>
      <c r="AA146" s="586" t="s">
        <v>109</v>
      </c>
      <c r="AB146" s="33" t="s">
        <v>13</v>
      </c>
      <c r="AC146" s="787" t="s">
        <v>485</v>
      </c>
      <c r="AD146" s="787" t="s">
        <v>119</v>
      </c>
      <c r="AE146" s="787" t="s">
        <v>119</v>
      </c>
      <c r="AF146" s="375" t="s">
        <v>129</v>
      </c>
      <c r="AG146" s="33" t="s">
        <v>372</v>
      </c>
    </row>
    <row r="147" spans="1:33" ht="38.25" outlineLevel="1" x14ac:dyDescent="0.25">
      <c r="A147" s="603" t="s">
        <v>170</v>
      </c>
      <c r="B147" s="593" t="s">
        <v>963</v>
      </c>
      <c r="C147" s="35" t="s">
        <v>116</v>
      </c>
      <c r="D147" s="35" t="s">
        <v>95</v>
      </c>
      <c r="E147" s="35" t="s">
        <v>95</v>
      </c>
      <c r="F147" s="855" t="s">
        <v>867</v>
      </c>
      <c r="G147" s="1363">
        <v>22000</v>
      </c>
      <c r="H147" s="1609">
        <v>387.2</v>
      </c>
      <c r="I147" s="2103">
        <v>6.05</v>
      </c>
      <c r="J147" s="260">
        <v>1000</v>
      </c>
      <c r="K147" s="343">
        <v>15124.725</v>
      </c>
      <c r="L147" s="343">
        <v>5482.0249999999996</v>
      </c>
      <c r="M147" s="256">
        <v>0</v>
      </c>
      <c r="N147" s="732">
        <v>21606.75</v>
      </c>
      <c r="O147" s="759">
        <v>0</v>
      </c>
      <c r="P147" s="346">
        <f t="shared" si="10"/>
        <v>21606.75</v>
      </c>
      <c r="Q147" s="1364">
        <v>0</v>
      </c>
      <c r="R147" s="1366">
        <v>0</v>
      </c>
      <c r="S147" s="260">
        <v>0</v>
      </c>
      <c r="T147" s="343">
        <v>0</v>
      </c>
      <c r="U147" s="684">
        <v>0</v>
      </c>
      <c r="V147" s="1353">
        <v>0</v>
      </c>
      <c r="W147" s="685">
        <v>0</v>
      </c>
      <c r="X147" s="1154">
        <v>0</v>
      </c>
      <c r="Y147" s="685">
        <v>0</v>
      </c>
      <c r="Z147" s="687">
        <v>0</v>
      </c>
      <c r="AA147" s="586" t="s">
        <v>109</v>
      </c>
      <c r="AB147" s="35" t="s">
        <v>11</v>
      </c>
      <c r="AC147" s="448" t="s">
        <v>325</v>
      </c>
      <c r="AD147" s="448" t="s">
        <v>119</v>
      </c>
      <c r="AE147" s="448" t="s">
        <v>119</v>
      </c>
      <c r="AF147" s="342" t="s">
        <v>515</v>
      </c>
      <c r="AG147" s="259" t="s">
        <v>536</v>
      </c>
    </row>
    <row r="148" spans="1:33" s="364" customFormat="1" ht="25.5" outlineLevel="1" x14ac:dyDescent="0.25">
      <c r="A148" s="17" t="s">
        <v>171</v>
      </c>
      <c r="B148" s="17" t="s">
        <v>964</v>
      </c>
      <c r="C148" s="5" t="s">
        <v>116</v>
      </c>
      <c r="D148" s="5" t="s">
        <v>96</v>
      </c>
      <c r="E148" s="5" t="s">
        <v>96</v>
      </c>
      <c r="F148" s="478" t="s">
        <v>868</v>
      </c>
      <c r="G148" s="652">
        <v>2312.34157</v>
      </c>
      <c r="H148" s="1608">
        <v>1761.14231</v>
      </c>
      <c r="I148" s="2102">
        <v>551.19926000000009</v>
      </c>
      <c r="J148" s="452">
        <v>0</v>
      </c>
      <c r="K148" s="41">
        <v>0</v>
      </c>
      <c r="L148" s="41">
        <v>0</v>
      </c>
      <c r="M148" s="479">
        <v>0</v>
      </c>
      <c r="N148" s="485">
        <v>0</v>
      </c>
      <c r="O148" s="285">
        <v>0</v>
      </c>
      <c r="P148" s="272">
        <f t="shared" si="10"/>
        <v>0</v>
      </c>
      <c r="Q148" s="454">
        <v>0</v>
      </c>
      <c r="R148" s="653">
        <v>0</v>
      </c>
      <c r="S148" s="679">
        <v>0</v>
      </c>
      <c r="T148" s="41">
        <v>0</v>
      </c>
      <c r="U148" s="457">
        <v>0</v>
      </c>
      <c r="V148" s="458">
        <v>0</v>
      </c>
      <c r="W148" s="392">
        <v>0</v>
      </c>
      <c r="X148" s="381">
        <v>0</v>
      </c>
      <c r="Y148" s="460">
        <v>0</v>
      </c>
      <c r="Z148" s="461">
        <v>0</v>
      </c>
      <c r="AA148" s="711" t="s">
        <v>109</v>
      </c>
      <c r="AB148" s="5" t="s">
        <v>123</v>
      </c>
      <c r="AC148" s="526" t="s">
        <v>502</v>
      </c>
      <c r="AD148" s="526" t="s">
        <v>120</v>
      </c>
      <c r="AE148" s="526" t="s">
        <v>120</v>
      </c>
      <c r="AF148" s="435" t="s">
        <v>128</v>
      </c>
      <c r="AG148" s="426" t="s">
        <v>536</v>
      </c>
    </row>
    <row r="149" spans="1:33" ht="25.5" outlineLevel="1" x14ac:dyDescent="0.25">
      <c r="A149" s="603" t="s">
        <v>172</v>
      </c>
      <c r="B149" s="603" t="s">
        <v>965</v>
      </c>
      <c r="C149" s="35" t="s">
        <v>116</v>
      </c>
      <c r="D149" s="35" t="s">
        <v>98</v>
      </c>
      <c r="E149" s="35" t="s">
        <v>98</v>
      </c>
      <c r="F149" s="855" t="s">
        <v>99</v>
      </c>
      <c r="G149" s="1363">
        <v>1541.54</v>
      </c>
      <c r="H149" s="1609">
        <v>0</v>
      </c>
      <c r="I149" s="2103">
        <v>0</v>
      </c>
      <c r="J149" s="260">
        <v>1291.54</v>
      </c>
      <c r="K149" s="343">
        <v>0</v>
      </c>
      <c r="L149" s="343">
        <v>0</v>
      </c>
      <c r="M149" s="256">
        <v>0</v>
      </c>
      <c r="N149" s="732">
        <v>1291.54</v>
      </c>
      <c r="O149" s="759">
        <v>0</v>
      </c>
      <c r="P149" s="346">
        <f t="shared" si="10"/>
        <v>1291.54</v>
      </c>
      <c r="Q149" s="1364">
        <v>0</v>
      </c>
      <c r="R149" s="1366">
        <v>0</v>
      </c>
      <c r="S149" s="260">
        <v>0</v>
      </c>
      <c r="T149" s="343">
        <v>0</v>
      </c>
      <c r="U149" s="684">
        <v>250</v>
      </c>
      <c r="V149" s="1353">
        <v>0</v>
      </c>
      <c r="W149" s="685">
        <v>0</v>
      </c>
      <c r="X149" s="1154">
        <v>0</v>
      </c>
      <c r="Y149" s="685">
        <v>0</v>
      </c>
      <c r="Z149" s="687">
        <v>0</v>
      </c>
      <c r="AA149" s="712" t="s">
        <v>1313</v>
      </c>
      <c r="AB149" s="342" t="s">
        <v>309</v>
      </c>
      <c r="AC149" s="448" t="s">
        <v>318</v>
      </c>
      <c r="AD149" s="448" t="s">
        <v>120</v>
      </c>
      <c r="AE149" s="342" t="s">
        <v>120</v>
      </c>
      <c r="AF149" s="342" t="s">
        <v>129</v>
      </c>
      <c r="AG149" s="35" t="s">
        <v>370</v>
      </c>
    </row>
    <row r="150" spans="1:33" ht="26.25" outlineLevel="1" thickBot="1" x14ac:dyDescent="0.3">
      <c r="A150" s="836" t="s">
        <v>173</v>
      </c>
      <c r="B150" s="836" t="s">
        <v>966</v>
      </c>
      <c r="C150" s="71" t="s">
        <v>116</v>
      </c>
      <c r="D150" s="71" t="s">
        <v>165</v>
      </c>
      <c r="E150" s="71" t="s">
        <v>165</v>
      </c>
      <c r="F150" s="889" t="s">
        <v>428</v>
      </c>
      <c r="G150" s="1616">
        <v>15208</v>
      </c>
      <c r="H150" s="113">
        <v>0</v>
      </c>
      <c r="I150" s="2101">
        <v>0</v>
      </c>
      <c r="J150" s="162">
        <v>0</v>
      </c>
      <c r="K150" s="163">
        <v>0</v>
      </c>
      <c r="L150" s="163">
        <v>10645.6</v>
      </c>
      <c r="M150" s="164">
        <v>0</v>
      </c>
      <c r="N150" s="208">
        <v>15208</v>
      </c>
      <c r="O150" s="884">
        <v>-4562.3999999999996</v>
      </c>
      <c r="P150" s="885">
        <f t="shared" si="10"/>
        <v>10645.6</v>
      </c>
      <c r="Q150" s="167">
        <v>4562.3999999999996</v>
      </c>
      <c r="R150" s="1159">
        <v>0</v>
      </c>
      <c r="S150" s="162">
        <v>0</v>
      </c>
      <c r="T150" s="163">
        <v>0</v>
      </c>
      <c r="U150" s="100">
        <v>0</v>
      </c>
      <c r="V150" s="1617">
        <v>0</v>
      </c>
      <c r="W150" s="1618">
        <v>0</v>
      </c>
      <c r="X150" s="1237">
        <v>0</v>
      </c>
      <c r="Y150" s="1618">
        <v>0</v>
      </c>
      <c r="Z150" s="1619">
        <v>0</v>
      </c>
      <c r="AA150" s="215" t="s">
        <v>1413</v>
      </c>
      <c r="AB150" s="70" t="s">
        <v>13</v>
      </c>
      <c r="AC150" s="848" t="s">
        <v>485</v>
      </c>
      <c r="AD150" s="848" t="s">
        <v>119</v>
      </c>
      <c r="AE150" s="848" t="s">
        <v>119</v>
      </c>
      <c r="AF150" s="85" t="s">
        <v>129</v>
      </c>
      <c r="AG150" s="71" t="s">
        <v>378</v>
      </c>
    </row>
    <row r="151" spans="1:33" ht="26.25" outlineLevel="1" thickBot="1" x14ac:dyDescent="0.3">
      <c r="A151" s="1530" t="s">
        <v>174</v>
      </c>
      <c r="B151" s="1530" t="s">
        <v>967</v>
      </c>
      <c r="C151" s="480" t="s">
        <v>237</v>
      </c>
      <c r="D151" s="480" t="s">
        <v>175</v>
      </c>
      <c r="E151" s="481" t="s">
        <v>175</v>
      </c>
      <c r="F151" s="1620" t="s">
        <v>176</v>
      </c>
      <c r="G151" s="1621">
        <f>6837.15279+642.09951-171.74001</f>
        <v>7307.5122899999997</v>
      </c>
      <c r="H151" s="661">
        <v>6192.3090000000011</v>
      </c>
      <c r="I151" s="2105">
        <v>473.10377999999997</v>
      </c>
      <c r="J151" s="663">
        <v>0</v>
      </c>
      <c r="K151" s="658">
        <v>0</v>
      </c>
      <c r="L151" s="658">
        <v>0</v>
      </c>
      <c r="M151" s="662">
        <v>0</v>
      </c>
      <c r="N151" s="659">
        <v>0</v>
      </c>
      <c r="O151" s="299">
        <v>0</v>
      </c>
      <c r="P151" s="660">
        <f t="shared" si="10"/>
        <v>0</v>
      </c>
      <c r="Q151" s="1622">
        <v>0</v>
      </c>
      <c r="R151" s="1623">
        <v>0</v>
      </c>
      <c r="S151" s="663">
        <v>0</v>
      </c>
      <c r="T151" s="658">
        <v>0</v>
      </c>
      <c r="U151" s="1624">
        <v>642.09951000000001</v>
      </c>
      <c r="V151" s="1625">
        <v>0</v>
      </c>
      <c r="W151" s="1626">
        <v>0</v>
      </c>
      <c r="X151" s="1626">
        <v>0</v>
      </c>
      <c r="Y151" s="1626">
        <v>0</v>
      </c>
      <c r="Z151" s="1627">
        <v>0</v>
      </c>
      <c r="AA151" s="713" t="s">
        <v>109</v>
      </c>
      <c r="AB151" s="480" t="s">
        <v>123</v>
      </c>
      <c r="AC151" s="1539" t="s">
        <v>317</v>
      </c>
      <c r="AD151" s="1539" t="s">
        <v>120</v>
      </c>
      <c r="AE151" s="1539" t="s">
        <v>120</v>
      </c>
      <c r="AF151" s="482" t="s">
        <v>128</v>
      </c>
      <c r="AG151" s="480" t="s">
        <v>362</v>
      </c>
    </row>
    <row r="152" spans="1:33" s="320" customFormat="1" ht="25.5" outlineLevel="1" x14ac:dyDescent="0.25">
      <c r="A152" s="23" t="s">
        <v>251</v>
      </c>
      <c r="B152" s="23" t="s">
        <v>968</v>
      </c>
      <c r="C152" s="6" t="s">
        <v>274</v>
      </c>
      <c r="D152" s="5" t="s">
        <v>45</v>
      </c>
      <c r="E152" s="646" t="s">
        <v>45</v>
      </c>
      <c r="F152" s="478" t="s">
        <v>252</v>
      </c>
      <c r="G152" s="1344">
        <f>25000+595.95909+511.9191818+128.83187-977.33603+46.94556</f>
        <v>25306.319671800004</v>
      </c>
      <c r="H152" s="1608">
        <v>18151.49584</v>
      </c>
      <c r="I152" s="2102">
        <v>5918.1136900000001</v>
      </c>
      <c r="J152" s="452">
        <v>0</v>
      </c>
      <c r="K152" s="41">
        <v>0</v>
      </c>
      <c r="L152" s="41">
        <v>0</v>
      </c>
      <c r="M152" s="479">
        <v>0</v>
      </c>
      <c r="N152" s="485">
        <v>0</v>
      </c>
      <c r="O152" s="285">
        <v>0</v>
      </c>
      <c r="P152" s="272">
        <f t="shared" si="10"/>
        <v>0</v>
      </c>
      <c r="Q152" s="1345">
        <v>0</v>
      </c>
      <c r="R152" s="1411">
        <v>0</v>
      </c>
      <c r="S152" s="1118">
        <f>595.95909+511.9191818</f>
        <v>1107.8782718</v>
      </c>
      <c r="T152" s="1119">
        <v>0</v>
      </c>
      <c r="U152" s="457">
        <v>128.83187000000001</v>
      </c>
      <c r="V152" s="1629">
        <v>0</v>
      </c>
      <c r="W152" s="1630">
        <v>0</v>
      </c>
      <c r="X152" s="1630">
        <v>0</v>
      </c>
      <c r="Y152" s="1630">
        <v>0</v>
      </c>
      <c r="Z152" s="1631">
        <v>0</v>
      </c>
      <c r="AA152" s="714" t="s">
        <v>109</v>
      </c>
      <c r="AB152" s="6" t="s">
        <v>123</v>
      </c>
      <c r="AC152" s="620" t="s">
        <v>260</v>
      </c>
      <c r="AD152" s="620" t="s">
        <v>120</v>
      </c>
      <c r="AE152" s="620" t="s">
        <v>120</v>
      </c>
      <c r="AF152" s="435" t="s">
        <v>128</v>
      </c>
      <c r="AG152" s="5" t="s">
        <v>382</v>
      </c>
    </row>
    <row r="153" spans="1:33" ht="30.75" outlineLevel="1" thickBot="1" x14ac:dyDescent="0.3">
      <c r="A153" s="596" t="s">
        <v>253</v>
      </c>
      <c r="B153" s="596" t="s">
        <v>112</v>
      </c>
      <c r="C153" s="258" t="s">
        <v>274</v>
      </c>
      <c r="D153" s="718" t="s">
        <v>93</v>
      </c>
      <c r="E153" s="718" t="s">
        <v>93</v>
      </c>
      <c r="F153" s="1060" t="s">
        <v>429</v>
      </c>
      <c r="G153" s="1632">
        <v>15000</v>
      </c>
      <c r="H153" s="1633">
        <v>0</v>
      </c>
      <c r="I153" s="2106">
        <v>0</v>
      </c>
      <c r="J153" s="790">
        <v>0</v>
      </c>
      <c r="K153" s="791">
        <v>700</v>
      </c>
      <c r="L153" s="791">
        <v>300</v>
      </c>
      <c r="M153" s="792">
        <v>0</v>
      </c>
      <c r="N153" s="733">
        <v>1000</v>
      </c>
      <c r="O153" s="283">
        <v>0</v>
      </c>
      <c r="P153" s="268">
        <f t="shared" si="10"/>
        <v>1000</v>
      </c>
      <c r="Q153" s="1636">
        <v>14000</v>
      </c>
      <c r="R153" s="1637">
        <v>0</v>
      </c>
      <c r="S153" s="1634">
        <v>0</v>
      </c>
      <c r="T153" s="650">
        <v>0</v>
      </c>
      <c r="U153" s="797">
        <v>0</v>
      </c>
      <c r="V153" s="1638">
        <v>0</v>
      </c>
      <c r="W153" s="1639">
        <v>0</v>
      </c>
      <c r="X153" s="1639">
        <v>0</v>
      </c>
      <c r="Y153" s="1639">
        <v>0</v>
      </c>
      <c r="Z153" s="1640">
        <v>0</v>
      </c>
      <c r="AA153" s="199" t="s">
        <v>109</v>
      </c>
      <c r="AB153" s="258" t="s">
        <v>11</v>
      </c>
      <c r="AC153" s="31" t="s">
        <v>493</v>
      </c>
      <c r="AD153" s="31" t="s">
        <v>119</v>
      </c>
      <c r="AE153" s="31" t="s">
        <v>119</v>
      </c>
      <c r="AF153" s="18" t="s">
        <v>129</v>
      </c>
      <c r="AG153" s="39" t="s">
        <v>377</v>
      </c>
    </row>
    <row r="154" spans="1:33" ht="38.25" outlineLevel="1" x14ac:dyDescent="0.25">
      <c r="A154" s="727" t="s">
        <v>399</v>
      </c>
      <c r="B154" s="602" t="s">
        <v>969</v>
      </c>
      <c r="C154" s="33" t="s">
        <v>475</v>
      </c>
      <c r="D154" s="617" t="s">
        <v>94</v>
      </c>
      <c r="E154" s="617" t="s">
        <v>94</v>
      </c>
      <c r="F154" s="849" t="s">
        <v>430</v>
      </c>
      <c r="G154" s="1215">
        <v>1800</v>
      </c>
      <c r="H154" s="630">
        <v>0</v>
      </c>
      <c r="I154" s="648">
        <v>0</v>
      </c>
      <c r="J154" s="851">
        <v>1800</v>
      </c>
      <c r="K154" s="950">
        <v>0</v>
      </c>
      <c r="L154" s="950">
        <v>0</v>
      </c>
      <c r="M154" s="626">
        <v>0</v>
      </c>
      <c r="N154" s="738">
        <v>1800</v>
      </c>
      <c r="O154" s="705">
        <v>0</v>
      </c>
      <c r="P154" s="345">
        <f t="shared" si="10"/>
        <v>1800</v>
      </c>
      <c r="Q154" s="1147">
        <v>0</v>
      </c>
      <c r="R154" s="1148">
        <v>0</v>
      </c>
      <c r="S154" s="1152">
        <v>0</v>
      </c>
      <c r="T154" s="1153">
        <v>0</v>
      </c>
      <c r="U154" s="686">
        <v>0</v>
      </c>
      <c r="V154" s="1149">
        <v>0</v>
      </c>
      <c r="W154" s="1641">
        <v>0</v>
      </c>
      <c r="X154" s="1641">
        <v>0</v>
      </c>
      <c r="Y154" s="1641">
        <v>0</v>
      </c>
      <c r="Z154" s="1151">
        <v>0</v>
      </c>
      <c r="AA154" s="715" t="s">
        <v>109</v>
      </c>
      <c r="AB154" s="33" t="s">
        <v>46</v>
      </c>
      <c r="AC154" s="375" t="s">
        <v>522</v>
      </c>
      <c r="AD154" s="786" t="s">
        <v>119</v>
      </c>
      <c r="AE154" s="375" t="s">
        <v>119</v>
      </c>
      <c r="AF154" s="539">
        <v>2</v>
      </c>
      <c r="AG154" s="375" t="s">
        <v>372</v>
      </c>
    </row>
    <row r="155" spans="1:33" ht="25.5" outlineLevel="1" x14ac:dyDescent="0.25">
      <c r="A155" s="727" t="s">
        <v>400</v>
      </c>
      <c r="B155" s="603" t="s">
        <v>970</v>
      </c>
      <c r="C155" s="35" t="s">
        <v>475</v>
      </c>
      <c r="D155" s="366" t="s">
        <v>401</v>
      </c>
      <c r="E155" s="366" t="s">
        <v>401</v>
      </c>
      <c r="F155" s="855" t="s">
        <v>557</v>
      </c>
      <c r="G155" s="1363">
        <v>3500</v>
      </c>
      <c r="H155" s="632">
        <v>0</v>
      </c>
      <c r="I155" s="1056">
        <v>78.650000000000006</v>
      </c>
      <c r="J155" s="605">
        <v>182.71</v>
      </c>
      <c r="K155" s="337">
        <v>0</v>
      </c>
      <c r="L155" s="337">
        <v>3238.64</v>
      </c>
      <c r="M155" s="257">
        <v>0</v>
      </c>
      <c r="N155" s="739">
        <v>3421.35</v>
      </c>
      <c r="O155" s="704">
        <v>0</v>
      </c>
      <c r="P155" s="346">
        <f t="shared" si="10"/>
        <v>3421.35</v>
      </c>
      <c r="Q155" s="1364">
        <v>0</v>
      </c>
      <c r="R155" s="1366">
        <v>0</v>
      </c>
      <c r="S155" s="1353">
        <v>0</v>
      </c>
      <c r="T155" s="696">
        <v>0</v>
      </c>
      <c r="U155" s="1365">
        <v>0</v>
      </c>
      <c r="V155" s="694">
        <v>0</v>
      </c>
      <c r="W155" s="683">
        <v>0</v>
      </c>
      <c r="X155" s="1641">
        <v>0</v>
      </c>
      <c r="Y155" s="683">
        <v>0</v>
      </c>
      <c r="Z155" s="684">
        <v>0</v>
      </c>
      <c r="AA155" s="448" t="s">
        <v>109</v>
      </c>
      <c r="AB155" s="35" t="s">
        <v>13</v>
      </c>
      <c r="AC155" s="342" t="s">
        <v>522</v>
      </c>
      <c r="AD155" s="586" t="s">
        <v>119</v>
      </c>
      <c r="AE155" s="342" t="s">
        <v>119</v>
      </c>
      <c r="AF155" s="54">
        <v>2</v>
      </c>
      <c r="AG155" s="342" t="s">
        <v>368</v>
      </c>
    </row>
    <row r="156" spans="1:33" ht="26.25" outlineLevel="1" x14ac:dyDescent="0.25">
      <c r="A156" s="727" t="s">
        <v>402</v>
      </c>
      <c r="B156" s="603" t="s">
        <v>112</v>
      </c>
      <c r="C156" s="35" t="s">
        <v>475</v>
      </c>
      <c r="D156" s="1642" t="s">
        <v>42</v>
      </c>
      <c r="E156" s="1642" t="s">
        <v>42</v>
      </c>
      <c r="F156" s="855" t="s">
        <v>431</v>
      </c>
      <c r="G156" s="1363">
        <v>987.68</v>
      </c>
      <c r="H156" s="632">
        <v>0</v>
      </c>
      <c r="I156" s="1056">
        <v>0</v>
      </c>
      <c r="J156" s="605">
        <v>0</v>
      </c>
      <c r="K156" s="337">
        <v>0</v>
      </c>
      <c r="L156" s="337">
        <v>987.68</v>
      </c>
      <c r="M156" s="257">
        <v>0</v>
      </c>
      <c r="N156" s="739">
        <v>987.68</v>
      </c>
      <c r="O156" s="704">
        <v>0</v>
      </c>
      <c r="P156" s="346">
        <f t="shared" si="10"/>
        <v>987.68</v>
      </c>
      <c r="Q156" s="1364">
        <v>0</v>
      </c>
      <c r="R156" s="1366">
        <v>0</v>
      </c>
      <c r="S156" s="1353">
        <v>0</v>
      </c>
      <c r="T156" s="696">
        <v>0</v>
      </c>
      <c r="U156" s="1365">
        <v>0</v>
      </c>
      <c r="V156" s="694">
        <v>0</v>
      </c>
      <c r="W156" s="682">
        <v>0</v>
      </c>
      <c r="X156" s="1641">
        <v>0</v>
      </c>
      <c r="Y156" s="683">
        <v>0</v>
      </c>
      <c r="Z156" s="684">
        <v>0</v>
      </c>
      <c r="AA156" s="716" t="s">
        <v>109</v>
      </c>
      <c r="AB156" s="35" t="s">
        <v>13</v>
      </c>
      <c r="AC156" s="342" t="s">
        <v>325</v>
      </c>
      <c r="AD156" s="586" t="s">
        <v>119</v>
      </c>
      <c r="AE156" s="342" t="s">
        <v>119</v>
      </c>
      <c r="AF156" s="54">
        <v>4</v>
      </c>
      <c r="AG156" s="342" t="s">
        <v>366</v>
      </c>
    </row>
    <row r="157" spans="1:33" ht="26.25" outlineLevel="1" x14ac:dyDescent="0.25">
      <c r="A157" s="727" t="s">
        <v>403</v>
      </c>
      <c r="B157" s="603" t="s">
        <v>112</v>
      </c>
      <c r="C157" s="35" t="s">
        <v>475</v>
      </c>
      <c r="D157" s="1642" t="s">
        <v>96</v>
      </c>
      <c r="E157" s="1642" t="s">
        <v>96</v>
      </c>
      <c r="F157" s="855" t="s">
        <v>432</v>
      </c>
      <c r="G157" s="1363">
        <v>1500</v>
      </c>
      <c r="H157" s="632">
        <v>0</v>
      </c>
      <c r="I157" s="1056">
        <v>0</v>
      </c>
      <c r="J157" s="605">
        <v>0</v>
      </c>
      <c r="K157" s="337">
        <v>0</v>
      </c>
      <c r="L157" s="337">
        <v>450</v>
      </c>
      <c r="M157" s="257">
        <v>1050</v>
      </c>
      <c r="N157" s="739">
        <v>1500</v>
      </c>
      <c r="O157" s="704">
        <v>0</v>
      </c>
      <c r="P157" s="346">
        <f t="shared" si="10"/>
        <v>1500</v>
      </c>
      <c r="Q157" s="1364">
        <v>0</v>
      </c>
      <c r="R157" s="1366">
        <v>0</v>
      </c>
      <c r="S157" s="1353">
        <v>0</v>
      </c>
      <c r="T157" s="696">
        <v>0</v>
      </c>
      <c r="U157" s="1365">
        <v>0</v>
      </c>
      <c r="V157" s="694">
        <v>0</v>
      </c>
      <c r="W157" s="682">
        <v>0</v>
      </c>
      <c r="X157" s="1641">
        <v>0</v>
      </c>
      <c r="Y157" s="683">
        <v>0</v>
      </c>
      <c r="Z157" s="684">
        <v>0</v>
      </c>
      <c r="AA157" s="712" t="s">
        <v>109</v>
      </c>
      <c r="AB157" s="35" t="s">
        <v>13</v>
      </c>
      <c r="AC157" s="342" t="s">
        <v>522</v>
      </c>
      <c r="AD157" s="586" t="s">
        <v>119</v>
      </c>
      <c r="AE157" s="342" t="s">
        <v>119</v>
      </c>
      <c r="AF157" s="54">
        <v>4</v>
      </c>
      <c r="AG157" s="259" t="s">
        <v>536</v>
      </c>
    </row>
    <row r="158" spans="1:33" ht="25.5" outlineLevel="1" x14ac:dyDescent="0.25">
      <c r="A158" s="1643" t="s">
        <v>404</v>
      </c>
      <c r="B158" s="836" t="s">
        <v>1314</v>
      </c>
      <c r="C158" s="71" t="s">
        <v>475</v>
      </c>
      <c r="D158" s="71" t="s">
        <v>9</v>
      </c>
      <c r="E158" s="96" t="s">
        <v>405</v>
      </c>
      <c r="F158" s="889" t="s">
        <v>433</v>
      </c>
      <c r="G158" s="1616">
        <v>75000</v>
      </c>
      <c r="H158" s="842">
        <v>0</v>
      </c>
      <c r="I158" s="1500">
        <v>0</v>
      </c>
      <c r="J158" s="844">
        <v>0</v>
      </c>
      <c r="K158" s="845">
        <v>300</v>
      </c>
      <c r="L158" s="845">
        <v>0</v>
      </c>
      <c r="M158" s="847">
        <v>6000</v>
      </c>
      <c r="N158" s="167">
        <v>11300</v>
      </c>
      <c r="O158" s="1472">
        <v>-5000</v>
      </c>
      <c r="P158" s="885">
        <f t="shared" si="10"/>
        <v>6300</v>
      </c>
      <c r="Q158" s="167">
        <v>68700</v>
      </c>
      <c r="R158" s="1159">
        <v>0</v>
      </c>
      <c r="S158" s="1161">
        <v>0</v>
      </c>
      <c r="T158" s="300">
        <v>0</v>
      </c>
      <c r="U158" s="1644">
        <v>0</v>
      </c>
      <c r="V158" s="1160">
        <v>0</v>
      </c>
      <c r="W158" s="160">
        <v>0</v>
      </c>
      <c r="X158" s="153">
        <v>0</v>
      </c>
      <c r="Y158" s="160">
        <v>0</v>
      </c>
      <c r="Z158" s="100">
        <v>0</v>
      </c>
      <c r="AA158" s="848" t="s">
        <v>1414</v>
      </c>
      <c r="AB158" s="71" t="s">
        <v>13</v>
      </c>
      <c r="AC158" s="85" t="s">
        <v>325</v>
      </c>
      <c r="AD158" s="1501" t="s">
        <v>119</v>
      </c>
      <c r="AE158" s="85" t="s">
        <v>119</v>
      </c>
      <c r="AF158" s="109" t="s">
        <v>129</v>
      </c>
      <c r="AG158" s="71" t="s">
        <v>535</v>
      </c>
    </row>
    <row r="159" spans="1:33" ht="25.5" outlineLevel="1" x14ac:dyDescent="0.25">
      <c r="A159" s="1643" t="s">
        <v>406</v>
      </c>
      <c r="B159" s="836" t="s">
        <v>112</v>
      </c>
      <c r="C159" s="71" t="s">
        <v>475</v>
      </c>
      <c r="D159" s="96" t="s">
        <v>408</v>
      </c>
      <c r="E159" s="96" t="s">
        <v>408</v>
      </c>
      <c r="F159" s="889" t="s">
        <v>409</v>
      </c>
      <c r="G159" s="1616">
        <v>1400</v>
      </c>
      <c r="H159" s="842">
        <v>0</v>
      </c>
      <c r="I159" s="1500">
        <v>0</v>
      </c>
      <c r="J159" s="844">
        <v>0</v>
      </c>
      <c r="K159" s="845">
        <v>0</v>
      </c>
      <c r="L159" s="845">
        <v>0</v>
      </c>
      <c r="M159" s="847">
        <v>0</v>
      </c>
      <c r="N159" s="167">
        <v>1400</v>
      </c>
      <c r="O159" s="1472">
        <v>-1400</v>
      </c>
      <c r="P159" s="885">
        <f t="shared" si="10"/>
        <v>0</v>
      </c>
      <c r="Q159" s="167">
        <v>1400</v>
      </c>
      <c r="R159" s="1159">
        <v>0</v>
      </c>
      <c r="S159" s="1161">
        <v>0</v>
      </c>
      <c r="T159" s="300">
        <v>0</v>
      </c>
      <c r="U159" s="1644">
        <v>0</v>
      </c>
      <c r="V159" s="1160">
        <v>0</v>
      </c>
      <c r="W159" s="161">
        <v>0</v>
      </c>
      <c r="X159" s="153">
        <v>0</v>
      </c>
      <c r="Y159" s="160">
        <v>0</v>
      </c>
      <c r="Z159" s="100">
        <v>0</v>
      </c>
      <c r="AA159" s="887" t="s">
        <v>1415</v>
      </c>
      <c r="AB159" s="71" t="s">
        <v>13</v>
      </c>
      <c r="AC159" s="85" t="s">
        <v>1315</v>
      </c>
      <c r="AD159" s="1501" t="s">
        <v>119</v>
      </c>
      <c r="AE159" s="85" t="s">
        <v>119</v>
      </c>
      <c r="AF159" s="354">
        <v>2</v>
      </c>
      <c r="AG159" s="71" t="s">
        <v>362</v>
      </c>
    </row>
    <row r="160" spans="1:33" ht="25.5" outlineLevel="1" x14ac:dyDescent="0.25">
      <c r="A160" s="1643" t="s">
        <v>407</v>
      </c>
      <c r="B160" s="836" t="s">
        <v>971</v>
      </c>
      <c r="C160" s="71" t="s">
        <v>475</v>
      </c>
      <c r="D160" s="71" t="s">
        <v>9</v>
      </c>
      <c r="E160" s="96" t="s">
        <v>434</v>
      </c>
      <c r="F160" s="889" t="s">
        <v>435</v>
      </c>
      <c r="G160" s="1616">
        <v>25880</v>
      </c>
      <c r="H160" s="842">
        <v>0</v>
      </c>
      <c r="I160" s="1500">
        <v>0</v>
      </c>
      <c r="J160" s="844">
        <v>827</v>
      </c>
      <c r="K160" s="845">
        <v>392.07499999999999</v>
      </c>
      <c r="L160" s="845">
        <v>0</v>
      </c>
      <c r="M160" s="847">
        <v>0</v>
      </c>
      <c r="N160" s="167">
        <v>2600</v>
      </c>
      <c r="O160" s="1472">
        <v>-1380.925</v>
      </c>
      <c r="P160" s="885">
        <f t="shared" si="10"/>
        <v>1219.075</v>
      </c>
      <c r="Q160" s="167">
        <f>23280+1380.925</f>
        <v>24660.924999999999</v>
      </c>
      <c r="R160" s="1159">
        <v>0</v>
      </c>
      <c r="S160" s="1161">
        <v>0</v>
      </c>
      <c r="T160" s="300">
        <v>0</v>
      </c>
      <c r="U160" s="1644">
        <v>0</v>
      </c>
      <c r="V160" s="1160">
        <v>0</v>
      </c>
      <c r="W160" s="161">
        <v>0</v>
      </c>
      <c r="X160" s="153">
        <v>0</v>
      </c>
      <c r="Y160" s="160">
        <v>0</v>
      </c>
      <c r="Z160" s="100">
        <v>0</v>
      </c>
      <c r="AA160" s="848" t="s">
        <v>1416</v>
      </c>
      <c r="AB160" s="71" t="s">
        <v>13</v>
      </c>
      <c r="AC160" s="85" t="s">
        <v>325</v>
      </c>
      <c r="AD160" s="1501" t="s">
        <v>119</v>
      </c>
      <c r="AE160" s="85" t="s">
        <v>119</v>
      </c>
      <c r="AF160" s="354">
        <v>2</v>
      </c>
      <c r="AG160" s="71" t="s">
        <v>376</v>
      </c>
    </row>
    <row r="161" spans="1:33" ht="38.25" outlineLevel="1" x14ac:dyDescent="0.25">
      <c r="A161" s="727" t="s">
        <v>410</v>
      </c>
      <c r="B161" s="603" t="s">
        <v>112</v>
      </c>
      <c r="C161" s="35" t="s">
        <v>475</v>
      </c>
      <c r="D161" s="366" t="s">
        <v>92</v>
      </c>
      <c r="E161" s="366" t="s">
        <v>92</v>
      </c>
      <c r="F161" s="855" t="s">
        <v>436</v>
      </c>
      <c r="G161" s="1363">
        <v>1200</v>
      </c>
      <c r="H161" s="632">
        <v>0</v>
      </c>
      <c r="I161" s="1056">
        <v>0</v>
      </c>
      <c r="J161" s="605">
        <v>0</v>
      </c>
      <c r="K161" s="337">
        <v>0</v>
      </c>
      <c r="L161" s="337">
        <v>360</v>
      </c>
      <c r="M161" s="257">
        <v>840</v>
      </c>
      <c r="N161" s="739">
        <v>1200</v>
      </c>
      <c r="O161" s="704">
        <v>0</v>
      </c>
      <c r="P161" s="346">
        <f t="shared" si="10"/>
        <v>1200</v>
      </c>
      <c r="Q161" s="1364">
        <v>0</v>
      </c>
      <c r="R161" s="1366">
        <v>0</v>
      </c>
      <c r="S161" s="1353">
        <v>0</v>
      </c>
      <c r="T161" s="696">
        <v>0</v>
      </c>
      <c r="U161" s="1365">
        <v>0</v>
      </c>
      <c r="V161" s="694">
        <v>0</v>
      </c>
      <c r="W161" s="682">
        <v>0</v>
      </c>
      <c r="X161" s="1641">
        <v>0</v>
      </c>
      <c r="Y161" s="683">
        <v>0</v>
      </c>
      <c r="Z161" s="684">
        <v>0</v>
      </c>
      <c r="AA161" s="448" t="s">
        <v>109</v>
      </c>
      <c r="AB161" s="35" t="s">
        <v>13</v>
      </c>
      <c r="AC161" s="342" t="s">
        <v>325</v>
      </c>
      <c r="AD161" s="586" t="s">
        <v>119</v>
      </c>
      <c r="AE161" s="342" t="s">
        <v>119</v>
      </c>
      <c r="AF161" s="54">
        <v>2</v>
      </c>
      <c r="AG161" s="35" t="s">
        <v>372</v>
      </c>
    </row>
    <row r="162" spans="1:33" ht="39" outlineLevel="1" thickBot="1" x14ac:dyDescent="0.3">
      <c r="A162" s="1645" t="s">
        <v>411</v>
      </c>
      <c r="B162" s="894" t="s">
        <v>972</v>
      </c>
      <c r="C162" s="91" t="s">
        <v>475</v>
      </c>
      <c r="D162" s="906" t="s">
        <v>33</v>
      </c>
      <c r="E162" s="906" t="s">
        <v>33</v>
      </c>
      <c r="F162" s="897" t="s">
        <v>412</v>
      </c>
      <c r="G162" s="1646">
        <v>11960</v>
      </c>
      <c r="H162" s="1491">
        <v>0</v>
      </c>
      <c r="I162" s="1648">
        <v>0</v>
      </c>
      <c r="J162" s="901">
        <v>665.5</v>
      </c>
      <c r="K162" s="902">
        <v>108.9</v>
      </c>
      <c r="L162" s="902">
        <v>0</v>
      </c>
      <c r="M162" s="905">
        <v>0</v>
      </c>
      <c r="N162" s="1649">
        <v>719.4</v>
      </c>
      <c r="O162" s="1647">
        <v>55</v>
      </c>
      <c r="P162" s="177">
        <f t="shared" si="10"/>
        <v>774.4</v>
      </c>
      <c r="Q162" s="1649">
        <v>11185.6</v>
      </c>
      <c r="R162" s="1650">
        <v>0</v>
      </c>
      <c r="S162" s="1617">
        <v>0</v>
      </c>
      <c r="T162" s="1651">
        <v>0</v>
      </c>
      <c r="U162" s="1652">
        <v>0</v>
      </c>
      <c r="V162" s="1653">
        <v>0</v>
      </c>
      <c r="W162" s="172">
        <v>0</v>
      </c>
      <c r="X162" s="1654">
        <v>0</v>
      </c>
      <c r="Y162" s="170">
        <v>0</v>
      </c>
      <c r="Z162" s="171">
        <v>0</v>
      </c>
      <c r="AA162" s="449" t="s">
        <v>1417</v>
      </c>
      <c r="AB162" s="91" t="s">
        <v>11</v>
      </c>
      <c r="AC162" s="179" t="s">
        <v>299</v>
      </c>
      <c r="AD162" s="1501" t="s">
        <v>119</v>
      </c>
      <c r="AE162" s="85" t="s">
        <v>119</v>
      </c>
      <c r="AF162" s="55">
        <v>2</v>
      </c>
      <c r="AG162" s="91" t="s">
        <v>377</v>
      </c>
    </row>
    <row r="163" spans="1:33" ht="25.5" outlineLevel="1" x14ac:dyDescent="0.25">
      <c r="A163" s="1655" t="s">
        <v>499</v>
      </c>
      <c r="B163" s="1605" t="s">
        <v>973</v>
      </c>
      <c r="C163" s="372" t="s">
        <v>534</v>
      </c>
      <c r="D163" s="1656" t="s">
        <v>9</v>
      </c>
      <c r="E163" s="1656" t="s">
        <v>500</v>
      </c>
      <c r="F163" s="1478" t="s">
        <v>501</v>
      </c>
      <c r="G163" s="1657">
        <v>54890.041859999998</v>
      </c>
      <c r="H163" s="1486">
        <v>0</v>
      </c>
      <c r="I163" s="1487">
        <v>450</v>
      </c>
      <c r="J163" s="1481">
        <v>50</v>
      </c>
      <c r="K163" s="1482">
        <v>0</v>
      </c>
      <c r="L163" s="1482">
        <v>16500</v>
      </c>
      <c r="M163" s="1483">
        <v>0</v>
      </c>
      <c r="N163" s="1658">
        <v>16550</v>
      </c>
      <c r="O163" s="1659">
        <v>0</v>
      </c>
      <c r="P163" s="1485">
        <f t="shared" si="10"/>
        <v>16550</v>
      </c>
      <c r="Q163" s="1660">
        <v>37890.041859999998</v>
      </c>
      <c r="R163" s="1661">
        <v>0</v>
      </c>
      <c r="S163" s="1662">
        <v>0</v>
      </c>
      <c r="T163" s="1663">
        <v>0</v>
      </c>
      <c r="U163" s="1664">
        <v>0</v>
      </c>
      <c r="V163" s="1662">
        <v>0</v>
      </c>
      <c r="W163" s="1663">
        <v>0</v>
      </c>
      <c r="X163" s="1181">
        <v>0</v>
      </c>
      <c r="Y163" s="1181">
        <v>0</v>
      </c>
      <c r="Z163" s="1664">
        <v>0</v>
      </c>
      <c r="AA163" s="1665" t="s">
        <v>1418</v>
      </c>
      <c r="AB163" s="372" t="s">
        <v>13</v>
      </c>
      <c r="AC163" s="373" t="s">
        <v>485</v>
      </c>
      <c r="AD163" s="1666" t="s">
        <v>119</v>
      </c>
      <c r="AE163" s="373" t="s">
        <v>119</v>
      </c>
      <c r="AF163" s="1667" t="s">
        <v>129</v>
      </c>
      <c r="AG163" s="372" t="s">
        <v>363</v>
      </c>
    </row>
    <row r="164" spans="1:33" ht="51.75" outlineLevel="1" thickBot="1" x14ac:dyDescent="0.3">
      <c r="A164" s="723" t="s">
        <v>688</v>
      </c>
      <c r="B164" s="723" t="s">
        <v>974</v>
      </c>
      <c r="C164" s="39" t="s">
        <v>116</v>
      </c>
      <c r="D164" s="39" t="s">
        <v>34</v>
      </c>
      <c r="E164" s="39" t="s">
        <v>34</v>
      </c>
      <c r="F164" s="1060" t="s">
        <v>689</v>
      </c>
      <c r="G164" s="1632">
        <v>1050</v>
      </c>
      <c r="H164" s="1543">
        <v>0</v>
      </c>
      <c r="I164" s="1544">
        <v>0</v>
      </c>
      <c r="J164" s="1525">
        <v>0</v>
      </c>
      <c r="K164" s="1526">
        <v>0</v>
      </c>
      <c r="L164" s="1526">
        <v>1050</v>
      </c>
      <c r="M164" s="651">
        <v>0</v>
      </c>
      <c r="N164" s="741">
        <v>1050</v>
      </c>
      <c r="O164" s="769">
        <v>0</v>
      </c>
      <c r="P164" s="268">
        <f t="shared" si="10"/>
        <v>1050</v>
      </c>
      <c r="Q164" s="1636">
        <v>0</v>
      </c>
      <c r="R164" s="1637">
        <v>0</v>
      </c>
      <c r="S164" s="1638">
        <v>0</v>
      </c>
      <c r="T164" s="1668">
        <v>0</v>
      </c>
      <c r="U164" s="1669">
        <v>0</v>
      </c>
      <c r="V164" s="1638">
        <v>0</v>
      </c>
      <c r="W164" s="1639">
        <v>0</v>
      </c>
      <c r="X164" s="1639">
        <v>0</v>
      </c>
      <c r="Y164" s="1639">
        <v>0</v>
      </c>
      <c r="Z164" s="1669">
        <v>0</v>
      </c>
      <c r="AA164" s="718" t="s">
        <v>109</v>
      </c>
      <c r="AB164" s="258" t="s">
        <v>13</v>
      </c>
      <c r="AC164" s="31" t="s">
        <v>325</v>
      </c>
      <c r="AD164" s="27" t="s">
        <v>119</v>
      </c>
      <c r="AE164" s="31" t="s">
        <v>119</v>
      </c>
      <c r="AF164" s="27" t="s">
        <v>128</v>
      </c>
      <c r="AG164" s="258" t="s">
        <v>368</v>
      </c>
    </row>
    <row r="165" spans="1:33" ht="25.5" outlineLevel="1" x14ac:dyDescent="0.25">
      <c r="A165" s="602" t="s">
        <v>778</v>
      </c>
      <c r="B165" s="602" t="s">
        <v>1316</v>
      </c>
      <c r="C165" s="33" t="s">
        <v>878</v>
      </c>
      <c r="D165" s="33" t="s">
        <v>779</v>
      </c>
      <c r="E165" s="33" t="s">
        <v>779</v>
      </c>
      <c r="F165" s="855" t="s">
        <v>97</v>
      </c>
      <c r="G165" s="1215">
        <v>16000</v>
      </c>
      <c r="H165" s="630">
        <v>0</v>
      </c>
      <c r="I165" s="648">
        <v>0</v>
      </c>
      <c r="J165" s="851">
        <v>0</v>
      </c>
      <c r="K165" s="950">
        <v>4800</v>
      </c>
      <c r="L165" s="950">
        <v>11200</v>
      </c>
      <c r="M165" s="626">
        <v>0</v>
      </c>
      <c r="N165" s="738">
        <v>16000</v>
      </c>
      <c r="O165" s="770">
        <v>0</v>
      </c>
      <c r="P165" s="346">
        <f t="shared" si="10"/>
        <v>16000</v>
      </c>
      <c r="Q165" s="1147">
        <v>0</v>
      </c>
      <c r="R165" s="1148">
        <v>0</v>
      </c>
      <c r="S165" s="1152">
        <v>0</v>
      </c>
      <c r="T165" s="1153">
        <v>0</v>
      </c>
      <c r="U165" s="686">
        <v>0</v>
      </c>
      <c r="V165" s="1152">
        <v>0</v>
      </c>
      <c r="W165" s="1154">
        <v>0</v>
      </c>
      <c r="X165" s="1154">
        <v>0</v>
      </c>
      <c r="Y165" s="1154">
        <v>0</v>
      </c>
      <c r="Z165" s="686">
        <v>0</v>
      </c>
      <c r="AA165" s="617" t="s">
        <v>109</v>
      </c>
      <c r="AB165" s="33" t="s">
        <v>11</v>
      </c>
      <c r="AC165" s="787" t="s">
        <v>299</v>
      </c>
      <c r="AD165" s="375" t="s">
        <v>119</v>
      </c>
      <c r="AE165" s="787" t="s">
        <v>119</v>
      </c>
      <c r="AF165" s="375" t="s">
        <v>128</v>
      </c>
      <c r="AG165" s="33" t="s">
        <v>374</v>
      </c>
    </row>
    <row r="166" spans="1:33" ht="38.25" outlineLevel="1" x14ac:dyDescent="0.25">
      <c r="A166" s="603" t="s">
        <v>780</v>
      </c>
      <c r="B166" s="603" t="s">
        <v>1317</v>
      </c>
      <c r="C166" s="35" t="s">
        <v>878</v>
      </c>
      <c r="D166" s="35" t="s">
        <v>781</v>
      </c>
      <c r="E166" s="35" t="s">
        <v>781</v>
      </c>
      <c r="F166" s="855" t="s">
        <v>782</v>
      </c>
      <c r="G166" s="1215">
        <v>3000</v>
      </c>
      <c r="H166" s="630">
        <v>0</v>
      </c>
      <c r="I166" s="648">
        <v>0</v>
      </c>
      <c r="J166" s="851">
        <v>0</v>
      </c>
      <c r="K166" s="950">
        <v>0</v>
      </c>
      <c r="L166" s="950">
        <v>900</v>
      </c>
      <c r="M166" s="626">
        <v>2100</v>
      </c>
      <c r="N166" s="738">
        <v>3000</v>
      </c>
      <c r="O166" s="770">
        <v>0</v>
      </c>
      <c r="P166" s="346">
        <f t="shared" si="10"/>
        <v>3000</v>
      </c>
      <c r="Q166" s="1147">
        <v>0</v>
      </c>
      <c r="R166" s="1148">
        <v>0</v>
      </c>
      <c r="S166" s="1152">
        <v>0</v>
      </c>
      <c r="T166" s="1153">
        <v>0</v>
      </c>
      <c r="U166" s="686">
        <v>0</v>
      </c>
      <c r="V166" s="1152">
        <v>0</v>
      </c>
      <c r="W166" s="1154">
        <v>0</v>
      </c>
      <c r="X166" s="1154">
        <v>0</v>
      </c>
      <c r="Y166" s="1154">
        <v>0</v>
      </c>
      <c r="Z166" s="686">
        <v>0</v>
      </c>
      <c r="AA166" s="366" t="s">
        <v>109</v>
      </c>
      <c r="AB166" s="35" t="s">
        <v>13</v>
      </c>
      <c r="AC166" s="787" t="s">
        <v>325</v>
      </c>
      <c r="AD166" s="375" t="s">
        <v>119</v>
      </c>
      <c r="AE166" s="787" t="s">
        <v>119</v>
      </c>
      <c r="AF166" s="375" t="s">
        <v>128</v>
      </c>
      <c r="AG166" s="33" t="s">
        <v>364</v>
      </c>
    </row>
    <row r="167" spans="1:33" ht="38.25" outlineLevel="1" x14ac:dyDescent="0.25">
      <c r="A167" s="603" t="s">
        <v>783</v>
      </c>
      <c r="B167" s="603" t="s">
        <v>1318</v>
      </c>
      <c r="C167" s="35" t="s">
        <v>878</v>
      </c>
      <c r="D167" s="35" t="s">
        <v>784</v>
      </c>
      <c r="E167" s="35" t="s">
        <v>784</v>
      </c>
      <c r="F167" s="855" t="s">
        <v>785</v>
      </c>
      <c r="G167" s="1363">
        <v>2160</v>
      </c>
      <c r="H167" s="632">
        <v>0</v>
      </c>
      <c r="I167" s="1056">
        <v>0</v>
      </c>
      <c r="J167" s="605">
        <v>0</v>
      </c>
      <c r="K167" s="337">
        <v>2160</v>
      </c>
      <c r="L167" s="337">
        <v>0</v>
      </c>
      <c r="M167" s="257">
        <v>0</v>
      </c>
      <c r="N167" s="738">
        <v>2160</v>
      </c>
      <c r="O167" s="770">
        <v>0</v>
      </c>
      <c r="P167" s="346">
        <f>N167+O167</f>
        <v>2160</v>
      </c>
      <c r="Q167" s="1364">
        <v>0</v>
      </c>
      <c r="R167" s="1366">
        <v>0</v>
      </c>
      <c r="S167" s="1353">
        <v>0</v>
      </c>
      <c r="T167" s="696">
        <v>0</v>
      </c>
      <c r="U167" s="1365">
        <v>0</v>
      </c>
      <c r="V167" s="1353">
        <v>0</v>
      </c>
      <c r="W167" s="685">
        <v>0</v>
      </c>
      <c r="X167" s="685">
        <v>0</v>
      </c>
      <c r="Y167" s="685">
        <v>0</v>
      </c>
      <c r="Z167" s="1365">
        <v>0</v>
      </c>
      <c r="AA167" s="366" t="s">
        <v>109</v>
      </c>
      <c r="AB167" s="35" t="s">
        <v>46</v>
      </c>
      <c r="AC167" s="448" t="s">
        <v>325</v>
      </c>
      <c r="AD167" s="342" t="s">
        <v>119</v>
      </c>
      <c r="AE167" s="448" t="s">
        <v>119</v>
      </c>
      <c r="AF167" s="342" t="s">
        <v>129</v>
      </c>
      <c r="AG167" s="35" t="s">
        <v>372</v>
      </c>
    </row>
    <row r="168" spans="1:33" ht="30.75" outlineLevel="1" thickBot="1" x14ac:dyDescent="0.3">
      <c r="A168" s="723" t="s">
        <v>837</v>
      </c>
      <c r="B168" s="723" t="s">
        <v>1319</v>
      </c>
      <c r="C168" s="39" t="s">
        <v>878</v>
      </c>
      <c r="D168" s="39" t="s">
        <v>838</v>
      </c>
      <c r="E168" s="39" t="s">
        <v>838</v>
      </c>
      <c r="F168" s="1060" t="s">
        <v>839</v>
      </c>
      <c r="G168" s="1670">
        <v>13791.185750000001</v>
      </c>
      <c r="H168" s="1064">
        <v>0</v>
      </c>
      <c r="I168" s="1065">
        <v>0</v>
      </c>
      <c r="J168" s="978">
        <v>0</v>
      </c>
      <c r="K168" s="1062">
        <v>4137.3557250000013</v>
      </c>
      <c r="L168" s="1062">
        <v>9653.8300249999993</v>
      </c>
      <c r="M168" s="1069">
        <v>0</v>
      </c>
      <c r="N168" s="740">
        <v>13791.185750000001</v>
      </c>
      <c r="O168" s="1671">
        <v>0</v>
      </c>
      <c r="P168" s="268">
        <f t="shared" ref="P168:P169" si="11">N168+O168</f>
        <v>13791.185750000001</v>
      </c>
      <c r="Q168" s="1672">
        <v>0</v>
      </c>
      <c r="R168" s="1673">
        <v>0</v>
      </c>
      <c r="S168" s="798">
        <v>0</v>
      </c>
      <c r="T168" s="799">
        <v>0</v>
      </c>
      <c r="U168" s="1674">
        <v>0</v>
      </c>
      <c r="V168" s="798">
        <v>0</v>
      </c>
      <c r="W168" s="800">
        <v>0</v>
      </c>
      <c r="X168" s="800">
        <v>0</v>
      </c>
      <c r="Y168" s="800">
        <v>0</v>
      </c>
      <c r="Z168" s="1675">
        <v>0</v>
      </c>
      <c r="AA168" s="1676" t="s">
        <v>109</v>
      </c>
      <c r="AB168" s="39" t="s">
        <v>11</v>
      </c>
      <c r="AC168" s="30" t="s">
        <v>325</v>
      </c>
      <c r="AD168" s="30" t="s">
        <v>119</v>
      </c>
      <c r="AE168" s="30" t="s">
        <v>119</v>
      </c>
      <c r="AF168" s="18" t="s">
        <v>130</v>
      </c>
      <c r="AG168" s="39" t="s">
        <v>380</v>
      </c>
    </row>
    <row r="169" spans="1:33" outlineLevel="1" x14ac:dyDescent="0.25">
      <c r="A169" s="1677" t="s">
        <v>1320</v>
      </c>
      <c r="B169" s="1677" t="s">
        <v>112</v>
      </c>
      <c r="C169" s="60" t="s">
        <v>109</v>
      </c>
      <c r="D169" s="60" t="s">
        <v>9</v>
      </c>
      <c r="E169" s="60" t="s">
        <v>1419</v>
      </c>
      <c r="F169" s="1678" t="s">
        <v>1420</v>
      </c>
      <c r="G169" s="1679">
        <v>40000</v>
      </c>
      <c r="H169" s="1680">
        <v>0</v>
      </c>
      <c r="I169" s="1684">
        <v>0</v>
      </c>
      <c r="J169" s="1681">
        <v>0</v>
      </c>
      <c r="K169" s="1682">
        <v>0</v>
      </c>
      <c r="L169" s="1682">
        <v>2000</v>
      </c>
      <c r="M169" s="1683">
        <v>2000</v>
      </c>
      <c r="N169" s="1685">
        <v>0</v>
      </c>
      <c r="O169" s="1686">
        <v>4000</v>
      </c>
      <c r="P169" s="1687">
        <f t="shared" si="11"/>
        <v>4000</v>
      </c>
      <c r="Q169" s="1685">
        <v>18000</v>
      </c>
      <c r="R169" s="1688">
        <v>18000</v>
      </c>
      <c r="S169" s="1689">
        <v>0</v>
      </c>
      <c r="T169" s="1690">
        <v>0</v>
      </c>
      <c r="U169" s="1691">
        <v>0</v>
      </c>
      <c r="V169" s="1689">
        <v>0</v>
      </c>
      <c r="W169" s="1692">
        <v>0</v>
      </c>
      <c r="X169" s="1692">
        <v>0</v>
      </c>
      <c r="Y169" s="1692">
        <v>0</v>
      </c>
      <c r="Z169" s="1693">
        <v>0</v>
      </c>
      <c r="AA169" s="1927" t="s">
        <v>1421</v>
      </c>
      <c r="AB169" s="60" t="s">
        <v>13</v>
      </c>
      <c r="AC169" s="1694" t="s">
        <v>517</v>
      </c>
      <c r="AD169" s="1694" t="s">
        <v>119</v>
      </c>
      <c r="AE169" s="1694" t="s">
        <v>119</v>
      </c>
      <c r="AF169" s="192" t="s">
        <v>128</v>
      </c>
      <c r="AG169" s="60" t="s">
        <v>378</v>
      </c>
    </row>
    <row r="170" spans="1:33" s="316" customFormat="1" ht="15.75" outlineLevel="1" thickBot="1" x14ac:dyDescent="0.3">
      <c r="A170" s="27" t="s">
        <v>124</v>
      </c>
      <c r="B170" s="596" t="s">
        <v>124</v>
      </c>
      <c r="C170" s="258" t="s">
        <v>124</v>
      </c>
      <c r="D170" s="258" t="s">
        <v>124</v>
      </c>
      <c r="E170" s="258" t="s">
        <v>124</v>
      </c>
      <c r="F170" s="580" t="s">
        <v>124</v>
      </c>
      <c r="G170" s="144" t="s">
        <v>124</v>
      </c>
      <c r="H170" s="68" t="s">
        <v>124</v>
      </c>
      <c r="I170" s="188"/>
      <c r="J170" s="187" t="s">
        <v>124</v>
      </c>
      <c r="K170" s="136" t="s">
        <v>124</v>
      </c>
      <c r="L170" s="136" t="s">
        <v>124</v>
      </c>
      <c r="M170" s="128" t="s">
        <v>124</v>
      </c>
      <c r="N170" s="737" t="s">
        <v>124</v>
      </c>
      <c r="O170" s="763" t="s">
        <v>124</v>
      </c>
      <c r="P170" s="346" t="s">
        <v>124</v>
      </c>
      <c r="Q170" s="144" t="s">
        <v>124</v>
      </c>
      <c r="R170" s="231" t="s">
        <v>124</v>
      </c>
      <c r="S170" s="222" t="s">
        <v>124</v>
      </c>
      <c r="T170" s="142" t="s">
        <v>124</v>
      </c>
      <c r="U170" s="32" t="s">
        <v>124</v>
      </c>
      <c r="V170" s="222" t="s">
        <v>124</v>
      </c>
      <c r="W170" s="147" t="s">
        <v>124</v>
      </c>
      <c r="X170" s="147" t="s">
        <v>124</v>
      </c>
      <c r="Y170" s="147" t="s">
        <v>124</v>
      </c>
      <c r="Z170" s="143" t="s">
        <v>124</v>
      </c>
      <c r="AA170" s="143" t="s">
        <v>124</v>
      </c>
      <c r="AB170" s="258" t="s">
        <v>124</v>
      </c>
      <c r="AC170" s="31" t="s">
        <v>124</v>
      </c>
      <c r="AD170" s="31" t="s">
        <v>124</v>
      </c>
      <c r="AE170" s="31" t="s">
        <v>124</v>
      </c>
      <c r="AF170" s="27" t="s">
        <v>124</v>
      </c>
      <c r="AG170" s="258" t="s">
        <v>124</v>
      </c>
    </row>
    <row r="171" spans="1:33" ht="39" thickBot="1" x14ac:dyDescent="0.3">
      <c r="A171" s="114" t="s">
        <v>109</v>
      </c>
      <c r="B171" s="302" t="s">
        <v>109</v>
      </c>
      <c r="C171" s="12" t="s">
        <v>109</v>
      </c>
      <c r="D171" s="336" t="s">
        <v>109</v>
      </c>
      <c r="E171" s="336" t="s">
        <v>109</v>
      </c>
      <c r="F171" s="127" t="s">
        <v>135</v>
      </c>
      <c r="G171" s="341">
        <f>SUM(G136:G170)</f>
        <v>746822.57001179992</v>
      </c>
      <c r="H171" s="341">
        <f t="shared" ref="H171:K171" si="12">SUM(H136:H170)</f>
        <v>147168.47592999999</v>
      </c>
      <c r="I171" s="341">
        <f t="shared" si="12"/>
        <v>64763.527620000008</v>
      </c>
      <c r="J171" s="341">
        <f t="shared" si="12"/>
        <v>26575.899897499999</v>
      </c>
      <c r="K171" s="341">
        <f t="shared" si="12"/>
        <v>58814.368825500002</v>
      </c>
      <c r="L171" s="341">
        <f t="shared" ref="L171:Z171" si="13">SUM(L136:L170)</f>
        <v>114330.7849225</v>
      </c>
      <c r="M171" s="341">
        <f t="shared" si="13"/>
        <v>53762.530704500001</v>
      </c>
      <c r="N171" s="341">
        <f t="shared" si="13"/>
        <v>235973.48162000001</v>
      </c>
      <c r="O171" s="341">
        <f t="shared" si="13"/>
        <v>17510.102730000002</v>
      </c>
      <c r="P171" s="341">
        <f t="shared" si="13"/>
        <v>253483.58435000002</v>
      </c>
      <c r="Q171" s="341">
        <f t="shared" si="13"/>
        <v>260882.47245999999</v>
      </c>
      <c r="R171" s="341">
        <f t="shared" si="13"/>
        <v>18000</v>
      </c>
      <c r="S171" s="341">
        <f t="shared" si="13"/>
        <v>1107.8782718</v>
      </c>
      <c r="T171" s="341">
        <f t="shared" si="13"/>
        <v>0</v>
      </c>
      <c r="U171" s="341">
        <f t="shared" si="13"/>
        <v>1416.63138</v>
      </c>
      <c r="V171" s="341">
        <f t="shared" si="13"/>
        <v>161410.98395999998</v>
      </c>
      <c r="W171" s="341">
        <f t="shared" si="13"/>
        <v>99731.47864999999</v>
      </c>
      <c r="X171" s="341">
        <f t="shared" si="13"/>
        <v>0</v>
      </c>
      <c r="Y171" s="341">
        <f t="shared" si="13"/>
        <v>61679.505309999993</v>
      </c>
      <c r="Z171" s="341">
        <f t="shared" si="13"/>
        <v>0</v>
      </c>
      <c r="AA171" s="14" t="s">
        <v>1232</v>
      </c>
      <c r="AB171" s="12" t="s">
        <v>109</v>
      </c>
      <c r="AC171" s="261" t="s">
        <v>109</v>
      </c>
      <c r="AD171" s="77" t="s">
        <v>109</v>
      </c>
      <c r="AE171" s="261" t="s">
        <v>109</v>
      </c>
      <c r="AF171" s="50" t="s">
        <v>109</v>
      </c>
      <c r="AG171" s="363" t="s">
        <v>109</v>
      </c>
    </row>
    <row r="172" spans="1:33" ht="30" outlineLevel="1" x14ac:dyDescent="0.25">
      <c r="A172" s="880" t="s">
        <v>457</v>
      </c>
      <c r="B172" s="881" t="s">
        <v>975</v>
      </c>
      <c r="C172" s="70" t="s">
        <v>232</v>
      </c>
      <c r="D172" s="838" t="s">
        <v>423</v>
      </c>
      <c r="E172" s="1076" t="s">
        <v>48</v>
      </c>
      <c r="F172" s="1695" t="s">
        <v>49</v>
      </c>
      <c r="G172" s="189">
        <v>43778.67959</v>
      </c>
      <c r="H172" s="80">
        <v>23978.757640000003</v>
      </c>
      <c r="I172" s="131">
        <v>0</v>
      </c>
      <c r="J172" s="967">
        <v>0</v>
      </c>
      <c r="K172" s="1696">
        <v>2789.9765850000003</v>
      </c>
      <c r="L172" s="1696">
        <v>0</v>
      </c>
      <c r="M172" s="1697">
        <v>6509.9453649999996</v>
      </c>
      <c r="N172" s="208">
        <v>9299.9219499999999</v>
      </c>
      <c r="O172" s="884">
        <v>0</v>
      </c>
      <c r="P172" s="884">
        <f t="shared" ref="P172:P235" si="14">N172+O172</f>
        <v>9299.9219499999999</v>
      </c>
      <c r="Q172" s="1698">
        <v>10500</v>
      </c>
      <c r="R172" s="1699">
        <v>0</v>
      </c>
      <c r="S172" s="1700">
        <v>0</v>
      </c>
      <c r="T172" s="1701">
        <v>0</v>
      </c>
      <c r="U172" s="1702">
        <v>0</v>
      </c>
      <c r="V172" s="1703">
        <v>0</v>
      </c>
      <c r="W172" s="1704">
        <v>0</v>
      </c>
      <c r="X172" s="1499">
        <v>0</v>
      </c>
      <c r="Y172" s="1704">
        <v>0</v>
      </c>
      <c r="Z172" s="1705">
        <v>0</v>
      </c>
      <c r="AA172" s="71" t="s">
        <v>1322</v>
      </c>
      <c r="AB172" s="82" t="s">
        <v>16</v>
      </c>
      <c r="AC172" s="848" t="s">
        <v>321</v>
      </c>
      <c r="AD172" s="848" t="s">
        <v>120</v>
      </c>
      <c r="AE172" s="1075" t="s">
        <v>120</v>
      </c>
      <c r="AF172" s="181" t="s">
        <v>127</v>
      </c>
      <c r="AG172" s="964" t="s">
        <v>535</v>
      </c>
    </row>
    <row r="173" spans="1:33" ht="30" outlineLevel="1" x14ac:dyDescent="0.25">
      <c r="A173" s="880" t="s">
        <v>458</v>
      </c>
      <c r="B173" s="1707" t="s">
        <v>976</v>
      </c>
      <c r="C173" s="71" t="s">
        <v>117</v>
      </c>
      <c r="D173" s="838" t="s">
        <v>9</v>
      </c>
      <c r="E173" s="839" t="s">
        <v>520</v>
      </c>
      <c r="F173" s="972" t="s">
        <v>122</v>
      </c>
      <c r="G173" s="83">
        <v>17500</v>
      </c>
      <c r="H173" s="80">
        <v>0</v>
      </c>
      <c r="I173" s="131">
        <v>0</v>
      </c>
      <c r="J173" s="162">
        <v>0</v>
      </c>
      <c r="K173" s="163">
        <v>0</v>
      </c>
      <c r="L173" s="163">
        <v>0</v>
      </c>
      <c r="M173" s="164">
        <v>0</v>
      </c>
      <c r="N173" s="208">
        <v>5000</v>
      </c>
      <c r="O173" s="884">
        <v>-5000</v>
      </c>
      <c r="P173" s="885">
        <f t="shared" si="14"/>
        <v>0</v>
      </c>
      <c r="Q173" s="842">
        <v>12500</v>
      </c>
      <c r="R173" s="1708">
        <v>5000</v>
      </c>
      <c r="S173" s="1709">
        <v>0</v>
      </c>
      <c r="T173" s="1710">
        <v>0</v>
      </c>
      <c r="U173" s="164">
        <v>0</v>
      </c>
      <c r="V173" s="844">
        <v>0</v>
      </c>
      <c r="W173" s="846">
        <v>0</v>
      </c>
      <c r="X173" s="886">
        <v>0</v>
      </c>
      <c r="Y173" s="846">
        <v>0</v>
      </c>
      <c r="Z173" s="1472">
        <v>0</v>
      </c>
      <c r="AA173" s="132" t="s">
        <v>1323</v>
      </c>
      <c r="AB173" s="71" t="s">
        <v>46</v>
      </c>
      <c r="AC173" s="848" t="s">
        <v>1324</v>
      </c>
      <c r="AD173" s="848" t="s">
        <v>119</v>
      </c>
      <c r="AE173" s="848" t="s">
        <v>119</v>
      </c>
      <c r="AF173" s="85" t="s">
        <v>127</v>
      </c>
      <c r="AG173" s="838" t="s">
        <v>388</v>
      </c>
    </row>
    <row r="174" spans="1:33" ht="25.5" outlineLevel="1" x14ac:dyDescent="0.25">
      <c r="A174" s="1414" t="s">
        <v>459</v>
      </c>
      <c r="B174" s="593" t="s">
        <v>977</v>
      </c>
      <c r="C174" s="35" t="s">
        <v>117</v>
      </c>
      <c r="D174" s="259" t="s">
        <v>59</v>
      </c>
      <c r="E174" s="627" t="s">
        <v>59</v>
      </c>
      <c r="F174" s="951" t="s">
        <v>242</v>
      </c>
      <c r="G174" s="36">
        <v>96.8</v>
      </c>
      <c r="H174" s="622">
        <v>0</v>
      </c>
      <c r="I174" s="182">
        <v>0</v>
      </c>
      <c r="J174" s="260">
        <v>0</v>
      </c>
      <c r="K174" s="343">
        <v>0</v>
      </c>
      <c r="L174" s="343">
        <v>0</v>
      </c>
      <c r="M174" s="256">
        <v>96.8</v>
      </c>
      <c r="N174" s="732">
        <v>96.8</v>
      </c>
      <c r="O174" s="759">
        <v>0</v>
      </c>
      <c r="P174" s="346">
        <f t="shared" si="14"/>
        <v>96.8</v>
      </c>
      <c r="Q174" s="1474">
        <v>0</v>
      </c>
      <c r="R174" s="1711">
        <v>0</v>
      </c>
      <c r="S174" s="1712">
        <v>0</v>
      </c>
      <c r="T174" s="1713">
        <v>0</v>
      </c>
      <c r="U174" s="256">
        <v>0</v>
      </c>
      <c r="V174" s="981">
        <v>0</v>
      </c>
      <c r="W174" s="979">
        <v>0</v>
      </c>
      <c r="X174" s="979">
        <v>0</v>
      </c>
      <c r="Y174" s="979">
        <v>0</v>
      </c>
      <c r="Z174" s="1714">
        <v>0</v>
      </c>
      <c r="AA174" s="35" t="s">
        <v>109</v>
      </c>
      <c r="AB174" s="35" t="s">
        <v>46</v>
      </c>
      <c r="AC174" s="448" t="s">
        <v>299</v>
      </c>
      <c r="AD174" s="448" t="s">
        <v>119</v>
      </c>
      <c r="AE174" s="448" t="s">
        <v>119</v>
      </c>
      <c r="AF174" s="342" t="s">
        <v>127</v>
      </c>
      <c r="AG174" s="259" t="s">
        <v>377</v>
      </c>
    </row>
    <row r="175" spans="1:33" ht="30.75" outlineLevel="1" thickBot="1" x14ac:dyDescent="0.3">
      <c r="A175" s="894" t="s">
        <v>460</v>
      </c>
      <c r="B175" s="895" t="s">
        <v>978</v>
      </c>
      <c r="C175" s="91" t="s">
        <v>117</v>
      </c>
      <c r="D175" s="896" t="s">
        <v>53</v>
      </c>
      <c r="E175" s="1715" t="s">
        <v>53</v>
      </c>
      <c r="F175" s="1716" t="s">
        <v>514</v>
      </c>
      <c r="G175" s="92">
        <v>248655</v>
      </c>
      <c r="H175" s="92">
        <v>1724.069</v>
      </c>
      <c r="I175" s="178">
        <v>0</v>
      </c>
      <c r="J175" s="898">
        <v>0</v>
      </c>
      <c r="K175" s="173">
        <v>500</v>
      </c>
      <c r="L175" s="173">
        <v>500</v>
      </c>
      <c r="M175" s="899">
        <v>1000</v>
      </c>
      <c r="N175" s="1491">
        <v>244930.93100000001</v>
      </c>
      <c r="O175" s="177">
        <v>-242930.93100000001</v>
      </c>
      <c r="P175" s="177">
        <f>N175+O175</f>
        <v>2000</v>
      </c>
      <c r="Q175" s="1491">
        <v>2000</v>
      </c>
      <c r="R175" s="1648">
        <v>242930.93100000001</v>
      </c>
      <c r="S175" s="898">
        <v>0</v>
      </c>
      <c r="T175" s="173">
        <v>0</v>
      </c>
      <c r="U175" s="899">
        <v>0</v>
      </c>
      <c r="V175" s="901">
        <v>0</v>
      </c>
      <c r="W175" s="904">
        <v>0</v>
      </c>
      <c r="X175" s="904">
        <v>0</v>
      </c>
      <c r="Y175" s="904">
        <v>0</v>
      </c>
      <c r="Z175" s="1647">
        <v>0</v>
      </c>
      <c r="AA175" s="572" t="s">
        <v>1325</v>
      </c>
      <c r="AB175" s="91" t="s">
        <v>13</v>
      </c>
      <c r="AC175" s="449" t="s">
        <v>299</v>
      </c>
      <c r="AD175" s="449" t="s">
        <v>119</v>
      </c>
      <c r="AE175" s="449" t="s">
        <v>119</v>
      </c>
      <c r="AF175" s="179" t="s">
        <v>129</v>
      </c>
      <c r="AG175" s="91" t="s">
        <v>372</v>
      </c>
    </row>
    <row r="176" spans="1:33" ht="30" outlineLevel="1" x14ac:dyDescent="0.25">
      <c r="A176" s="1717" t="s">
        <v>60</v>
      </c>
      <c r="B176" s="1718" t="s">
        <v>979</v>
      </c>
      <c r="C176" s="82" t="s">
        <v>116</v>
      </c>
      <c r="D176" s="1076" t="s">
        <v>53</v>
      </c>
      <c r="E176" s="1719" t="s">
        <v>53</v>
      </c>
      <c r="F176" s="1695" t="s">
        <v>61</v>
      </c>
      <c r="G176" s="189">
        <v>11500</v>
      </c>
      <c r="H176" s="80">
        <v>1546.6233299999999</v>
      </c>
      <c r="I176" s="131">
        <v>100</v>
      </c>
      <c r="J176" s="156">
        <v>25</v>
      </c>
      <c r="K176" s="157">
        <v>125</v>
      </c>
      <c r="L176" s="1696">
        <v>0</v>
      </c>
      <c r="M176" s="1697">
        <v>1000</v>
      </c>
      <c r="N176" s="1497">
        <v>9853.3766699999996</v>
      </c>
      <c r="O176" s="1465">
        <v>-8703.3766699999996</v>
      </c>
      <c r="P176" s="1465">
        <f t="shared" si="14"/>
        <v>1150</v>
      </c>
      <c r="Q176" s="1497">
        <v>8703.3766699999996</v>
      </c>
      <c r="R176" s="1720">
        <v>0</v>
      </c>
      <c r="S176" s="967">
        <v>0</v>
      </c>
      <c r="T176" s="1696">
        <v>0</v>
      </c>
      <c r="U176" s="1697">
        <v>0</v>
      </c>
      <c r="V176" s="1462">
        <v>0</v>
      </c>
      <c r="W176" s="1499">
        <v>0</v>
      </c>
      <c r="X176" s="1499">
        <v>0</v>
      </c>
      <c r="Y176" s="1499">
        <v>0</v>
      </c>
      <c r="Z176" s="1498">
        <v>0</v>
      </c>
      <c r="AA176" s="122" t="s">
        <v>1326</v>
      </c>
      <c r="AB176" s="82" t="s">
        <v>13</v>
      </c>
      <c r="AC176" s="1469" t="s">
        <v>299</v>
      </c>
      <c r="AD176" s="1721" t="s">
        <v>119</v>
      </c>
      <c r="AE176" s="1721" t="s">
        <v>119</v>
      </c>
      <c r="AF176" s="82">
        <v>2</v>
      </c>
      <c r="AG176" s="70" t="s">
        <v>372</v>
      </c>
    </row>
    <row r="177" spans="1:33" ht="30" outlineLevel="1" x14ac:dyDescent="0.25">
      <c r="A177" s="880" t="s">
        <v>62</v>
      </c>
      <c r="B177" s="881" t="s">
        <v>980</v>
      </c>
      <c r="C177" s="71" t="s">
        <v>116</v>
      </c>
      <c r="D177" s="838" t="s">
        <v>52</v>
      </c>
      <c r="E177" s="839" t="s">
        <v>52</v>
      </c>
      <c r="F177" s="972" t="s">
        <v>111</v>
      </c>
      <c r="G177" s="83">
        <v>50410.85</v>
      </c>
      <c r="H177" s="80">
        <v>0</v>
      </c>
      <c r="I177" s="131">
        <v>0</v>
      </c>
      <c r="J177" s="162">
        <v>0</v>
      </c>
      <c r="K177" s="163">
        <v>0</v>
      </c>
      <c r="L177" s="163">
        <v>2830</v>
      </c>
      <c r="M177" s="164">
        <v>0</v>
      </c>
      <c r="N177" s="208">
        <v>33240.85</v>
      </c>
      <c r="O177" s="884">
        <v>-30410.85</v>
      </c>
      <c r="P177" s="885">
        <f>N177+O177</f>
        <v>2830</v>
      </c>
      <c r="Q177" s="842">
        <v>17170</v>
      </c>
      <c r="R177" s="1500">
        <v>30410.85</v>
      </c>
      <c r="S177" s="162">
        <v>0</v>
      </c>
      <c r="T177" s="163">
        <v>0</v>
      </c>
      <c r="U177" s="164">
        <v>0</v>
      </c>
      <c r="V177" s="844">
        <v>0</v>
      </c>
      <c r="W177" s="846">
        <v>0</v>
      </c>
      <c r="X177" s="886">
        <v>0</v>
      </c>
      <c r="Y177" s="846">
        <v>0</v>
      </c>
      <c r="Z177" s="847">
        <v>0</v>
      </c>
      <c r="AA177" s="62" t="s">
        <v>1327</v>
      </c>
      <c r="AB177" s="71" t="s">
        <v>11</v>
      </c>
      <c r="AC177" s="848" t="s">
        <v>623</v>
      </c>
      <c r="AD177" s="96" t="s">
        <v>119</v>
      </c>
      <c r="AE177" s="96" t="s">
        <v>119</v>
      </c>
      <c r="AF177" s="71">
        <v>3</v>
      </c>
      <c r="AG177" s="71" t="s">
        <v>375</v>
      </c>
    </row>
    <row r="178" spans="1:33" ht="25.5" outlineLevel="1" x14ac:dyDescent="0.25">
      <c r="A178" s="880" t="s">
        <v>63</v>
      </c>
      <c r="B178" s="881" t="s">
        <v>981</v>
      </c>
      <c r="C178" s="71" t="s">
        <v>116</v>
      </c>
      <c r="D178" s="838" t="s">
        <v>55</v>
      </c>
      <c r="E178" s="839" t="s">
        <v>55</v>
      </c>
      <c r="F178" s="972" t="s">
        <v>64</v>
      </c>
      <c r="G178" s="83">
        <v>8500</v>
      </c>
      <c r="H178" s="80">
        <v>347.834</v>
      </c>
      <c r="I178" s="131">
        <v>199.9145</v>
      </c>
      <c r="J178" s="162">
        <v>0</v>
      </c>
      <c r="K178" s="163">
        <v>650</v>
      </c>
      <c r="L178" s="163">
        <v>890</v>
      </c>
      <c r="M178" s="164">
        <v>1460</v>
      </c>
      <c r="N178" s="208">
        <v>7952.2515000000003</v>
      </c>
      <c r="O178" s="884">
        <v>-4952.2515000000003</v>
      </c>
      <c r="P178" s="884">
        <f t="shared" si="14"/>
        <v>3000</v>
      </c>
      <c r="Q178" s="842">
        <v>4952.2515000000003</v>
      </c>
      <c r="R178" s="1500">
        <v>0</v>
      </c>
      <c r="S178" s="162">
        <v>0</v>
      </c>
      <c r="T178" s="163">
        <v>0</v>
      </c>
      <c r="U178" s="164">
        <v>0</v>
      </c>
      <c r="V178" s="844">
        <v>0</v>
      </c>
      <c r="W178" s="846">
        <v>0</v>
      </c>
      <c r="X178" s="886">
        <v>0</v>
      </c>
      <c r="Y178" s="846">
        <v>0</v>
      </c>
      <c r="Z178" s="847">
        <v>0</v>
      </c>
      <c r="AA178" s="62" t="s">
        <v>1328</v>
      </c>
      <c r="AB178" s="71" t="s">
        <v>16</v>
      </c>
      <c r="AC178" s="848" t="s">
        <v>299</v>
      </c>
      <c r="AD178" s="96" t="s">
        <v>120</v>
      </c>
      <c r="AE178" s="96" t="s">
        <v>120</v>
      </c>
      <c r="AF178" s="71">
        <v>2</v>
      </c>
      <c r="AG178" s="838" t="s">
        <v>378</v>
      </c>
    </row>
    <row r="179" spans="1:33" ht="30.75" outlineLevel="1" thickBot="1" x14ac:dyDescent="0.3">
      <c r="A179" s="723" t="s">
        <v>65</v>
      </c>
      <c r="B179" s="16" t="s">
        <v>982</v>
      </c>
      <c r="C179" s="39" t="s">
        <v>116</v>
      </c>
      <c r="D179" s="340" t="s">
        <v>54</v>
      </c>
      <c r="E179" s="504" t="s">
        <v>54</v>
      </c>
      <c r="F179" s="788" t="s">
        <v>66</v>
      </c>
      <c r="G179" s="789">
        <f>11482.15372+89.0809</f>
        <v>11571.234620000001</v>
      </c>
      <c r="H179" s="789">
        <v>8225.0181200000006</v>
      </c>
      <c r="I179" s="2107">
        <v>3015.6072799999997</v>
      </c>
      <c r="J179" s="790">
        <v>0</v>
      </c>
      <c r="K179" s="791">
        <v>99.182766000000015</v>
      </c>
      <c r="L179" s="791">
        <v>0</v>
      </c>
      <c r="M179" s="792">
        <v>231.42645399999998</v>
      </c>
      <c r="N179" s="736">
        <v>330.60921999999999</v>
      </c>
      <c r="O179" s="700">
        <v>0</v>
      </c>
      <c r="P179" s="268">
        <f t="shared" si="14"/>
        <v>330.60921999999999</v>
      </c>
      <c r="Q179" s="1064">
        <v>0</v>
      </c>
      <c r="R179" s="1065">
        <v>0</v>
      </c>
      <c r="S179" s="790">
        <v>0</v>
      </c>
      <c r="T179" s="791">
        <v>0</v>
      </c>
      <c r="U179" s="792">
        <v>0</v>
      </c>
      <c r="V179" s="978">
        <v>0</v>
      </c>
      <c r="W179" s="1068">
        <v>0</v>
      </c>
      <c r="X179" s="1068">
        <v>0</v>
      </c>
      <c r="Y179" s="1068">
        <v>0</v>
      </c>
      <c r="Z179" s="1069">
        <v>0</v>
      </c>
      <c r="AA179" s="15" t="s">
        <v>109</v>
      </c>
      <c r="AB179" s="39" t="s">
        <v>16</v>
      </c>
      <c r="AC179" s="30" t="s">
        <v>522</v>
      </c>
      <c r="AD179" s="718" t="s">
        <v>120</v>
      </c>
      <c r="AE179" s="718" t="s">
        <v>120</v>
      </c>
      <c r="AF179" s="39">
        <v>1</v>
      </c>
      <c r="AG179" s="340" t="s">
        <v>363</v>
      </c>
    </row>
    <row r="180" spans="1:33" ht="25.5" outlineLevel="1" x14ac:dyDescent="0.25">
      <c r="A180" s="962" t="s">
        <v>178</v>
      </c>
      <c r="B180" s="837" t="s">
        <v>983</v>
      </c>
      <c r="C180" s="70" t="s">
        <v>237</v>
      </c>
      <c r="D180" s="964" t="s">
        <v>76</v>
      </c>
      <c r="E180" s="1706" t="s">
        <v>76</v>
      </c>
      <c r="F180" s="965" t="s">
        <v>179</v>
      </c>
      <c r="G180" s="80">
        <v>700</v>
      </c>
      <c r="H180" s="80">
        <v>0</v>
      </c>
      <c r="I180" s="131">
        <v>0</v>
      </c>
      <c r="J180" s="156">
        <v>0</v>
      </c>
      <c r="K180" s="157">
        <v>210.00000000000006</v>
      </c>
      <c r="L180" s="157">
        <v>0</v>
      </c>
      <c r="M180" s="1109">
        <v>489.99999999999994</v>
      </c>
      <c r="N180" s="208">
        <v>700</v>
      </c>
      <c r="O180" s="884">
        <v>0</v>
      </c>
      <c r="P180" s="884">
        <f t="shared" si="14"/>
        <v>700</v>
      </c>
      <c r="Q180" s="208">
        <v>0</v>
      </c>
      <c r="R180" s="234">
        <v>0</v>
      </c>
      <c r="S180" s="156">
        <v>0</v>
      </c>
      <c r="T180" s="157">
        <v>0</v>
      </c>
      <c r="U180" s="1109">
        <v>0</v>
      </c>
      <c r="V180" s="968">
        <v>0</v>
      </c>
      <c r="W180" s="886">
        <v>0</v>
      </c>
      <c r="X180" s="886">
        <v>0</v>
      </c>
      <c r="Y180" s="886">
        <v>0</v>
      </c>
      <c r="Z180" s="970">
        <v>0</v>
      </c>
      <c r="AA180" s="122" t="s">
        <v>1322</v>
      </c>
      <c r="AB180" s="70" t="s">
        <v>13</v>
      </c>
      <c r="AC180" s="1075" t="s">
        <v>299</v>
      </c>
      <c r="AD180" s="887" t="s">
        <v>119</v>
      </c>
      <c r="AE180" s="887" t="s">
        <v>119</v>
      </c>
      <c r="AF180" s="70">
        <v>3</v>
      </c>
      <c r="AG180" s="964" t="s">
        <v>109</v>
      </c>
    </row>
    <row r="181" spans="1:33" ht="30" outlineLevel="1" x14ac:dyDescent="0.25">
      <c r="A181" s="602" t="s">
        <v>180</v>
      </c>
      <c r="B181" s="599" t="s">
        <v>984</v>
      </c>
      <c r="C181" s="33" t="s">
        <v>237</v>
      </c>
      <c r="D181" s="368" t="s">
        <v>181</v>
      </c>
      <c r="E181" s="374" t="s">
        <v>181</v>
      </c>
      <c r="F181" s="821" t="s">
        <v>182</v>
      </c>
      <c r="G181" s="622">
        <v>266</v>
      </c>
      <c r="H181" s="36">
        <v>98.977999999999994</v>
      </c>
      <c r="I181" s="182">
        <v>0</v>
      </c>
      <c r="J181" s="631">
        <v>0</v>
      </c>
      <c r="K181" s="624">
        <v>50.1066</v>
      </c>
      <c r="L181" s="624">
        <v>0</v>
      </c>
      <c r="M181" s="850">
        <v>116.91539999999999</v>
      </c>
      <c r="N181" s="732">
        <v>167.02199999999999</v>
      </c>
      <c r="O181" s="759">
        <v>0</v>
      </c>
      <c r="P181" s="346">
        <f t="shared" si="14"/>
        <v>167.02199999999999</v>
      </c>
      <c r="Q181" s="630">
        <v>0</v>
      </c>
      <c r="R181" s="648">
        <v>0</v>
      </c>
      <c r="S181" s="631">
        <v>0</v>
      </c>
      <c r="T181" s="343">
        <v>0</v>
      </c>
      <c r="U181" s="850">
        <v>0</v>
      </c>
      <c r="V181" s="851">
        <v>0</v>
      </c>
      <c r="W181" s="852">
        <v>0</v>
      </c>
      <c r="X181" s="852">
        <v>0</v>
      </c>
      <c r="Y181" s="852">
        <v>0</v>
      </c>
      <c r="Z181" s="626">
        <v>0</v>
      </c>
      <c r="AA181" s="34" t="s">
        <v>109</v>
      </c>
      <c r="AB181" s="33" t="s">
        <v>16</v>
      </c>
      <c r="AC181" s="787" t="s">
        <v>517</v>
      </c>
      <c r="AD181" s="617" t="s">
        <v>120</v>
      </c>
      <c r="AE181" s="617" t="s">
        <v>120</v>
      </c>
      <c r="AF181" s="35">
        <v>1</v>
      </c>
      <c r="AG181" s="259" t="s">
        <v>377</v>
      </c>
    </row>
    <row r="182" spans="1:33" ht="30.75" outlineLevel="1" thickBot="1" x14ac:dyDescent="0.3">
      <c r="A182" s="894" t="s">
        <v>183</v>
      </c>
      <c r="B182" s="895" t="s">
        <v>985</v>
      </c>
      <c r="C182" s="214" t="s">
        <v>237</v>
      </c>
      <c r="D182" s="896" t="s">
        <v>57</v>
      </c>
      <c r="E182" s="1715" t="s">
        <v>57</v>
      </c>
      <c r="F182" s="1716" t="s">
        <v>503</v>
      </c>
      <c r="G182" s="92">
        <v>13500</v>
      </c>
      <c r="H182" s="190">
        <v>399.3</v>
      </c>
      <c r="I182" s="169">
        <v>117.613</v>
      </c>
      <c r="J182" s="898">
        <v>436</v>
      </c>
      <c r="K182" s="173">
        <v>744</v>
      </c>
      <c r="L182" s="207"/>
      <c r="M182" s="1722">
        <v>0</v>
      </c>
      <c r="N182" s="900">
        <v>12983.087</v>
      </c>
      <c r="O182" s="1231">
        <v>-11803.087</v>
      </c>
      <c r="P182" s="177">
        <f t="shared" si="14"/>
        <v>1180</v>
      </c>
      <c r="Q182" s="1491">
        <v>11803.087</v>
      </c>
      <c r="R182" s="1648">
        <v>0</v>
      </c>
      <c r="S182" s="898">
        <v>0</v>
      </c>
      <c r="T182" s="173">
        <v>0</v>
      </c>
      <c r="U182" s="899">
        <v>0</v>
      </c>
      <c r="V182" s="901">
        <v>0</v>
      </c>
      <c r="W182" s="904">
        <v>0</v>
      </c>
      <c r="X182" s="904">
        <v>0</v>
      </c>
      <c r="Y182" s="904">
        <v>0</v>
      </c>
      <c r="Z182" s="905">
        <v>0</v>
      </c>
      <c r="AA182" s="106" t="s">
        <v>1329</v>
      </c>
      <c r="AB182" s="91" t="s">
        <v>11</v>
      </c>
      <c r="AC182" s="449" t="s">
        <v>1250</v>
      </c>
      <c r="AD182" s="296" t="s">
        <v>119</v>
      </c>
      <c r="AE182" s="296" t="s">
        <v>119</v>
      </c>
      <c r="AF182" s="179" t="s">
        <v>128</v>
      </c>
      <c r="AG182" s="896" t="s">
        <v>363</v>
      </c>
    </row>
    <row r="183" spans="1:33" ht="26.25" outlineLevel="1" thickBot="1" x14ac:dyDescent="0.3">
      <c r="A183" s="723" t="s">
        <v>204</v>
      </c>
      <c r="B183" s="16" t="s">
        <v>986</v>
      </c>
      <c r="C183" s="258" t="s">
        <v>235</v>
      </c>
      <c r="D183" s="340" t="s">
        <v>59</v>
      </c>
      <c r="E183" s="504" t="s">
        <v>59</v>
      </c>
      <c r="F183" s="788" t="s">
        <v>205</v>
      </c>
      <c r="G183" s="789">
        <v>3000</v>
      </c>
      <c r="H183" s="789">
        <v>2163.4886299999998</v>
      </c>
      <c r="I183" s="2107">
        <v>0</v>
      </c>
      <c r="J183" s="790">
        <v>0</v>
      </c>
      <c r="K183" s="791">
        <v>250.95341100000007</v>
      </c>
      <c r="L183" s="791">
        <v>0</v>
      </c>
      <c r="M183" s="792">
        <v>585.55795899999998</v>
      </c>
      <c r="N183" s="736">
        <v>836.51137000000006</v>
      </c>
      <c r="O183" s="700">
        <v>0</v>
      </c>
      <c r="P183" s="268">
        <f t="shared" si="14"/>
        <v>836.51137000000006</v>
      </c>
      <c r="Q183" s="1064">
        <v>0</v>
      </c>
      <c r="R183" s="1065">
        <v>0</v>
      </c>
      <c r="S183" s="790">
        <v>0</v>
      </c>
      <c r="T183" s="791">
        <v>0</v>
      </c>
      <c r="U183" s="792">
        <v>0</v>
      </c>
      <c r="V183" s="1525">
        <v>0</v>
      </c>
      <c r="W183" s="1546">
        <v>0</v>
      </c>
      <c r="X183" s="1546">
        <v>0</v>
      </c>
      <c r="Y183" s="1546">
        <v>0</v>
      </c>
      <c r="Z183" s="651">
        <v>0</v>
      </c>
      <c r="AA183" s="240" t="s">
        <v>109</v>
      </c>
      <c r="AB183" s="39" t="s">
        <v>13</v>
      </c>
      <c r="AC183" s="31" t="s">
        <v>299</v>
      </c>
      <c r="AD183" s="22" t="s">
        <v>119</v>
      </c>
      <c r="AE183" s="22" t="s">
        <v>119</v>
      </c>
      <c r="AF183" s="18" t="s">
        <v>127</v>
      </c>
      <c r="AG183" s="340" t="s">
        <v>377</v>
      </c>
    </row>
    <row r="184" spans="1:33" ht="30" outlineLevel="1" x14ac:dyDescent="0.25">
      <c r="A184" s="1549" t="s">
        <v>243</v>
      </c>
      <c r="B184" s="1723" t="s">
        <v>987</v>
      </c>
      <c r="C184" s="535" t="s">
        <v>274</v>
      </c>
      <c r="D184" s="544" t="s">
        <v>54</v>
      </c>
      <c r="E184" s="1557" t="s">
        <v>54</v>
      </c>
      <c r="F184" s="1724" t="s">
        <v>244</v>
      </c>
      <c r="G184" s="545">
        <v>243.452</v>
      </c>
      <c r="H184" s="545">
        <v>243.452</v>
      </c>
      <c r="I184" s="2108">
        <v>0</v>
      </c>
      <c r="J184" s="1725">
        <v>0</v>
      </c>
      <c r="K184" s="1726">
        <v>0</v>
      </c>
      <c r="L184" s="1726">
        <v>0</v>
      </c>
      <c r="M184" s="1727">
        <v>0</v>
      </c>
      <c r="N184" s="550">
        <v>1782.2</v>
      </c>
      <c r="O184" s="533">
        <v>-1782.2</v>
      </c>
      <c r="P184" s="1552">
        <f t="shared" si="14"/>
        <v>0</v>
      </c>
      <c r="Q184" s="551">
        <v>0</v>
      </c>
      <c r="R184" s="1553">
        <v>0</v>
      </c>
      <c r="S184" s="1725">
        <v>0</v>
      </c>
      <c r="T184" s="1726">
        <v>0</v>
      </c>
      <c r="U184" s="1727">
        <v>0</v>
      </c>
      <c r="V184" s="547">
        <v>0</v>
      </c>
      <c r="W184" s="1508">
        <v>0</v>
      </c>
      <c r="X184" s="1508">
        <v>0</v>
      </c>
      <c r="Y184" s="1508">
        <v>0</v>
      </c>
      <c r="Z184" s="549">
        <v>0</v>
      </c>
      <c r="AA184" s="552" t="s">
        <v>1330</v>
      </c>
      <c r="AB184" s="535" t="s">
        <v>123</v>
      </c>
      <c r="AC184" s="1556" t="s">
        <v>318</v>
      </c>
      <c r="AD184" s="1728" t="s">
        <v>119</v>
      </c>
      <c r="AE184" s="1728" t="s">
        <v>119</v>
      </c>
      <c r="AF184" s="535">
        <v>1</v>
      </c>
      <c r="AG184" s="544" t="s">
        <v>363</v>
      </c>
    </row>
    <row r="185" spans="1:33" ht="30" outlineLevel="1" x14ac:dyDescent="0.25">
      <c r="A185" s="603" t="s">
        <v>245</v>
      </c>
      <c r="B185" s="593" t="s">
        <v>988</v>
      </c>
      <c r="C185" s="33" t="s">
        <v>274</v>
      </c>
      <c r="D185" s="259" t="s">
        <v>50</v>
      </c>
      <c r="E185" s="627" t="s">
        <v>50</v>
      </c>
      <c r="F185" s="951" t="s">
        <v>246</v>
      </c>
      <c r="G185" s="36">
        <v>1000</v>
      </c>
      <c r="H185" s="622">
        <v>0</v>
      </c>
      <c r="I185" s="182">
        <v>324.27999999999997</v>
      </c>
      <c r="J185" s="260">
        <v>0</v>
      </c>
      <c r="K185" s="343">
        <v>250</v>
      </c>
      <c r="L185" s="343">
        <v>0</v>
      </c>
      <c r="M185" s="256">
        <f>675.72-250</f>
        <v>425.72</v>
      </c>
      <c r="N185" s="732">
        <v>675.72</v>
      </c>
      <c r="O185" s="759">
        <v>0</v>
      </c>
      <c r="P185" s="346">
        <f t="shared" si="14"/>
        <v>675.72</v>
      </c>
      <c r="Q185" s="632">
        <v>0</v>
      </c>
      <c r="R185" s="1056">
        <v>0</v>
      </c>
      <c r="S185" s="260">
        <v>0</v>
      </c>
      <c r="T185" s="343">
        <v>0</v>
      </c>
      <c r="U185" s="256">
        <v>0</v>
      </c>
      <c r="V185" s="851">
        <v>0</v>
      </c>
      <c r="W185" s="852">
        <v>0</v>
      </c>
      <c r="X185" s="852">
        <v>0</v>
      </c>
      <c r="Y185" s="852">
        <v>0</v>
      </c>
      <c r="Z185" s="626">
        <v>0</v>
      </c>
      <c r="AA185" s="38" t="s">
        <v>109</v>
      </c>
      <c r="AB185" s="35" t="s">
        <v>16</v>
      </c>
      <c r="AC185" s="787" t="s">
        <v>303</v>
      </c>
      <c r="AD185" s="617" t="s">
        <v>120</v>
      </c>
      <c r="AE185" s="617" t="s">
        <v>120</v>
      </c>
      <c r="AF185" s="35">
        <v>1</v>
      </c>
      <c r="AG185" s="259" t="s">
        <v>374</v>
      </c>
    </row>
    <row r="186" spans="1:33" ht="25.5" outlineLevel="1" x14ac:dyDescent="0.25">
      <c r="A186" s="1373" t="s">
        <v>247</v>
      </c>
      <c r="B186" s="558" t="s">
        <v>989</v>
      </c>
      <c r="C186" s="535" t="s">
        <v>274</v>
      </c>
      <c r="D186" s="538" t="s">
        <v>53</v>
      </c>
      <c r="E186" s="1561" t="s">
        <v>53</v>
      </c>
      <c r="F186" s="1729" t="s">
        <v>248</v>
      </c>
      <c r="G186" s="1505">
        <v>0</v>
      </c>
      <c r="H186" s="545">
        <v>0</v>
      </c>
      <c r="I186" s="2108">
        <v>0</v>
      </c>
      <c r="J186" s="1730">
        <v>0</v>
      </c>
      <c r="K186" s="1731">
        <v>0</v>
      </c>
      <c r="L186" s="1731">
        <v>0</v>
      </c>
      <c r="M186" s="1732">
        <v>0</v>
      </c>
      <c r="N186" s="550">
        <v>600</v>
      </c>
      <c r="O186" s="533">
        <v>-600</v>
      </c>
      <c r="P186" s="534">
        <f t="shared" si="14"/>
        <v>0</v>
      </c>
      <c r="Q186" s="1506">
        <v>0</v>
      </c>
      <c r="R186" s="1507">
        <v>0</v>
      </c>
      <c r="S186" s="1730">
        <v>0</v>
      </c>
      <c r="T186" s="1731">
        <v>0</v>
      </c>
      <c r="U186" s="1732">
        <v>0</v>
      </c>
      <c r="V186" s="547">
        <v>0</v>
      </c>
      <c r="W186" s="1508">
        <v>0</v>
      </c>
      <c r="X186" s="1508">
        <v>0</v>
      </c>
      <c r="Y186" s="1508">
        <v>0</v>
      </c>
      <c r="Z186" s="549">
        <v>0</v>
      </c>
      <c r="AA186" s="552" t="s">
        <v>1422</v>
      </c>
      <c r="AB186" s="531" t="s">
        <v>121</v>
      </c>
      <c r="AC186" s="1556" t="s">
        <v>233</v>
      </c>
      <c r="AD186" s="1728" t="s">
        <v>119</v>
      </c>
      <c r="AE186" s="1728" t="s">
        <v>119</v>
      </c>
      <c r="AF186" s="531">
        <v>3</v>
      </c>
      <c r="AG186" s="531" t="s">
        <v>372</v>
      </c>
    </row>
    <row r="187" spans="1:33" ht="26.25" outlineLevel="1" thickBot="1" x14ac:dyDescent="0.3">
      <c r="A187" s="723" t="s">
        <v>249</v>
      </c>
      <c r="B187" s="16" t="s">
        <v>990</v>
      </c>
      <c r="C187" s="258" t="s">
        <v>274</v>
      </c>
      <c r="D187" s="340" t="s">
        <v>53</v>
      </c>
      <c r="E187" s="504" t="s">
        <v>53</v>
      </c>
      <c r="F187" s="788" t="s">
        <v>250</v>
      </c>
      <c r="G187" s="789">
        <v>600</v>
      </c>
      <c r="H187" s="789">
        <v>0</v>
      </c>
      <c r="I187" s="2107">
        <v>190.39099999999999</v>
      </c>
      <c r="J187" s="790">
        <v>0</v>
      </c>
      <c r="K187" s="791">
        <v>122.88270000000006</v>
      </c>
      <c r="L187" s="791">
        <v>0</v>
      </c>
      <c r="M187" s="792">
        <v>286.72629999999998</v>
      </c>
      <c r="N187" s="733">
        <v>409.60900000000004</v>
      </c>
      <c r="O187" s="283">
        <v>0</v>
      </c>
      <c r="P187" s="268">
        <f t="shared" si="14"/>
        <v>409.60900000000004</v>
      </c>
      <c r="Q187" s="1064">
        <v>0</v>
      </c>
      <c r="R187" s="1065">
        <v>0</v>
      </c>
      <c r="S187" s="790">
        <v>0</v>
      </c>
      <c r="T187" s="791">
        <v>0</v>
      </c>
      <c r="U187" s="792">
        <v>0</v>
      </c>
      <c r="V187" s="1525">
        <v>0</v>
      </c>
      <c r="W187" s="1546">
        <v>0</v>
      </c>
      <c r="X187" s="1546">
        <v>0</v>
      </c>
      <c r="Y187" s="1546">
        <v>0</v>
      </c>
      <c r="Z187" s="651">
        <v>0</v>
      </c>
      <c r="AA187" s="240" t="s">
        <v>109</v>
      </c>
      <c r="AB187" s="39" t="s">
        <v>16</v>
      </c>
      <c r="AC187" s="31" t="s">
        <v>257</v>
      </c>
      <c r="AD187" s="22" t="s">
        <v>120</v>
      </c>
      <c r="AE187" s="22" t="s">
        <v>120</v>
      </c>
      <c r="AF187" s="18" t="s">
        <v>128</v>
      </c>
      <c r="AG187" s="39" t="s">
        <v>372</v>
      </c>
    </row>
    <row r="188" spans="1:33" ht="25.5" outlineLevel="1" x14ac:dyDescent="0.25">
      <c r="A188" s="602" t="s">
        <v>258</v>
      </c>
      <c r="B188" s="599" t="s">
        <v>991</v>
      </c>
      <c r="C188" s="33" t="s">
        <v>277</v>
      </c>
      <c r="D188" s="368" t="s">
        <v>9</v>
      </c>
      <c r="E188" s="374" t="s">
        <v>520</v>
      </c>
      <c r="F188" s="821" t="s">
        <v>327</v>
      </c>
      <c r="G188" s="622">
        <v>100</v>
      </c>
      <c r="H188" s="622">
        <v>0</v>
      </c>
      <c r="I188" s="182">
        <v>0</v>
      </c>
      <c r="J188" s="631">
        <v>0</v>
      </c>
      <c r="K188" s="624">
        <v>30</v>
      </c>
      <c r="L188" s="624">
        <v>0</v>
      </c>
      <c r="M188" s="850">
        <v>70</v>
      </c>
      <c r="N188" s="732">
        <v>100</v>
      </c>
      <c r="O188" s="759">
        <v>0</v>
      </c>
      <c r="P188" s="345">
        <f>N188+O188</f>
        <v>100</v>
      </c>
      <c r="Q188" s="630">
        <v>0</v>
      </c>
      <c r="R188" s="648">
        <v>0</v>
      </c>
      <c r="S188" s="631">
        <v>0</v>
      </c>
      <c r="T188" s="624">
        <v>0</v>
      </c>
      <c r="U188" s="850">
        <v>0</v>
      </c>
      <c r="V188" s="851">
        <v>0</v>
      </c>
      <c r="W188" s="852">
        <v>0</v>
      </c>
      <c r="X188" s="852">
        <v>0</v>
      </c>
      <c r="Y188" s="852">
        <v>0</v>
      </c>
      <c r="Z188" s="626">
        <v>0</v>
      </c>
      <c r="AA188" s="34" t="s">
        <v>109</v>
      </c>
      <c r="AB188" s="33" t="s">
        <v>46</v>
      </c>
      <c r="AC188" s="787" t="s">
        <v>299</v>
      </c>
      <c r="AD188" s="617" t="s">
        <v>119</v>
      </c>
      <c r="AE188" s="617" t="s">
        <v>119</v>
      </c>
      <c r="AF188" s="375" t="s">
        <v>129</v>
      </c>
      <c r="AG188" s="368" t="s">
        <v>388</v>
      </c>
    </row>
    <row r="189" spans="1:33" s="238" customFormat="1" ht="30" outlineLevel="1" x14ac:dyDescent="0.25">
      <c r="A189" s="1106" t="s">
        <v>313</v>
      </c>
      <c r="B189" s="1733" t="s">
        <v>992</v>
      </c>
      <c r="C189" s="71" t="s">
        <v>319</v>
      </c>
      <c r="D189" s="838" t="s">
        <v>53</v>
      </c>
      <c r="E189" s="838" t="s">
        <v>53</v>
      </c>
      <c r="F189" s="840" t="s">
        <v>314</v>
      </c>
      <c r="G189" s="159">
        <v>10000</v>
      </c>
      <c r="H189" s="159">
        <v>0</v>
      </c>
      <c r="I189" s="211">
        <v>51.304000000000002</v>
      </c>
      <c r="J189" s="1160">
        <v>0</v>
      </c>
      <c r="K189" s="161">
        <v>300</v>
      </c>
      <c r="L189" s="161">
        <v>200</v>
      </c>
      <c r="M189" s="1734">
        <v>448.69600000000003</v>
      </c>
      <c r="N189" s="167">
        <v>9948.6959999999999</v>
      </c>
      <c r="O189" s="1616">
        <v>-9000</v>
      </c>
      <c r="P189" s="1616">
        <f t="shared" si="14"/>
        <v>948.69599999999991</v>
      </c>
      <c r="Q189" s="101">
        <v>9000</v>
      </c>
      <c r="R189" s="89">
        <v>0</v>
      </c>
      <c r="S189" s="1160">
        <v>0</v>
      </c>
      <c r="T189" s="161">
        <v>0</v>
      </c>
      <c r="U189" s="1734">
        <v>0</v>
      </c>
      <c r="V189" s="1161">
        <v>0</v>
      </c>
      <c r="W189" s="512">
        <v>0</v>
      </c>
      <c r="X189" s="1113">
        <v>0</v>
      </c>
      <c r="Y189" s="512">
        <v>0</v>
      </c>
      <c r="Z189" s="165">
        <v>0</v>
      </c>
      <c r="AA189" s="210" t="s">
        <v>1331</v>
      </c>
      <c r="AB189" s="99" t="s">
        <v>13</v>
      </c>
      <c r="AC189" s="1735" t="s">
        <v>257</v>
      </c>
      <c r="AD189" s="888" t="s">
        <v>119</v>
      </c>
      <c r="AE189" s="888" t="s">
        <v>119</v>
      </c>
      <c r="AF189" s="85" t="s">
        <v>129</v>
      </c>
      <c r="AG189" s="1115" t="s">
        <v>379</v>
      </c>
    </row>
    <row r="190" spans="1:33" s="238" customFormat="1" ht="26.25" outlineLevel="1" thickBot="1" x14ac:dyDescent="0.3">
      <c r="A190" s="1736" t="s">
        <v>315</v>
      </c>
      <c r="B190" s="1737" t="s">
        <v>993</v>
      </c>
      <c r="C190" s="91" t="s">
        <v>319</v>
      </c>
      <c r="D190" s="1738" t="s">
        <v>9</v>
      </c>
      <c r="E190" s="1738" t="s">
        <v>58</v>
      </c>
      <c r="F190" s="1739" t="s">
        <v>316</v>
      </c>
      <c r="G190" s="1740">
        <v>3000</v>
      </c>
      <c r="H190" s="168">
        <v>0</v>
      </c>
      <c r="I190" s="2109">
        <v>0</v>
      </c>
      <c r="J190" s="1234">
        <v>0</v>
      </c>
      <c r="K190" s="1235">
        <v>900</v>
      </c>
      <c r="L190" s="1235">
        <v>0</v>
      </c>
      <c r="M190" s="1741">
        <v>2100</v>
      </c>
      <c r="N190" s="1224">
        <v>3000</v>
      </c>
      <c r="O190" s="1223">
        <v>0</v>
      </c>
      <c r="P190" s="1646">
        <f t="shared" si="14"/>
        <v>3000</v>
      </c>
      <c r="Q190" s="1232">
        <v>0</v>
      </c>
      <c r="R190" s="1233">
        <v>0</v>
      </c>
      <c r="S190" s="1234">
        <v>0</v>
      </c>
      <c r="T190" s="1235">
        <v>0</v>
      </c>
      <c r="U190" s="1741">
        <v>0</v>
      </c>
      <c r="V190" s="1225">
        <v>0</v>
      </c>
      <c r="W190" s="1237">
        <v>0</v>
      </c>
      <c r="X190" s="1237">
        <v>0</v>
      </c>
      <c r="Y190" s="1237">
        <v>0</v>
      </c>
      <c r="Z190" s="1227">
        <v>0</v>
      </c>
      <c r="AA190" s="573" t="s">
        <v>1322</v>
      </c>
      <c r="AB190" s="1238" t="s">
        <v>46</v>
      </c>
      <c r="AC190" s="1742" t="s">
        <v>257</v>
      </c>
      <c r="AD190" s="907" t="s">
        <v>119</v>
      </c>
      <c r="AE190" s="907" t="s">
        <v>119</v>
      </c>
      <c r="AF190" s="179" t="s">
        <v>129</v>
      </c>
      <c r="AG190" s="91" t="s">
        <v>378</v>
      </c>
    </row>
    <row r="191" spans="1:33" s="238" customFormat="1" ht="30.75" outlineLevel="1" thickBot="1" x14ac:dyDescent="0.3">
      <c r="A191" s="1016" t="s">
        <v>326</v>
      </c>
      <c r="B191" s="1743" t="s">
        <v>994</v>
      </c>
      <c r="C191" s="369" t="s">
        <v>339</v>
      </c>
      <c r="D191" s="942" t="s">
        <v>76</v>
      </c>
      <c r="E191" s="942" t="s">
        <v>76</v>
      </c>
      <c r="F191" s="1744" t="s">
        <v>333</v>
      </c>
      <c r="G191" s="1745">
        <f>948.49932+552.88516</f>
        <v>1501.3844800000002</v>
      </c>
      <c r="H191" s="1745">
        <v>552.88516000000004</v>
      </c>
      <c r="I191" s="2110">
        <v>0</v>
      </c>
      <c r="J191" s="1746">
        <v>0</v>
      </c>
      <c r="K191" s="1747">
        <v>284.54979600000001</v>
      </c>
      <c r="L191" s="1747">
        <v>0</v>
      </c>
      <c r="M191" s="1748">
        <v>663.94952399999988</v>
      </c>
      <c r="N191" s="742">
        <v>948.4993199999999</v>
      </c>
      <c r="O191" s="771">
        <v>0</v>
      </c>
      <c r="P191" s="748">
        <f t="shared" si="14"/>
        <v>948.4993199999999</v>
      </c>
      <c r="Q191" s="1749">
        <v>0</v>
      </c>
      <c r="R191" s="1750">
        <v>0</v>
      </c>
      <c r="S191" s="1746">
        <v>0</v>
      </c>
      <c r="T191" s="1747">
        <v>0</v>
      </c>
      <c r="U191" s="1751">
        <v>0</v>
      </c>
      <c r="V191" s="1752">
        <v>0</v>
      </c>
      <c r="W191" s="1753">
        <v>0</v>
      </c>
      <c r="X191" s="1753">
        <v>0</v>
      </c>
      <c r="Y191" s="1753">
        <v>0</v>
      </c>
      <c r="Z191" s="1754">
        <v>0</v>
      </c>
      <c r="AA191" s="490" t="s">
        <v>109</v>
      </c>
      <c r="AB191" s="402" t="s">
        <v>16</v>
      </c>
      <c r="AC191" s="1755" t="s">
        <v>299</v>
      </c>
      <c r="AD191" s="1756" t="s">
        <v>120</v>
      </c>
      <c r="AE191" s="513" t="s">
        <v>120</v>
      </c>
      <c r="AF191" s="371" t="s">
        <v>128</v>
      </c>
      <c r="AG191" s="1757" t="s">
        <v>362</v>
      </c>
    </row>
    <row r="192" spans="1:33" s="238" customFormat="1" ht="25.5" outlineLevel="1" x14ac:dyDescent="0.25">
      <c r="A192" s="386" t="s">
        <v>418</v>
      </c>
      <c r="B192" s="387" t="s">
        <v>995</v>
      </c>
      <c r="C192" s="378" t="s">
        <v>488</v>
      </c>
      <c r="D192" s="8" t="s">
        <v>58</v>
      </c>
      <c r="E192" s="8" t="s">
        <v>58</v>
      </c>
      <c r="F192" s="388" t="s">
        <v>419</v>
      </c>
      <c r="G192" s="1928">
        <f>2695.194-0.36872</f>
        <v>2694.82528</v>
      </c>
      <c r="H192" s="48">
        <v>0</v>
      </c>
      <c r="I192" s="2111">
        <v>2694.82528</v>
      </c>
      <c r="J192" s="389">
        <v>0</v>
      </c>
      <c r="K192" s="1929">
        <v>0</v>
      </c>
      <c r="L192" s="1929">
        <v>0</v>
      </c>
      <c r="M192" s="1930">
        <v>0</v>
      </c>
      <c r="N192" s="1758">
        <v>0.36871999999999999</v>
      </c>
      <c r="O192" s="521">
        <v>-0.36871999999999999</v>
      </c>
      <c r="P192" s="355">
        <f t="shared" si="14"/>
        <v>0</v>
      </c>
      <c r="Q192" s="1121">
        <v>0</v>
      </c>
      <c r="R192" s="1122">
        <v>0</v>
      </c>
      <c r="S192" s="389">
        <v>0</v>
      </c>
      <c r="T192" s="390">
        <v>0</v>
      </c>
      <c r="U192" s="391">
        <v>0</v>
      </c>
      <c r="V192" s="380">
        <v>0</v>
      </c>
      <c r="W192" s="381">
        <v>0</v>
      </c>
      <c r="X192" s="381">
        <v>0</v>
      </c>
      <c r="Y192" s="381">
        <v>0</v>
      </c>
      <c r="Z192" s="393">
        <v>0</v>
      </c>
      <c r="AA192" s="378" t="s">
        <v>109</v>
      </c>
      <c r="AB192" s="1759" t="s">
        <v>123</v>
      </c>
      <c r="AC192" s="522" t="s">
        <v>233</v>
      </c>
      <c r="AD192" s="523" t="s">
        <v>120</v>
      </c>
      <c r="AE192" s="523" t="s">
        <v>120</v>
      </c>
      <c r="AF192" s="76" t="s">
        <v>129</v>
      </c>
      <c r="AG192" s="680" t="s">
        <v>378</v>
      </c>
    </row>
    <row r="193" spans="1:33" s="238" customFormat="1" ht="26.25" outlineLevel="1" thickBot="1" x14ac:dyDescent="0.3">
      <c r="A193" s="1204" t="s">
        <v>420</v>
      </c>
      <c r="B193" s="1760" t="s">
        <v>996</v>
      </c>
      <c r="C193" s="442" t="s">
        <v>488</v>
      </c>
      <c r="D193" s="446" t="s">
        <v>9</v>
      </c>
      <c r="E193" s="446" t="s">
        <v>9</v>
      </c>
      <c r="F193" s="1761" t="s">
        <v>421</v>
      </c>
      <c r="G193" s="1127">
        <v>9900</v>
      </c>
      <c r="H193" s="1127">
        <v>0</v>
      </c>
      <c r="I193" s="2112">
        <v>9900</v>
      </c>
      <c r="J193" s="1134">
        <v>0</v>
      </c>
      <c r="K193" s="1135">
        <v>0</v>
      </c>
      <c r="L193" s="1135">
        <v>0</v>
      </c>
      <c r="M193" s="1762">
        <v>0</v>
      </c>
      <c r="N193" s="743">
        <v>0</v>
      </c>
      <c r="O193" s="287">
        <v>0</v>
      </c>
      <c r="P193" s="749">
        <f t="shared" si="14"/>
        <v>0</v>
      </c>
      <c r="Q193" s="1132">
        <v>0</v>
      </c>
      <c r="R193" s="1133">
        <v>0</v>
      </c>
      <c r="S193" s="1134">
        <v>0</v>
      </c>
      <c r="T193" s="1135">
        <v>0</v>
      </c>
      <c r="U193" s="1762">
        <v>0</v>
      </c>
      <c r="V193" s="1137">
        <v>0</v>
      </c>
      <c r="W193" s="1138">
        <v>0</v>
      </c>
      <c r="X193" s="1138">
        <v>0</v>
      </c>
      <c r="Y193" s="1138">
        <v>0</v>
      </c>
      <c r="Z193" s="1139">
        <v>0</v>
      </c>
      <c r="AA193" s="442" t="s">
        <v>109</v>
      </c>
      <c r="AB193" s="1763" t="s">
        <v>123</v>
      </c>
      <c r="AC193" s="1764" t="s">
        <v>151</v>
      </c>
      <c r="AD193" s="1765" t="s">
        <v>120</v>
      </c>
      <c r="AE193" s="1765" t="s">
        <v>120</v>
      </c>
      <c r="AF193" s="443" t="s">
        <v>128</v>
      </c>
      <c r="AG193" s="1766" t="s">
        <v>370</v>
      </c>
    </row>
    <row r="194" spans="1:33" s="238" customFormat="1" ht="30" outlineLevel="1" x14ac:dyDescent="0.25">
      <c r="A194" s="602" t="s">
        <v>422</v>
      </c>
      <c r="B194" s="599" t="s">
        <v>997</v>
      </c>
      <c r="C194" s="34" t="s">
        <v>488</v>
      </c>
      <c r="D194" s="368" t="s">
        <v>423</v>
      </c>
      <c r="E194" s="368" t="s">
        <v>48</v>
      </c>
      <c r="F194" s="1767" t="s">
        <v>624</v>
      </c>
      <c r="G194" s="622">
        <v>7260</v>
      </c>
      <c r="H194" s="622">
        <v>0</v>
      </c>
      <c r="I194" s="182">
        <v>2025.83233</v>
      </c>
      <c r="J194" s="631">
        <v>0</v>
      </c>
      <c r="K194" s="624">
        <v>1570.250301</v>
      </c>
      <c r="L194" s="624">
        <v>0</v>
      </c>
      <c r="M194" s="850">
        <v>3663.9173689999998</v>
      </c>
      <c r="N194" s="732">
        <v>5234.1676699999998</v>
      </c>
      <c r="O194" s="759">
        <v>0</v>
      </c>
      <c r="P194" s="345">
        <f t="shared" si="14"/>
        <v>5234.1676699999998</v>
      </c>
      <c r="Q194" s="625">
        <v>0</v>
      </c>
      <c r="R194" s="623">
        <v>0</v>
      </c>
      <c r="S194" s="631">
        <v>0</v>
      </c>
      <c r="T194" s="624">
        <v>0</v>
      </c>
      <c r="U194" s="850">
        <v>0</v>
      </c>
      <c r="V194" s="851">
        <v>0</v>
      </c>
      <c r="W194" s="852">
        <v>0</v>
      </c>
      <c r="X194" s="852">
        <v>0</v>
      </c>
      <c r="Y194" s="852">
        <v>0</v>
      </c>
      <c r="Z194" s="626">
        <v>0</v>
      </c>
      <c r="AA194" s="34" t="s">
        <v>109</v>
      </c>
      <c r="AB194" s="33" t="s">
        <v>16</v>
      </c>
      <c r="AC194" s="786" t="s">
        <v>821</v>
      </c>
      <c r="AD194" s="787" t="s">
        <v>120</v>
      </c>
      <c r="AE194" s="787" t="s">
        <v>120</v>
      </c>
      <c r="AF194" s="375" t="s">
        <v>128</v>
      </c>
      <c r="AG194" s="239" t="s">
        <v>535</v>
      </c>
    </row>
    <row r="195" spans="1:33" s="238" customFormat="1" ht="30.75" outlineLevel="1" thickBot="1" x14ac:dyDescent="0.3">
      <c r="A195" s="1736" t="s">
        <v>424</v>
      </c>
      <c r="B195" s="1737" t="s">
        <v>112</v>
      </c>
      <c r="C195" s="209" t="s">
        <v>488</v>
      </c>
      <c r="D195" s="1738" t="s">
        <v>203</v>
      </c>
      <c r="E195" s="1738" t="s">
        <v>203</v>
      </c>
      <c r="F195" s="1739" t="s">
        <v>1332</v>
      </c>
      <c r="G195" s="1740">
        <v>15000</v>
      </c>
      <c r="H195" s="1740">
        <v>0</v>
      </c>
      <c r="I195" s="2109">
        <v>0</v>
      </c>
      <c r="J195" s="1234">
        <v>0</v>
      </c>
      <c r="K195" s="1235">
        <v>1000</v>
      </c>
      <c r="L195" s="1235">
        <v>1000</v>
      </c>
      <c r="M195" s="1741">
        <v>2000</v>
      </c>
      <c r="N195" s="1224">
        <v>11000</v>
      </c>
      <c r="O195" s="1223">
        <v>-7000</v>
      </c>
      <c r="P195" s="1646">
        <f t="shared" si="14"/>
        <v>4000</v>
      </c>
      <c r="Q195" s="1232">
        <v>7000</v>
      </c>
      <c r="R195" s="1233">
        <v>4000</v>
      </c>
      <c r="S195" s="1234">
        <v>0</v>
      </c>
      <c r="T195" s="1235">
        <v>0</v>
      </c>
      <c r="U195" s="1741">
        <v>0</v>
      </c>
      <c r="V195" s="1225">
        <v>0</v>
      </c>
      <c r="W195" s="1237">
        <v>0</v>
      </c>
      <c r="X195" s="1237">
        <v>0</v>
      </c>
      <c r="Y195" s="1237">
        <v>0</v>
      </c>
      <c r="Z195" s="1227">
        <v>0</v>
      </c>
      <c r="AA195" s="209" t="s">
        <v>1333</v>
      </c>
      <c r="AB195" s="1238" t="s">
        <v>13</v>
      </c>
      <c r="AC195" s="1742" t="s">
        <v>257</v>
      </c>
      <c r="AD195" s="907" t="s">
        <v>119</v>
      </c>
      <c r="AE195" s="907" t="s">
        <v>119</v>
      </c>
      <c r="AF195" s="297" t="s">
        <v>129</v>
      </c>
      <c r="AG195" s="1240" t="s">
        <v>363</v>
      </c>
    </row>
    <row r="196" spans="1:33" s="238" customFormat="1" ht="25.5" outlineLevel="1" x14ac:dyDescent="0.25">
      <c r="A196" s="1768" t="s">
        <v>523</v>
      </c>
      <c r="B196" s="1769" t="s">
        <v>1084</v>
      </c>
      <c r="C196" s="552" t="s">
        <v>563</v>
      </c>
      <c r="D196" s="544" t="s">
        <v>203</v>
      </c>
      <c r="E196" s="544" t="s">
        <v>203</v>
      </c>
      <c r="F196" s="1770" t="s">
        <v>518</v>
      </c>
      <c r="G196" s="1771">
        <v>1509.758</v>
      </c>
      <c r="H196" s="1771">
        <v>0</v>
      </c>
      <c r="I196" s="2113">
        <v>1509.758</v>
      </c>
      <c r="J196" s="1772">
        <v>0</v>
      </c>
      <c r="K196" s="1773">
        <v>0</v>
      </c>
      <c r="L196" s="1773">
        <v>0</v>
      </c>
      <c r="M196" s="1774">
        <v>0</v>
      </c>
      <c r="N196" s="1775">
        <v>290.24200000000002</v>
      </c>
      <c r="O196" s="1776">
        <v>-290.24200000000002</v>
      </c>
      <c r="P196" s="1777">
        <f t="shared" si="14"/>
        <v>0</v>
      </c>
      <c r="Q196" s="1778">
        <v>0</v>
      </c>
      <c r="R196" s="1779">
        <v>0</v>
      </c>
      <c r="S196" s="1772">
        <v>0</v>
      </c>
      <c r="T196" s="1773">
        <v>0</v>
      </c>
      <c r="U196" s="1780">
        <v>0</v>
      </c>
      <c r="V196" s="1781">
        <v>0</v>
      </c>
      <c r="W196" s="1782">
        <v>0</v>
      </c>
      <c r="X196" s="1782">
        <v>0</v>
      </c>
      <c r="Y196" s="1782">
        <v>0</v>
      </c>
      <c r="Z196" s="1783">
        <v>0</v>
      </c>
      <c r="AA196" s="552" t="s">
        <v>1334</v>
      </c>
      <c r="AB196" s="1784" t="s">
        <v>123</v>
      </c>
      <c r="AC196" s="1785" t="s">
        <v>233</v>
      </c>
      <c r="AD196" s="1786" t="s">
        <v>120</v>
      </c>
      <c r="AE196" s="1786" t="s">
        <v>120</v>
      </c>
      <c r="AF196" s="1555" t="s">
        <v>128</v>
      </c>
      <c r="AG196" s="1787" t="s">
        <v>363</v>
      </c>
    </row>
    <row r="197" spans="1:33" s="238" customFormat="1" ht="25.5" outlineLevel="1" x14ac:dyDescent="0.25">
      <c r="A197" s="1549" t="s">
        <v>524</v>
      </c>
      <c r="B197" s="1723" t="s">
        <v>998</v>
      </c>
      <c r="C197" s="552" t="s">
        <v>563</v>
      </c>
      <c r="D197" s="544" t="s">
        <v>55</v>
      </c>
      <c r="E197" s="544" t="s">
        <v>55</v>
      </c>
      <c r="F197" s="1770" t="s">
        <v>525</v>
      </c>
      <c r="G197" s="545">
        <v>411.26815999999997</v>
      </c>
      <c r="H197" s="545">
        <v>0</v>
      </c>
      <c r="I197" s="2108">
        <v>411.26815999999997</v>
      </c>
      <c r="J197" s="1725">
        <v>0</v>
      </c>
      <c r="K197" s="1726">
        <v>0</v>
      </c>
      <c r="L197" s="1726">
        <v>0</v>
      </c>
      <c r="M197" s="1727">
        <v>0</v>
      </c>
      <c r="N197" s="550">
        <v>1.73184</v>
      </c>
      <c r="O197" s="1789">
        <v>-1.73184</v>
      </c>
      <c r="P197" s="1790">
        <f t="shared" si="14"/>
        <v>0</v>
      </c>
      <c r="Q197" s="1791">
        <v>0</v>
      </c>
      <c r="R197" s="1792">
        <v>0</v>
      </c>
      <c r="S197" s="1725">
        <v>0</v>
      </c>
      <c r="T197" s="1726">
        <v>0</v>
      </c>
      <c r="U197" s="1793">
        <v>0</v>
      </c>
      <c r="V197" s="547">
        <v>0</v>
      </c>
      <c r="W197" s="1508">
        <v>0</v>
      </c>
      <c r="X197" s="1508">
        <v>0</v>
      </c>
      <c r="Y197" s="1508">
        <v>0</v>
      </c>
      <c r="Z197" s="549">
        <v>0</v>
      </c>
      <c r="AA197" s="552" t="s">
        <v>1335</v>
      </c>
      <c r="AB197" s="1794" t="s">
        <v>123</v>
      </c>
      <c r="AC197" s="1522" t="s">
        <v>233</v>
      </c>
      <c r="AD197" s="1556" t="s">
        <v>120</v>
      </c>
      <c r="AE197" s="1556" t="s">
        <v>120</v>
      </c>
      <c r="AF197" s="1555" t="s">
        <v>128</v>
      </c>
      <c r="AG197" s="1391" t="s">
        <v>378</v>
      </c>
    </row>
    <row r="198" spans="1:33" s="238" customFormat="1" ht="25.5" outlineLevel="1" x14ac:dyDescent="0.25">
      <c r="A198" s="1795" t="s">
        <v>526</v>
      </c>
      <c r="B198" s="1810" t="s">
        <v>999</v>
      </c>
      <c r="C198" s="552" t="s">
        <v>563</v>
      </c>
      <c r="D198" s="538" t="s">
        <v>51</v>
      </c>
      <c r="E198" s="538" t="s">
        <v>51</v>
      </c>
      <c r="F198" s="1519" t="s">
        <v>519</v>
      </c>
      <c r="G198" s="1796">
        <v>1188.825</v>
      </c>
      <c r="H198" s="1796">
        <v>0</v>
      </c>
      <c r="I198" s="2114">
        <v>1188.825</v>
      </c>
      <c r="J198" s="1384">
        <v>0</v>
      </c>
      <c r="K198" s="1385">
        <v>0</v>
      </c>
      <c r="L198" s="1385">
        <v>0</v>
      </c>
      <c r="M198" s="1797">
        <v>0</v>
      </c>
      <c r="N198" s="1798">
        <v>11.175000000000001</v>
      </c>
      <c r="O198" s="1799">
        <v>-11.175000000000001</v>
      </c>
      <c r="P198" s="1800">
        <f t="shared" si="14"/>
        <v>0</v>
      </c>
      <c r="Q198" s="1382">
        <v>0</v>
      </c>
      <c r="R198" s="1383">
        <v>0</v>
      </c>
      <c r="S198" s="1384">
        <v>0</v>
      </c>
      <c r="T198" s="1385">
        <v>0</v>
      </c>
      <c r="U198" s="1386">
        <v>0</v>
      </c>
      <c r="V198" s="1299">
        <v>0</v>
      </c>
      <c r="W198" s="1387">
        <v>0</v>
      </c>
      <c r="X198" s="1387">
        <v>0</v>
      </c>
      <c r="Y198" s="1387">
        <v>0</v>
      </c>
      <c r="Z198" s="1378">
        <v>0</v>
      </c>
      <c r="AA198" s="59" t="s">
        <v>1336</v>
      </c>
      <c r="AB198" s="1388" t="s">
        <v>123</v>
      </c>
      <c r="AC198" s="1801" t="s">
        <v>233</v>
      </c>
      <c r="AD198" s="1389" t="s">
        <v>120</v>
      </c>
      <c r="AE198" s="1389" t="s">
        <v>120</v>
      </c>
      <c r="AF198" s="537" t="s">
        <v>128</v>
      </c>
      <c r="AG198" s="1306" t="s">
        <v>368</v>
      </c>
    </row>
    <row r="199" spans="1:33" s="238" customFormat="1" ht="30.75" outlineLevel="1" thickBot="1" x14ac:dyDescent="0.3">
      <c r="A199" s="1802" t="s">
        <v>527</v>
      </c>
      <c r="B199" s="1803" t="s">
        <v>1000</v>
      </c>
      <c r="C199" s="91" t="s">
        <v>563</v>
      </c>
      <c r="D199" s="896" t="s">
        <v>520</v>
      </c>
      <c r="E199" s="896" t="s">
        <v>520</v>
      </c>
      <c r="F199" s="1804" t="s">
        <v>521</v>
      </c>
      <c r="G199" s="168">
        <v>7000</v>
      </c>
      <c r="H199" s="168">
        <v>0</v>
      </c>
      <c r="I199" s="213">
        <v>87.024999999999991</v>
      </c>
      <c r="J199" s="1653">
        <v>500</v>
      </c>
      <c r="K199" s="172">
        <v>910</v>
      </c>
      <c r="L199" s="172">
        <v>450</v>
      </c>
      <c r="M199" s="1805">
        <v>2140</v>
      </c>
      <c r="N199" s="1649">
        <v>6912.9750000000004</v>
      </c>
      <c r="O199" s="1806">
        <v>-2912.9749999999999</v>
      </c>
      <c r="P199" s="1806">
        <f t="shared" si="14"/>
        <v>4000.0000000000005</v>
      </c>
      <c r="Q199" s="112">
        <v>2912.9749999999999</v>
      </c>
      <c r="R199" s="93">
        <v>0</v>
      </c>
      <c r="S199" s="1653">
        <v>0</v>
      </c>
      <c r="T199" s="172">
        <v>0</v>
      </c>
      <c r="U199" s="171">
        <v>0</v>
      </c>
      <c r="V199" s="1617">
        <v>0</v>
      </c>
      <c r="W199" s="1618">
        <v>0</v>
      </c>
      <c r="X199" s="1618">
        <v>0</v>
      </c>
      <c r="Y199" s="1618">
        <v>0</v>
      </c>
      <c r="Z199" s="1619">
        <v>0</v>
      </c>
      <c r="AA199" s="106" t="s">
        <v>1337</v>
      </c>
      <c r="AB199" s="212" t="s">
        <v>13</v>
      </c>
      <c r="AC199" s="1807" t="s">
        <v>522</v>
      </c>
      <c r="AD199" s="908" t="s">
        <v>119</v>
      </c>
      <c r="AE199" s="908" t="s">
        <v>119</v>
      </c>
      <c r="AF199" s="179" t="s">
        <v>129</v>
      </c>
      <c r="AG199" s="1240" t="s">
        <v>370</v>
      </c>
    </row>
    <row r="200" spans="1:33" s="238" customFormat="1" ht="25.5" outlineLevel="1" x14ac:dyDescent="0.25">
      <c r="A200" s="1077" t="s">
        <v>543</v>
      </c>
      <c r="B200" s="1931" t="s">
        <v>1099</v>
      </c>
      <c r="C200" s="34" t="s">
        <v>564</v>
      </c>
      <c r="D200" s="368" t="s">
        <v>544</v>
      </c>
      <c r="E200" s="368" t="s">
        <v>544</v>
      </c>
      <c r="F200" s="1767" t="s">
        <v>545</v>
      </c>
      <c r="G200" s="695">
        <v>1846.3389999999999</v>
      </c>
      <c r="H200" s="695">
        <v>0</v>
      </c>
      <c r="I200" s="2115">
        <v>920.60896000000002</v>
      </c>
      <c r="J200" s="1149">
        <v>0</v>
      </c>
      <c r="K200" s="1150">
        <v>277.71901200000002</v>
      </c>
      <c r="L200" s="1150">
        <v>0</v>
      </c>
      <c r="M200" s="1808">
        <v>648.0110279999999</v>
      </c>
      <c r="N200" s="738">
        <v>925.73003999999992</v>
      </c>
      <c r="O200" s="772">
        <v>0</v>
      </c>
      <c r="P200" s="750">
        <f t="shared" si="14"/>
        <v>925.73003999999992</v>
      </c>
      <c r="Q200" s="1216">
        <v>0</v>
      </c>
      <c r="R200" s="691">
        <v>0</v>
      </c>
      <c r="S200" s="1149">
        <v>0</v>
      </c>
      <c r="T200" s="1150">
        <v>0</v>
      </c>
      <c r="U200" s="1151">
        <v>0</v>
      </c>
      <c r="V200" s="1152">
        <v>0</v>
      </c>
      <c r="W200" s="1154">
        <v>0</v>
      </c>
      <c r="X200" s="1154">
        <v>0</v>
      </c>
      <c r="Y200" s="1154">
        <v>0</v>
      </c>
      <c r="Z200" s="1155">
        <v>0</v>
      </c>
      <c r="AA200" s="38" t="s">
        <v>109</v>
      </c>
      <c r="AB200" s="25" t="s">
        <v>16</v>
      </c>
      <c r="AC200" s="1809" t="s">
        <v>325</v>
      </c>
      <c r="AD200" s="857" t="s">
        <v>120</v>
      </c>
      <c r="AE200" s="857" t="s">
        <v>120</v>
      </c>
      <c r="AF200" s="375" t="s">
        <v>128</v>
      </c>
      <c r="AG200" s="1156" t="s">
        <v>371</v>
      </c>
    </row>
    <row r="201" spans="1:33" s="238" customFormat="1" ht="25.5" outlineLevel="1" x14ac:dyDescent="0.25">
      <c r="A201" s="1795" t="s">
        <v>546</v>
      </c>
      <c r="B201" s="1810" t="s">
        <v>112</v>
      </c>
      <c r="C201" s="59" t="s">
        <v>564</v>
      </c>
      <c r="D201" s="538" t="s">
        <v>53</v>
      </c>
      <c r="E201" s="538" t="s">
        <v>53</v>
      </c>
      <c r="F201" s="1519" t="s">
        <v>547</v>
      </c>
      <c r="G201" s="1796">
        <v>0</v>
      </c>
      <c r="H201" s="1796">
        <v>0</v>
      </c>
      <c r="I201" s="2114">
        <v>0</v>
      </c>
      <c r="J201" s="1384">
        <v>0</v>
      </c>
      <c r="K201" s="1385">
        <v>0</v>
      </c>
      <c r="L201" s="1385">
        <v>0</v>
      </c>
      <c r="M201" s="1797">
        <v>0</v>
      </c>
      <c r="N201" s="1798">
        <v>912.94999999999993</v>
      </c>
      <c r="O201" s="1799">
        <v>-912.95</v>
      </c>
      <c r="P201" s="1800">
        <f t="shared" si="14"/>
        <v>0</v>
      </c>
      <c r="Q201" s="1382">
        <v>0</v>
      </c>
      <c r="R201" s="1383">
        <v>0</v>
      </c>
      <c r="S201" s="1384">
        <v>0</v>
      </c>
      <c r="T201" s="1385">
        <v>0</v>
      </c>
      <c r="U201" s="1386">
        <v>0</v>
      </c>
      <c r="V201" s="1299">
        <v>0</v>
      </c>
      <c r="W201" s="1387">
        <v>0</v>
      </c>
      <c r="X201" s="1387">
        <v>0</v>
      </c>
      <c r="Y201" s="1387">
        <v>0</v>
      </c>
      <c r="Z201" s="1378">
        <v>0</v>
      </c>
      <c r="AA201" s="59" t="s">
        <v>1423</v>
      </c>
      <c r="AB201" s="1388" t="s">
        <v>121</v>
      </c>
      <c r="AC201" s="1801" t="s">
        <v>239</v>
      </c>
      <c r="AD201" s="1389" t="s">
        <v>120</v>
      </c>
      <c r="AE201" s="1389" t="s">
        <v>119</v>
      </c>
      <c r="AF201" s="537" t="s">
        <v>128</v>
      </c>
      <c r="AG201" s="1306" t="s">
        <v>372</v>
      </c>
    </row>
    <row r="202" spans="1:33" s="238" customFormat="1" ht="26.25" outlineLevel="1" thickBot="1" x14ac:dyDescent="0.3">
      <c r="A202" s="1811" t="s">
        <v>548</v>
      </c>
      <c r="B202" s="1932" t="s">
        <v>1086</v>
      </c>
      <c r="C202" s="1812" t="s">
        <v>564</v>
      </c>
      <c r="D202" s="1813" t="s">
        <v>57</v>
      </c>
      <c r="E202" s="1813" t="s">
        <v>57</v>
      </c>
      <c r="F202" s="1814" t="s">
        <v>549</v>
      </c>
      <c r="G202" s="2022">
        <f>402.5+60</f>
        <v>462.5</v>
      </c>
      <c r="H202" s="2022">
        <v>0</v>
      </c>
      <c r="I202" s="2116">
        <v>402.5</v>
      </c>
      <c r="J202" s="2023">
        <v>0</v>
      </c>
      <c r="K202" s="2024">
        <v>60</v>
      </c>
      <c r="L202" s="2024">
        <v>0</v>
      </c>
      <c r="M202" s="2025">
        <v>0</v>
      </c>
      <c r="N202" s="2026">
        <v>0</v>
      </c>
      <c r="O202" s="2027">
        <v>60</v>
      </c>
      <c r="P202" s="2028">
        <f t="shared" si="14"/>
        <v>60</v>
      </c>
      <c r="Q202" s="2029">
        <v>0</v>
      </c>
      <c r="R202" s="2030">
        <v>0</v>
      </c>
      <c r="S202" s="2023">
        <v>0</v>
      </c>
      <c r="T202" s="2024">
        <v>0</v>
      </c>
      <c r="U202" s="2031">
        <v>0</v>
      </c>
      <c r="V202" s="2032">
        <v>0</v>
      </c>
      <c r="W202" s="2033">
        <v>0</v>
      </c>
      <c r="X202" s="2033">
        <v>0</v>
      </c>
      <c r="Y202" s="2033">
        <v>0</v>
      </c>
      <c r="Z202" s="2034">
        <v>0</v>
      </c>
      <c r="AA202" s="1812" t="s">
        <v>1424</v>
      </c>
      <c r="AB202" s="1815" t="s">
        <v>16</v>
      </c>
      <c r="AC202" s="1816" t="s">
        <v>214</v>
      </c>
      <c r="AD202" s="1817" t="s">
        <v>120</v>
      </c>
      <c r="AE202" s="1817" t="s">
        <v>120</v>
      </c>
      <c r="AF202" s="1818" t="s">
        <v>128</v>
      </c>
      <c r="AG202" s="1819" t="s">
        <v>363</v>
      </c>
    </row>
    <row r="203" spans="1:33" s="238" customFormat="1" ht="30" outlineLevel="1" x14ac:dyDescent="0.25">
      <c r="A203" s="1768" t="s">
        <v>625</v>
      </c>
      <c r="B203" s="1769" t="s">
        <v>1089</v>
      </c>
      <c r="C203" s="535" t="s">
        <v>864</v>
      </c>
      <c r="D203" s="544" t="s">
        <v>626</v>
      </c>
      <c r="E203" s="544" t="s">
        <v>626</v>
      </c>
      <c r="F203" s="1770" t="s">
        <v>627</v>
      </c>
      <c r="G203" s="1771">
        <f>300-17</f>
        <v>283</v>
      </c>
      <c r="H203" s="1771">
        <v>0</v>
      </c>
      <c r="I203" s="2113">
        <v>283</v>
      </c>
      <c r="J203" s="1772">
        <v>0</v>
      </c>
      <c r="K203" s="1773">
        <v>0</v>
      </c>
      <c r="L203" s="1773">
        <v>0</v>
      </c>
      <c r="M203" s="1774">
        <v>0</v>
      </c>
      <c r="N203" s="1775">
        <v>17</v>
      </c>
      <c r="O203" s="1776">
        <v>-17</v>
      </c>
      <c r="P203" s="1777">
        <f t="shared" si="14"/>
        <v>0</v>
      </c>
      <c r="Q203" s="1778">
        <v>0</v>
      </c>
      <c r="R203" s="1779">
        <v>0</v>
      </c>
      <c r="S203" s="1772">
        <v>0</v>
      </c>
      <c r="T203" s="1773">
        <v>0</v>
      </c>
      <c r="U203" s="1780">
        <v>0</v>
      </c>
      <c r="V203" s="1781">
        <v>0</v>
      </c>
      <c r="W203" s="1782">
        <v>0</v>
      </c>
      <c r="X203" s="1782">
        <v>0</v>
      </c>
      <c r="Y203" s="1782">
        <v>0</v>
      </c>
      <c r="Z203" s="1783">
        <v>0</v>
      </c>
      <c r="AA203" s="552" t="s">
        <v>1338</v>
      </c>
      <c r="AB203" s="1784" t="s">
        <v>123</v>
      </c>
      <c r="AC203" s="1785" t="s">
        <v>233</v>
      </c>
      <c r="AD203" s="1786" t="s">
        <v>120</v>
      </c>
      <c r="AE203" s="1786" t="s">
        <v>120</v>
      </c>
      <c r="AF203" s="1555" t="s">
        <v>128</v>
      </c>
      <c r="AG203" s="1820" t="s">
        <v>382</v>
      </c>
    </row>
    <row r="204" spans="1:33" s="238" customFormat="1" ht="25.5" outlineLevel="1" x14ac:dyDescent="0.25">
      <c r="A204" s="1795" t="s">
        <v>628</v>
      </c>
      <c r="B204" s="1810" t="s">
        <v>1090</v>
      </c>
      <c r="C204" s="535" t="s">
        <v>864</v>
      </c>
      <c r="D204" s="538" t="s">
        <v>626</v>
      </c>
      <c r="E204" s="538" t="s">
        <v>626</v>
      </c>
      <c r="F204" s="1519" t="s">
        <v>629</v>
      </c>
      <c r="G204" s="1505">
        <f>457-0.829</f>
        <v>456.17099999999999</v>
      </c>
      <c r="H204" s="1796">
        <v>0</v>
      </c>
      <c r="I204" s="2114">
        <v>456.17099999999999</v>
      </c>
      <c r="J204" s="1384">
        <v>0</v>
      </c>
      <c r="K204" s="1385">
        <v>0</v>
      </c>
      <c r="L204" s="1385">
        <v>0</v>
      </c>
      <c r="M204" s="1933">
        <v>0</v>
      </c>
      <c r="N204" s="1798">
        <v>0.82899999999999996</v>
      </c>
      <c r="O204" s="1934">
        <v>-0.82899999999999996</v>
      </c>
      <c r="P204" s="1821">
        <f t="shared" si="14"/>
        <v>0</v>
      </c>
      <c r="Q204" s="1382">
        <v>0</v>
      </c>
      <c r="R204" s="1383">
        <v>0</v>
      </c>
      <c r="S204" s="1384">
        <v>0</v>
      </c>
      <c r="T204" s="1385">
        <v>0</v>
      </c>
      <c r="U204" s="1386">
        <v>0</v>
      </c>
      <c r="V204" s="1299">
        <v>0</v>
      </c>
      <c r="W204" s="1387">
        <v>0</v>
      </c>
      <c r="X204" s="1387">
        <v>0</v>
      </c>
      <c r="Y204" s="1387">
        <v>0</v>
      </c>
      <c r="Z204" s="1378">
        <v>0</v>
      </c>
      <c r="AA204" s="59" t="s">
        <v>1342</v>
      </c>
      <c r="AB204" s="1388" t="s">
        <v>123</v>
      </c>
      <c r="AC204" s="1801" t="s">
        <v>233</v>
      </c>
      <c r="AD204" s="1389" t="s">
        <v>120</v>
      </c>
      <c r="AE204" s="1389" t="s">
        <v>120</v>
      </c>
      <c r="AF204" s="537" t="s">
        <v>128</v>
      </c>
      <c r="AG204" s="1306" t="s">
        <v>382</v>
      </c>
    </row>
    <row r="205" spans="1:33" s="238" customFormat="1" ht="30" outlineLevel="1" x14ac:dyDescent="0.25">
      <c r="A205" s="1163" t="s">
        <v>630</v>
      </c>
      <c r="B205" s="1822" t="s">
        <v>112</v>
      </c>
      <c r="C205" s="372" t="s">
        <v>864</v>
      </c>
      <c r="D205" s="1578" t="s">
        <v>53</v>
      </c>
      <c r="E205" s="1578" t="s">
        <v>53</v>
      </c>
      <c r="F205" s="1823" t="s">
        <v>631</v>
      </c>
      <c r="G205" s="1167">
        <v>685.64</v>
      </c>
      <c r="H205" s="1167">
        <v>0</v>
      </c>
      <c r="I205" s="2117">
        <v>0</v>
      </c>
      <c r="J205" s="1176">
        <v>0</v>
      </c>
      <c r="K205" s="1177">
        <v>150</v>
      </c>
      <c r="L205" s="1177">
        <v>185.64</v>
      </c>
      <c r="M205" s="1824">
        <v>350</v>
      </c>
      <c r="N205" s="1825">
        <v>500</v>
      </c>
      <c r="O205" s="1826">
        <v>185.64</v>
      </c>
      <c r="P205" s="1827">
        <f t="shared" si="14"/>
        <v>685.64</v>
      </c>
      <c r="Q205" s="1828">
        <v>0</v>
      </c>
      <c r="R205" s="1829">
        <v>0</v>
      </c>
      <c r="S205" s="1176">
        <v>0</v>
      </c>
      <c r="T205" s="1177">
        <v>0</v>
      </c>
      <c r="U205" s="1178">
        <v>0</v>
      </c>
      <c r="V205" s="1179">
        <v>0</v>
      </c>
      <c r="W205" s="1182">
        <v>0</v>
      </c>
      <c r="X205" s="1182">
        <v>0</v>
      </c>
      <c r="Y205" s="1182">
        <v>0</v>
      </c>
      <c r="Z205" s="1183">
        <v>0</v>
      </c>
      <c r="AA205" s="530" t="s">
        <v>1425</v>
      </c>
      <c r="AB205" s="1830" t="s">
        <v>11</v>
      </c>
      <c r="AC205" s="1831" t="s">
        <v>522</v>
      </c>
      <c r="AD205" s="1184" t="s">
        <v>119</v>
      </c>
      <c r="AE205" s="1184" t="s">
        <v>119</v>
      </c>
      <c r="AF205" s="376" t="s">
        <v>128</v>
      </c>
      <c r="AG205" s="1185" t="s">
        <v>372</v>
      </c>
    </row>
    <row r="206" spans="1:33" s="238" customFormat="1" ht="25.5" outlineLevel="1" x14ac:dyDescent="0.25">
      <c r="A206" s="1053" t="s">
        <v>632</v>
      </c>
      <c r="B206" s="1832" t="s">
        <v>112</v>
      </c>
      <c r="C206" s="33" t="s">
        <v>864</v>
      </c>
      <c r="D206" s="259" t="s">
        <v>58</v>
      </c>
      <c r="E206" s="259" t="s">
        <v>58</v>
      </c>
      <c r="F206" s="615" t="s">
        <v>633</v>
      </c>
      <c r="G206" s="688">
        <v>550</v>
      </c>
      <c r="H206" s="688">
        <v>0</v>
      </c>
      <c r="I206" s="692">
        <v>0</v>
      </c>
      <c r="J206" s="694">
        <v>0</v>
      </c>
      <c r="K206" s="682">
        <v>165</v>
      </c>
      <c r="L206" s="682">
        <v>0</v>
      </c>
      <c r="M206" s="1833">
        <v>385</v>
      </c>
      <c r="N206" s="739">
        <v>550</v>
      </c>
      <c r="O206" s="774">
        <v>0</v>
      </c>
      <c r="P206" s="751">
        <f t="shared" si="14"/>
        <v>550</v>
      </c>
      <c r="Q206" s="689">
        <v>0</v>
      </c>
      <c r="R206" s="1367">
        <v>0</v>
      </c>
      <c r="S206" s="694">
        <v>0</v>
      </c>
      <c r="T206" s="682">
        <v>0</v>
      </c>
      <c r="U206" s="684">
        <v>0</v>
      </c>
      <c r="V206" s="1353">
        <v>0</v>
      </c>
      <c r="W206" s="685">
        <v>0</v>
      </c>
      <c r="X206" s="685">
        <v>0</v>
      </c>
      <c r="Y206" s="685">
        <v>0</v>
      </c>
      <c r="Z206" s="687">
        <v>0</v>
      </c>
      <c r="AA206" s="38" t="s">
        <v>686</v>
      </c>
      <c r="AB206" s="42" t="s">
        <v>46</v>
      </c>
      <c r="AC206" s="1834" t="s">
        <v>299</v>
      </c>
      <c r="AD206" s="853" t="s">
        <v>119</v>
      </c>
      <c r="AE206" s="853" t="s">
        <v>119</v>
      </c>
      <c r="AF206" s="342" t="s">
        <v>128</v>
      </c>
      <c r="AG206" s="1217" t="s">
        <v>378</v>
      </c>
    </row>
    <row r="207" spans="1:33" s="238" customFormat="1" ht="30" outlineLevel="1" x14ac:dyDescent="0.25">
      <c r="A207" s="1795" t="s">
        <v>634</v>
      </c>
      <c r="B207" s="1810" t="s">
        <v>1001</v>
      </c>
      <c r="C207" s="535" t="s">
        <v>864</v>
      </c>
      <c r="D207" s="538" t="s">
        <v>58</v>
      </c>
      <c r="E207" s="538" t="s">
        <v>58</v>
      </c>
      <c r="F207" s="1519" t="s">
        <v>635</v>
      </c>
      <c r="G207" s="1796">
        <f>4400.17-25.517</f>
        <v>4374.6530000000002</v>
      </c>
      <c r="H207" s="1796">
        <v>0</v>
      </c>
      <c r="I207" s="2114">
        <v>4374.6530000000002</v>
      </c>
      <c r="J207" s="1384">
        <v>0</v>
      </c>
      <c r="K207" s="1385"/>
      <c r="L207" s="1385">
        <v>0</v>
      </c>
      <c r="M207" s="1797">
        <v>0</v>
      </c>
      <c r="N207" s="1798">
        <v>25.516999999999999</v>
      </c>
      <c r="O207" s="1799">
        <v>-25.516999999999999</v>
      </c>
      <c r="P207" s="1800">
        <f t="shared" si="14"/>
        <v>0</v>
      </c>
      <c r="Q207" s="1382">
        <v>0</v>
      </c>
      <c r="R207" s="1383">
        <v>0</v>
      </c>
      <c r="S207" s="1384">
        <v>0</v>
      </c>
      <c r="T207" s="1385">
        <v>0</v>
      </c>
      <c r="U207" s="1386">
        <v>0</v>
      </c>
      <c r="V207" s="1299">
        <v>0</v>
      </c>
      <c r="W207" s="1387">
        <v>0</v>
      </c>
      <c r="X207" s="1387">
        <v>0</v>
      </c>
      <c r="Y207" s="1387">
        <v>0</v>
      </c>
      <c r="Z207" s="1378">
        <v>0</v>
      </c>
      <c r="AA207" s="59" t="s">
        <v>1339</v>
      </c>
      <c r="AB207" s="1388" t="s">
        <v>123</v>
      </c>
      <c r="AC207" s="1801" t="s">
        <v>233</v>
      </c>
      <c r="AD207" s="1389" t="s">
        <v>120</v>
      </c>
      <c r="AE207" s="1389" t="s">
        <v>120</v>
      </c>
      <c r="AF207" s="537" t="s">
        <v>128</v>
      </c>
      <c r="AG207" s="1306" t="s">
        <v>378</v>
      </c>
    </row>
    <row r="208" spans="1:33" s="238" customFormat="1" ht="30" outlineLevel="1" x14ac:dyDescent="0.25">
      <c r="A208" s="425" t="s">
        <v>636</v>
      </c>
      <c r="B208" s="1845" t="s">
        <v>1100</v>
      </c>
      <c r="C208" s="6" t="s">
        <v>864</v>
      </c>
      <c r="D208" s="426" t="s">
        <v>58</v>
      </c>
      <c r="E208" s="426" t="s">
        <v>58</v>
      </c>
      <c r="F208" s="830" t="s">
        <v>637</v>
      </c>
      <c r="G208" s="484">
        <v>200</v>
      </c>
      <c r="H208" s="484">
        <v>0</v>
      </c>
      <c r="I208" s="2118">
        <v>200</v>
      </c>
      <c r="J208" s="455">
        <v>0</v>
      </c>
      <c r="K208" s="456">
        <v>0</v>
      </c>
      <c r="L208" s="456">
        <v>0</v>
      </c>
      <c r="M208" s="1835">
        <v>0</v>
      </c>
      <c r="N208" s="358">
        <v>0</v>
      </c>
      <c r="O208" s="1836">
        <v>0</v>
      </c>
      <c r="P208" s="1837">
        <f t="shared" si="14"/>
        <v>0</v>
      </c>
      <c r="Q208" s="1370">
        <v>0</v>
      </c>
      <c r="R208" s="1371">
        <v>0</v>
      </c>
      <c r="S208" s="455">
        <v>0</v>
      </c>
      <c r="T208" s="456">
        <v>0</v>
      </c>
      <c r="U208" s="457">
        <v>0</v>
      </c>
      <c r="V208" s="458">
        <v>0</v>
      </c>
      <c r="W208" s="460">
        <v>0</v>
      </c>
      <c r="X208" s="460">
        <v>0</v>
      </c>
      <c r="Y208" s="460">
        <v>0</v>
      </c>
      <c r="Z208" s="461">
        <v>0</v>
      </c>
      <c r="AA208" s="43" t="s">
        <v>1340</v>
      </c>
      <c r="AB208" s="44" t="s">
        <v>123</v>
      </c>
      <c r="AC208" s="1838" t="s">
        <v>233</v>
      </c>
      <c r="AD208" s="509" t="s">
        <v>120</v>
      </c>
      <c r="AE208" s="509" t="s">
        <v>120</v>
      </c>
      <c r="AF208" s="435" t="s">
        <v>128</v>
      </c>
      <c r="AG208" s="511" t="s">
        <v>378</v>
      </c>
    </row>
    <row r="209" spans="1:33" s="238" customFormat="1" ht="30" outlineLevel="1" x14ac:dyDescent="0.25">
      <c r="A209" s="1053" t="s">
        <v>638</v>
      </c>
      <c r="B209" s="1832" t="s">
        <v>1002</v>
      </c>
      <c r="C209" s="33" t="s">
        <v>864</v>
      </c>
      <c r="D209" s="259" t="s">
        <v>58</v>
      </c>
      <c r="E209" s="259" t="s">
        <v>58</v>
      </c>
      <c r="F209" s="615" t="s">
        <v>639</v>
      </c>
      <c r="G209" s="688">
        <v>1909.6637499999999</v>
      </c>
      <c r="H209" s="688">
        <v>0</v>
      </c>
      <c r="I209" s="692">
        <v>738.82240000000002</v>
      </c>
      <c r="J209" s="694">
        <v>0</v>
      </c>
      <c r="K209" s="682">
        <v>225.14328</v>
      </c>
      <c r="L209" s="682">
        <v>0</v>
      </c>
      <c r="M209" s="1833">
        <v>525.33431999999993</v>
      </c>
      <c r="N209" s="739">
        <v>750.47759999999994</v>
      </c>
      <c r="O209" s="774">
        <v>0</v>
      </c>
      <c r="P209" s="751">
        <f t="shared" si="14"/>
        <v>750.47759999999994</v>
      </c>
      <c r="Q209" s="689">
        <v>420.36374999999998</v>
      </c>
      <c r="R209" s="1367">
        <v>0</v>
      </c>
      <c r="S209" s="694">
        <v>0</v>
      </c>
      <c r="T209" s="682">
        <v>0</v>
      </c>
      <c r="U209" s="684">
        <v>0</v>
      </c>
      <c r="V209" s="1353">
        <v>0</v>
      </c>
      <c r="W209" s="685">
        <v>0</v>
      </c>
      <c r="X209" s="685">
        <v>0</v>
      </c>
      <c r="Y209" s="685">
        <v>0</v>
      </c>
      <c r="Z209" s="687">
        <v>0</v>
      </c>
      <c r="AA209" s="38" t="s">
        <v>109</v>
      </c>
      <c r="AB209" s="42" t="s">
        <v>16</v>
      </c>
      <c r="AC209" s="1834" t="s">
        <v>1341</v>
      </c>
      <c r="AD209" s="853" t="s">
        <v>120</v>
      </c>
      <c r="AE209" s="853" t="s">
        <v>120</v>
      </c>
      <c r="AF209" s="342" t="s">
        <v>128</v>
      </c>
      <c r="AG209" s="1217" t="s">
        <v>378</v>
      </c>
    </row>
    <row r="210" spans="1:33" s="238" customFormat="1" ht="30" outlineLevel="1" x14ac:dyDescent="0.25">
      <c r="A210" s="1053" t="s">
        <v>640</v>
      </c>
      <c r="B210" s="1832" t="s">
        <v>1097</v>
      </c>
      <c r="C210" s="33" t="s">
        <v>864</v>
      </c>
      <c r="D210" s="259" t="s">
        <v>544</v>
      </c>
      <c r="E210" s="259" t="s">
        <v>544</v>
      </c>
      <c r="F210" s="615" t="s">
        <v>641</v>
      </c>
      <c r="G210" s="688">
        <v>485.35</v>
      </c>
      <c r="H210" s="688">
        <v>0</v>
      </c>
      <c r="I210" s="692">
        <v>39.93</v>
      </c>
      <c r="J210" s="694">
        <v>0</v>
      </c>
      <c r="K210" s="682">
        <v>133.62600000000003</v>
      </c>
      <c r="L210" s="682">
        <v>0</v>
      </c>
      <c r="M210" s="1833">
        <v>311.79399999999998</v>
      </c>
      <c r="N210" s="739">
        <v>445.42</v>
      </c>
      <c r="O210" s="774">
        <v>0</v>
      </c>
      <c r="P210" s="751">
        <f t="shared" si="14"/>
        <v>445.42</v>
      </c>
      <c r="Q210" s="689">
        <v>0</v>
      </c>
      <c r="R210" s="1367">
        <v>0</v>
      </c>
      <c r="S210" s="694">
        <v>0</v>
      </c>
      <c r="T210" s="682">
        <v>0</v>
      </c>
      <c r="U210" s="684">
        <v>0</v>
      </c>
      <c r="V210" s="1353">
        <v>0</v>
      </c>
      <c r="W210" s="685">
        <v>0</v>
      </c>
      <c r="X210" s="685">
        <v>0</v>
      </c>
      <c r="Y210" s="685">
        <v>0</v>
      </c>
      <c r="Z210" s="687">
        <v>0</v>
      </c>
      <c r="AA210" s="38" t="s">
        <v>109</v>
      </c>
      <c r="AB210" s="42" t="s">
        <v>11</v>
      </c>
      <c r="AC210" s="1834" t="s">
        <v>325</v>
      </c>
      <c r="AD210" s="853" t="s">
        <v>119</v>
      </c>
      <c r="AE210" s="853" t="s">
        <v>119</v>
      </c>
      <c r="AF210" s="342" t="s">
        <v>128</v>
      </c>
      <c r="AG210" s="1217" t="s">
        <v>371</v>
      </c>
    </row>
    <row r="211" spans="1:33" s="238" customFormat="1" ht="30" outlineLevel="1" x14ac:dyDescent="0.25">
      <c r="A211" s="1795" t="s">
        <v>642</v>
      </c>
      <c r="B211" s="1810" t="s">
        <v>1091</v>
      </c>
      <c r="C211" s="535" t="s">
        <v>864</v>
      </c>
      <c r="D211" s="538" t="s">
        <v>544</v>
      </c>
      <c r="E211" s="538" t="s">
        <v>544</v>
      </c>
      <c r="F211" s="1519" t="s">
        <v>1092</v>
      </c>
      <c r="G211" s="1796">
        <v>445.38890000000004</v>
      </c>
      <c r="H211" s="1796">
        <v>0</v>
      </c>
      <c r="I211" s="2114">
        <v>445.38889999999998</v>
      </c>
      <c r="J211" s="1384">
        <v>0</v>
      </c>
      <c r="K211" s="1385">
        <v>0</v>
      </c>
      <c r="L211" s="1385">
        <v>0</v>
      </c>
      <c r="M211" s="1797">
        <v>0</v>
      </c>
      <c r="N211" s="1798">
        <v>1.1011</v>
      </c>
      <c r="O211" s="1799">
        <v>-1.1011</v>
      </c>
      <c r="P211" s="1800">
        <f t="shared" si="14"/>
        <v>0</v>
      </c>
      <c r="Q211" s="1382">
        <v>0</v>
      </c>
      <c r="R211" s="1383">
        <v>0</v>
      </c>
      <c r="S211" s="1384">
        <v>0</v>
      </c>
      <c r="T211" s="1385">
        <v>0</v>
      </c>
      <c r="U211" s="1386">
        <v>0</v>
      </c>
      <c r="V211" s="1299">
        <v>0</v>
      </c>
      <c r="W211" s="1387">
        <v>0</v>
      </c>
      <c r="X211" s="1387">
        <v>0</v>
      </c>
      <c r="Y211" s="1387">
        <v>0</v>
      </c>
      <c r="Z211" s="1378">
        <v>0</v>
      </c>
      <c r="AA211" s="59" t="s">
        <v>1342</v>
      </c>
      <c r="AB211" s="1388" t="s">
        <v>123</v>
      </c>
      <c r="AC211" s="1801" t="s">
        <v>233</v>
      </c>
      <c r="AD211" s="1389" t="s">
        <v>120</v>
      </c>
      <c r="AE211" s="1389" t="s">
        <v>120</v>
      </c>
      <c r="AF211" s="537" t="s">
        <v>128</v>
      </c>
      <c r="AG211" s="1306" t="s">
        <v>371</v>
      </c>
    </row>
    <row r="212" spans="1:33" s="238" customFormat="1" ht="45" outlineLevel="1" x14ac:dyDescent="0.25">
      <c r="A212" s="1795" t="s">
        <v>643</v>
      </c>
      <c r="B212" s="1810" t="s">
        <v>1098</v>
      </c>
      <c r="C212" s="535" t="s">
        <v>864</v>
      </c>
      <c r="D212" s="538" t="s">
        <v>544</v>
      </c>
      <c r="E212" s="538" t="s">
        <v>544</v>
      </c>
      <c r="F212" s="1519" t="s">
        <v>644</v>
      </c>
      <c r="G212" s="1796">
        <v>481.41899999999998</v>
      </c>
      <c r="H212" s="1796">
        <v>0</v>
      </c>
      <c r="I212" s="2114">
        <v>481.41899999999998</v>
      </c>
      <c r="J212" s="1384">
        <v>0</v>
      </c>
      <c r="K212" s="1385">
        <v>0</v>
      </c>
      <c r="L212" s="1385">
        <v>0</v>
      </c>
      <c r="M212" s="1797">
        <v>0</v>
      </c>
      <c r="N212" s="1798">
        <v>1.6559999999999999</v>
      </c>
      <c r="O212" s="1799">
        <v>-1.6559999999999999</v>
      </c>
      <c r="P212" s="1800">
        <f t="shared" si="14"/>
        <v>0</v>
      </c>
      <c r="Q212" s="1382">
        <v>0</v>
      </c>
      <c r="R212" s="1383">
        <v>0</v>
      </c>
      <c r="S212" s="1384">
        <v>0</v>
      </c>
      <c r="T212" s="1385">
        <v>0</v>
      </c>
      <c r="U212" s="1386">
        <v>0</v>
      </c>
      <c r="V212" s="1299">
        <v>0</v>
      </c>
      <c r="W212" s="1387">
        <v>0</v>
      </c>
      <c r="X212" s="1387">
        <v>0</v>
      </c>
      <c r="Y212" s="1387">
        <v>0</v>
      </c>
      <c r="Z212" s="1378">
        <v>0</v>
      </c>
      <c r="AA212" s="59" t="s">
        <v>1335</v>
      </c>
      <c r="AB212" s="1388" t="s">
        <v>123</v>
      </c>
      <c r="AC212" s="1801" t="s">
        <v>233</v>
      </c>
      <c r="AD212" s="1389" t="s">
        <v>120</v>
      </c>
      <c r="AE212" s="1389" t="s">
        <v>120</v>
      </c>
      <c r="AF212" s="537" t="s">
        <v>128</v>
      </c>
      <c r="AG212" s="1306" t="s">
        <v>371</v>
      </c>
    </row>
    <row r="213" spans="1:33" s="238" customFormat="1" ht="25.5" outlineLevel="1" x14ac:dyDescent="0.25">
      <c r="A213" s="17" t="s">
        <v>645</v>
      </c>
      <c r="B213" s="13" t="s">
        <v>1081</v>
      </c>
      <c r="C213" s="6" t="s">
        <v>864</v>
      </c>
      <c r="D213" s="426" t="s">
        <v>646</v>
      </c>
      <c r="E213" s="426" t="s">
        <v>646</v>
      </c>
      <c r="F213" s="830" t="s">
        <v>647</v>
      </c>
      <c r="G213" s="1">
        <v>116.52499999999999</v>
      </c>
      <c r="H213" s="1">
        <v>0</v>
      </c>
      <c r="I213" s="553">
        <v>116.52500000000001</v>
      </c>
      <c r="J213" s="452">
        <v>0</v>
      </c>
      <c r="K213" s="41">
        <v>0</v>
      </c>
      <c r="L213" s="41">
        <v>0</v>
      </c>
      <c r="M213" s="479">
        <v>0</v>
      </c>
      <c r="N213" s="524">
        <v>1E-3</v>
      </c>
      <c r="O213" s="1572">
        <v>-1E-3</v>
      </c>
      <c r="P213" s="597">
        <f t="shared" si="14"/>
        <v>0</v>
      </c>
      <c r="Q213" s="833">
        <v>0</v>
      </c>
      <c r="R213" s="834">
        <v>0</v>
      </c>
      <c r="S213" s="452">
        <v>0</v>
      </c>
      <c r="T213" s="41">
        <v>0</v>
      </c>
      <c r="U213" s="679">
        <v>0</v>
      </c>
      <c r="V213" s="429">
        <v>0</v>
      </c>
      <c r="W213" s="434">
        <v>0</v>
      </c>
      <c r="X213" s="434">
        <v>0</v>
      </c>
      <c r="Y213" s="434">
        <v>0</v>
      </c>
      <c r="Z213" s="431">
        <v>0</v>
      </c>
      <c r="AA213" s="43" t="s">
        <v>1340</v>
      </c>
      <c r="AB213" s="5" t="s">
        <v>123</v>
      </c>
      <c r="AC213" s="53" t="s">
        <v>233</v>
      </c>
      <c r="AD213" s="526" t="s">
        <v>120</v>
      </c>
      <c r="AE213" s="526" t="s">
        <v>120</v>
      </c>
      <c r="AF213" s="435" t="s">
        <v>128</v>
      </c>
      <c r="AG213" s="426" t="s">
        <v>368</v>
      </c>
    </row>
    <row r="214" spans="1:33" s="238" customFormat="1" ht="25.5" outlineLevel="1" x14ac:dyDescent="0.25">
      <c r="A214" s="1373" t="s">
        <v>648</v>
      </c>
      <c r="B214" s="558" t="s">
        <v>1093</v>
      </c>
      <c r="C214" s="535" t="s">
        <v>864</v>
      </c>
      <c r="D214" s="538" t="s">
        <v>646</v>
      </c>
      <c r="E214" s="538" t="s">
        <v>646</v>
      </c>
      <c r="F214" s="1519" t="s">
        <v>649</v>
      </c>
      <c r="G214" s="1505">
        <v>629.19999999999993</v>
      </c>
      <c r="H214" s="1505">
        <v>0</v>
      </c>
      <c r="I214" s="2119">
        <v>629.20000000000005</v>
      </c>
      <c r="J214" s="1730">
        <v>0</v>
      </c>
      <c r="K214" s="1731">
        <v>0</v>
      </c>
      <c r="L214" s="1731">
        <v>0</v>
      </c>
      <c r="M214" s="1732">
        <v>0</v>
      </c>
      <c r="N214" s="1380">
        <v>12.1</v>
      </c>
      <c r="O214" s="1839">
        <v>-12.1</v>
      </c>
      <c r="P214" s="1790">
        <f t="shared" si="14"/>
        <v>0</v>
      </c>
      <c r="Q214" s="1840">
        <v>0</v>
      </c>
      <c r="R214" s="1841">
        <v>0</v>
      </c>
      <c r="S214" s="1730">
        <v>0</v>
      </c>
      <c r="T214" s="1731">
        <v>0</v>
      </c>
      <c r="U214" s="1842">
        <v>0</v>
      </c>
      <c r="V214" s="560">
        <v>0</v>
      </c>
      <c r="W214" s="561">
        <v>0</v>
      </c>
      <c r="X214" s="561">
        <v>0</v>
      </c>
      <c r="Y214" s="561">
        <v>0</v>
      </c>
      <c r="Z214" s="563">
        <v>0</v>
      </c>
      <c r="AA214" s="59" t="s">
        <v>1343</v>
      </c>
      <c r="AB214" s="531" t="s">
        <v>123</v>
      </c>
      <c r="AC214" s="565" t="s">
        <v>233</v>
      </c>
      <c r="AD214" s="536" t="s">
        <v>120</v>
      </c>
      <c r="AE214" s="536" t="s">
        <v>120</v>
      </c>
      <c r="AF214" s="537" t="s">
        <v>128</v>
      </c>
      <c r="AG214" s="538" t="s">
        <v>368</v>
      </c>
    </row>
    <row r="215" spans="1:33" s="238" customFormat="1" ht="25.5" outlineLevel="1" x14ac:dyDescent="0.25">
      <c r="A215" s="1163" t="s">
        <v>650</v>
      </c>
      <c r="B215" s="1822" t="s">
        <v>1003</v>
      </c>
      <c r="C215" s="372" t="s">
        <v>864</v>
      </c>
      <c r="D215" s="1578" t="s">
        <v>57</v>
      </c>
      <c r="E215" s="1578" t="s">
        <v>57</v>
      </c>
      <c r="F215" s="1823" t="s">
        <v>651</v>
      </c>
      <c r="G215" s="1167">
        <v>4238.5309999999999</v>
      </c>
      <c r="H215" s="1167">
        <v>0</v>
      </c>
      <c r="I215" s="2117">
        <v>3808.3310000000001</v>
      </c>
      <c r="J215" s="1176">
        <v>430.2</v>
      </c>
      <c r="K215" s="1177">
        <v>0</v>
      </c>
      <c r="L215" s="1177">
        <v>0</v>
      </c>
      <c r="M215" s="1824">
        <v>0</v>
      </c>
      <c r="N215" s="1825">
        <v>1.21</v>
      </c>
      <c r="O215" s="1826">
        <v>428.99</v>
      </c>
      <c r="P215" s="1827">
        <f t="shared" si="14"/>
        <v>430.2</v>
      </c>
      <c r="Q215" s="1828">
        <v>0</v>
      </c>
      <c r="R215" s="1829">
        <v>0</v>
      </c>
      <c r="S215" s="1176">
        <v>0</v>
      </c>
      <c r="T215" s="1177">
        <v>0</v>
      </c>
      <c r="U215" s="1178">
        <v>0</v>
      </c>
      <c r="V215" s="1179">
        <v>0</v>
      </c>
      <c r="W215" s="1182">
        <v>0</v>
      </c>
      <c r="X215" s="1182">
        <v>0</v>
      </c>
      <c r="Y215" s="1182">
        <v>0</v>
      </c>
      <c r="Z215" s="1183">
        <v>0</v>
      </c>
      <c r="AA215" s="530" t="s">
        <v>1344</v>
      </c>
      <c r="AB215" s="1830" t="s">
        <v>16</v>
      </c>
      <c r="AC215" s="1831" t="s">
        <v>299</v>
      </c>
      <c r="AD215" s="1184" t="s">
        <v>120</v>
      </c>
      <c r="AE215" s="1184" t="s">
        <v>120</v>
      </c>
      <c r="AF215" s="376" t="s">
        <v>128</v>
      </c>
      <c r="AG215" s="1185" t="s">
        <v>363</v>
      </c>
    </row>
    <row r="216" spans="1:33" s="238" customFormat="1" ht="25.5" outlineLevel="1" x14ac:dyDescent="0.25">
      <c r="A216" s="425" t="s">
        <v>652</v>
      </c>
      <c r="B216" s="1845" t="s">
        <v>1095</v>
      </c>
      <c r="C216" s="6" t="s">
        <v>864</v>
      </c>
      <c r="D216" s="426" t="s">
        <v>57</v>
      </c>
      <c r="E216" s="426" t="s">
        <v>57</v>
      </c>
      <c r="F216" s="830" t="s">
        <v>653</v>
      </c>
      <c r="G216" s="484">
        <v>900</v>
      </c>
      <c r="H216" s="484">
        <v>0</v>
      </c>
      <c r="I216" s="2118">
        <v>900</v>
      </c>
      <c r="J216" s="455">
        <v>0</v>
      </c>
      <c r="K216" s="456">
        <v>0</v>
      </c>
      <c r="L216" s="456">
        <v>0</v>
      </c>
      <c r="M216" s="1835">
        <v>0</v>
      </c>
      <c r="N216" s="358">
        <v>0</v>
      </c>
      <c r="O216" s="1836">
        <v>0</v>
      </c>
      <c r="P216" s="1837">
        <f t="shared" si="14"/>
        <v>0</v>
      </c>
      <c r="Q216" s="1370">
        <v>0</v>
      </c>
      <c r="R216" s="1371">
        <v>0</v>
      </c>
      <c r="S216" s="455">
        <v>0</v>
      </c>
      <c r="T216" s="456">
        <v>0</v>
      </c>
      <c r="U216" s="457">
        <v>0</v>
      </c>
      <c r="V216" s="458">
        <v>0</v>
      </c>
      <c r="W216" s="460">
        <v>0</v>
      </c>
      <c r="X216" s="460">
        <v>0</v>
      </c>
      <c r="Y216" s="460">
        <v>0</v>
      </c>
      <c r="Z216" s="461">
        <v>0</v>
      </c>
      <c r="AA216" s="43" t="s">
        <v>1340</v>
      </c>
      <c r="AB216" s="44" t="s">
        <v>123</v>
      </c>
      <c r="AC216" s="1838" t="s">
        <v>233</v>
      </c>
      <c r="AD216" s="509" t="s">
        <v>120</v>
      </c>
      <c r="AE216" s="509" t="s">
        <v>120</v>
      </c>
      <c r="AF216" s="435" t="s">
        <v>128</v>
      </c>
      <c r="AG216" s="511" t="s">
        <v>363</v>
      </c>
    </row>
    <row r="217" spans="1:33" s="238" customFormat="1" ht="25.5" outlineLevel="1" x14ac:dyDescent="0.25">
      <c r="A217" s="1795" t="s">
        <v>654</v>
      </c>
      <c r="B217" s="1810" t="s">
        <v>1083</v>
      </c>
      <c r="C217" s="535" t="s">
        <v>864</v>
      </c>
      <c r="D217" s="538" t="s">
        <v>51</v>
      </c>
      <c r="E217" s="538" t="s">
        <v>51</v>
      </c>
      <c r="F217" s="1519" t="s">
        <v>655</v>
      </c>
      <c r="G217" s="1796">
        <v>1204.64212</v>
      </c>
      <c r="H217" s="1796">
        <v>0</v>
      </c>
      <c r="I217" s="2114">
        <v>1204.64212</v>
      </c>
      <c r="J217" s="1384">
        <v>0</v>
      </c>
      <c r="K217" s="1385">
        <v>0</v>
      </c>
      <c r="L217" s="1385">
        <v>0</v>
      </c>
      <c r="M217" s="1797">
        <v>0</v>
      </c>
      <c r="N217" s="1798">
        <v>5.3578799999999998</v>
      </c>
      <c r="O217" s="1799">
        <v>-5.3578799999999998</v>
      </c>
      <c r="P217" s="1800">
        <f t="shared" si="14"/>
        <v>0</v>
      </c>
      <c r="Q217" s="1382">
        <v>0</v>
      </c>
      <c r="R217" s="1383">
        <v>0</v>
      </c>
      <c r="S217" s="1384">
        <v>0</v>
      </c>
      <c r="T217" s="1385">
        <v>0</v>
      </c>
      <c r="U217" s="1386">
        <v>0</v>
      </c>
      <c r="V217" s="1299">
        <v>0</v>
      </c>
      <c r="W217" s="1387">
        <v>0</v>
      </c>
      <c r="X217" s="1387">
        <v>0</v>
      </c>
      <c r="Y217" s="1387">
        <v>0</v>
      </c>
      <c r="Z217" s="1378">
        <v>0</v>
      </c>
      <c r="AA217" s="59" t="s">
        <v>1345</v>
      </c>
      <c r="AB217" s="1388" t="s">
        <v>123</v>
      </c>
      <c r="AC217" s="1801" t="s">
        <v>233</v>
      </c>
      <c r="AD217" s="1389" t="s">
        <v>120</v>
      </c>
      <c r="AE217" s="1389" t="s">
        <v>120</v>
      </c>
      <c r="AF217" s="537" t="s">
        <v>128</v>
      </c>
      <c r="AG217" s="1306" t="s">
        <v>368</v>
      </c>
    </row>
    <row r="218" spans="1:33" s="238" customFormat="1" ht="25.5" outlineLevel="1" x14ac:dyDescent="0.25">
      <c r="A218" s="1795" t="s">
        <v>656</v>
      </c>
      <c r="B218" s="1810" t="s">
        <v>1004</v>
      </c>
      <c r="C218" s="535" t="s">
        <v>864</v>
      </c>
      <c r="D218" s="538" t="s">
        <v>51</v>
      </c>
      <c r="E218" s="538" t="s">
        <v>51</v>
      </c>
      <c r="F218" s="1519" t="s">
        <v>657</v>
      </c>
      <c r="G218" s="1796">
        <v>162.95251999999999</v>
      </c>
      <c r="H218" s="1796">
        <v>0</v>
      </c>
      <c r="I218" s="2114">
        <v>162.95251999999999</v>
      </c>
      <c r="J218" s="1384">
        <v>0</v>
      </c>
      <c r="K218" s="1385">
        <v>0</v>
      </c>
      <c r="L218" s="1385">
        <v>0</v>
      </c>
      <c r="M218" s="1797">
        <v>0</v>
      </c>
      <c r="N218" s="1798">
        <v>37.04748</v>
      </c>
      <c r="O218" s="1799">
        <v>-37.04748</v>
      </c>
      <c r="P218" s="1800">
        <f t="shared" si="14"/>
        <v>0</v>
      </c>
      <c r="Q218" s="1382">
        <v>0</v>
      </c>
      <c r="R218" s="1383">
        <v>0</v>
      </c>
      <c r="S218" s="1384">
        <v>0</v>
      </c>
      <c r="T218" s="1385">
        <v>0</v>
      </c>
      <c r="U218" s="1386">
        <v>0</v>
      </c>
      <c r="V218" s="1299">
        <v>0</v>
      </c>
      <c r="W218" s="1387">
        <v>0</v>
      </c>
      <c r="X218" s="1387">
        <v>0</v>
      </c>
      <c r="Y218" s="1387">
        <v>0</v>
      </c>
      <c r="Z218" s="1378">
        <v>0</v>
      </c>
      <c r="AA218" s="59" t="s">
        <v>1346</v>
      </c>
      <c r="AB218" s="1388" t="s">
        <v>123</v>
      </c>
      <c r="AC218" s="1801" t="s">
        <v>233</v>
      </c>
      <c r="AD218" s="1389" t="s">
        <v>120</v>
      </c>
      <c r="AE218" s="1389" t="s">
        <v>120</v>
      </c>
      <c r="AF218" s="537" t="s">
        <v>128</v>
      </c>
      <c r="AG218" s="1306" t="s">
        <v>368</v>
      </c>
    </row>
    <row r="219" spans="1:33" s="238" customFormat="1" ht="25.5" outlineLevel="1" x14ac:dyDescent="0.25">
      <c r="A219" s="425" t="s">
        <v>658</v>
      </c>
      <c r="B219" s="1845" t="s">
        <v>1088</v>
      </c>
      <c r="C219" s="6" t="s">
        <v>864</v>
      </c>
      <c r="D219" s="426" t="s">
        <v>51</v>
      </c>
      <c r="E219" s="426" t="s">
        <v>51</v>
      </c>
      <c r="F219" s="830" t="s">
        <v>659</v>
      </c>
      <c r="G219" s="484">
        <f>255-0.46561</f>
        <v>254.53439</v>
      </c>
      <c r="H219" s="484">
        <v>0</v>
      </c>
      <c r="I219" s="2118">
        <v>254.53439</v>
      </c>
      <c r="J219" s="455">
        <v>0</v>
      </c>
      <c r="K219" s="456">
        <v>0</v>
      </c>
      <c r="L219" s="456">
        <v>0</v>
      </c>
      <c r="M219" s="1835">
        <v>0</v>
      </c>
      <c r="N219" s="358">
        <v>0.46561000000000002</v>
      </c>
      <c r="O219" s="1836">
        <v>-0.46561000000000002</v>
      </c>
      <c r="P219" s="1837">
        <f t="shared" si="14"/>
        <v>0</v>
      </c>
      <c r="Q219" s="1370">
        <v>0</v>
      </c>
      <c r="R219" s="1371">
        <v>0</v>
      </c>
      <c r="S219" s="455">
        <v>0</v>
      </c>
      <c r="T219" s="456">
        <v>0</v>
      </c>
      <c r="U219" s="457">
        <v>0</v>
      </c>
      <c r="V219" s="458">
        <v>0</v>
      </c>
      <c r="W219" s="460">
        <v>0</v>
      </c>
      <c r="X219" s="460">
        <v>0</v>
      </c>
      <c r="Y219" s="460">
        <v>0</v>
      </c>
      <c r="Z219" s="461">
        <v>0</v>
      </c>
      <c r="AA219" s="43" t="s">
        <v>109</v>
      </c>
      <c r="AB219" s="44" t="s">
        <v>123</v>
      </c>
      <c r="AC219" s="1838" t="s">
        <v>233</v>
      </c>
      <c r="AD219" s="509" t="s">
        <v>120</v>
      </c>
      <c r="AE219" s="509" t="s">
        <v>120</v>
      </c>
      <c r="AF219" s="435" t="s">
        <v>128</v>
      </c>
      <c r="AG219" s="511" t="s">
        <v>368</v>
      </c>
    </row>
    <row r="220" spans="1:33" s="238" customFormat="1" ht="25.5" outlineLevel="1" x14ac:dyDescent="0.25">
      <c r="A220" s="603" t="s">
        <v>660</v>
      </c>
      <c r="B220" s="1832" t="s">
        <v>1082</v>
      </c>
      <c r="C220" s="33" t="s">
        <v>864</v>
      </c>
      <c r="D220" s="259" t="s">
        <v>51</v>
      </c>
      <c r="E220" s="259" t="s">
        <v>51</v>
      </c>
      <c r="F220" s="615" t="s">
        <v>661</v>
      </c>
      <c r="G220" s="688">
        <v>700</v>
      </c>
      <c r="H220" s="688">
        <v>0</v>
      </c>
      <c r="I220" s="692">
        <v>494.96599000000003</v>
      </c>
      <c r="J220" s="694">
        <v>0</v>
      </c>
      <c r="K220" s="682">
        <v>61.51020299999999</v>
      </c>
      <c r="L220" s="682">
        <v>0</v>
      </c>
      <c r="M220" s="1833">
        <v>143.52380699999998</v>
      </c>
      <c r="N220" s="739">
        <v>205.03400999999997</v>
      </c>
      <c r="O220" s="774">
        <v>0</v>
      </c>
      <c r="P220" s="751">
        <f t="shared" si="14"/>
        <v>205.03400999999997</v>
      </c>
      <c r="Q220" s="689">
        <v>0</v>
      </c>
      <c r="R220" s="1367">
        <v>0</v>
      </c>
      <c r="S220" s="694">
        <v>0</v>
      </c>
      <c r="T220" s="682">
        <v>0</v>
      </c>
      <c r="U220" s="684">
        <v>0</v>
      </c>
      <c r="V220" s="1353">
        <v>0</v>
      </c>
      <c r="W220" s="685">
        <v>0</v>
      </c>
      <c r="X220" s="685">
        <v>0</v>
      </c>
      <c r="Y220" s="685">
        <v>0</v>
      </c>
      <c r="Z220" s="687">
        <v>0</v>
      </c>
      <c r="AA220" s="38" t="s">
        <v>109</v>
      </c>
      <c r="AB220" s="42" t="s">
        <v>16</v>
      </c>
      <c r="AC220" s="1834" t="s">
        <v>493</v>
      </c>
      <c r="AD220" s="853" t="s">
        <v>120</v>
      </c>
      <c r="AE220" s="853" t="s">
        <v>120</v>
      </c>
      <c r="AF220" s="342" t="s">
        <v>128</v>
      </c>
      <c r="AG220" s="1217" t="s">
        <v>368</v>
      </c>
    </row>
    <row r="221" spans="1:33" s="238" customFormat="1" ht="25.5" outlineLevel="1" x14ac:dyDescent="0.25">
      <c r="A221" s="1373" t="s">
        <v>662</v>
      </c>
      <c r="B221" s="1810" t="s">
        <v>1005</v>
      </c>
      <c r="C221" s="535" t="s">
        <v>864</v>
      </c>
      <c r="D221" s="538" t="s">
        <v>51</v>
      </c>
      <c r="E221" s="538" t="s">
        <v>51</v>
      </c>
      <c r="F221" s="1519" t="s">
        <v>417</v>
      </c>
      <c r="G221" s="1796">
        <f>900-26.051</f>
        <v>873.94899999999996</v>
      </c>
      <c r="H221" s="1796">
        <v>0</v>
      </c>
      <c r="I221" s="2114">
        <v>873.94899999999996</v>
      </c>
      <c r="J221" s="1384">
        <v>0</v>
      </c>
      <c r="K221" s="1385">
        <v>0</v>
      </c>
      <c r="L221" s="1385">
        <v>0</v>
      </c>
      <c r="M221" s="1797">
        <v>0</v>
      </c>
      <c r="N221" s="1798">
        <v>26.050999999999998</v>
      </c>
      <c r="O221" s="1799">
        <v>-26.050999999999998</v>
      </c>
      <c r="P221" s="1800">
        <f t="shared" si="14"/>
        <v>0</v>
      </c>
      <c r="Q221" s="1382">
        <v>0</v>
      </c>
      <c r="R221" s="1383">
        <v>0</v>
      </c>
      <c r="S221" s="1384">
        <v>0</v>
      </c>
      <c r="T221" s="1385">
        <v>0</v>
      </c>
      <c r="U221" s="1386">
        <v>0</v>
      </c>
      <c r="V221" s="1299">
        <v>0</v>
      </c>
      <c r="W221" s="1387">
        <v>0</v>
      </c>
      <c r="X221" s="1387">
        <v>0</v>
      </c>
      <c r="Y221" s="1387">
        <v>0</v>
      </c>
      <c r="Z221" s="1378">
        <v>0</v>
      </c>
      <c r="AA221" s="59" t="s">
        <v>1339</v>
      </c>
      <c r="AB221" s="1388" t="s">
        <v>123</v>
      </c>
      <c r="AC221" s="1801" t="s">
        <v>233</v>
      </c>
      <c r="AD221" s="1389" t="s">
        <v>120</v>
      </c>
      <c r="AE221" s="1389" t="s">
        <v>120</v>
      </c>
      <c r="AF221" s="537" t="s">
        <v>128</v>
      </c>
      <c r="AG221" s="1306" t="s">
        <v>368</v>
      </c>
    </row>
    <row r="222" spans="1:33" s="362" customFormat="1" ht="25.5" outlineLevel="1" x14ac:dyDescent="0.25">
      <c r="A222" s="2004" t="s">
        <v>663</v>
      </c>
      <c r="B222" s="2005" t="s">
        <v>112</v>
      </c>
      <c r="C222" s="372" t="s">
        <v>864</v>
      </c>
      <c r="D222" s="1578" t="s">
        <v>664</v>
      </c>
      <c r="E222" s="1578" t="s">
        <v>664</v>
      </c>
      <c r="F222" s="1823" t="s">
        <v>665</v>
      </c>
      <c r="G222" s="2006">
        <f>191+0.686</f>
        <v>191.68600000000001</v>
      </c>
      <c r="H222" s="2007">
        <v>0</v>
      </c>
      <c r="I222" s="2120">
        <v>0</v>
      </c>
      <c r="J222" s="2008">
        <f>191+0.686</f>
        <v>191.68600000000001</v>
      </c>
      <c r="K222" s="2009">
        <v>0</v>
      </c>
      <c r="L222" s="2009">
        <v>0</v>
      </c>
      <c r="M222" s="2010">
        <v>0</v>
      </c>
      <c r="N222" s="2011">
        <v>191</v>
      </c>
      <c r="O222" s="2012">
        <v>0.68600000000000005</v>
      </c>
      <c r="P222" s="2013">
        <f t="shared" si="14"/>
        <v>191.68600000000001</v>
      </c>
      <c r="Q222" s="2014">
        <v>0</v>
      </c>
      <c r="R222" s="2015">
        <v>0</v>
      </c>
      <c r="S222" s="2016">
        <v>0</v>
      </c>
      <c r="T222" s="2009">
        <v>0</v>
      </c>
      <c r="U222" s="2017">
        <v>0</v>
      </c>
      <c r="V222" s="2018">
        <v>0</v>
      </c>
      <c r="W222" s="2019">
        <v>0</v>
      </c>
      <c r="X222" s="2019">
        <v>0</v>
      </c>
      <c r="Y222" s="2019">
        <v>0</v>
      </c>
      <c r="Z222" s="2020">
        <v>0</v>
      </c>
      <c r="AA222" s="530" t="s">
        <v>1436</v>
      </c>
      <c r="AB222" s="1830" t="s">
        <v>16</v>
      </c>
      <c r="AC222" s="1831" t="s">
        <v>522</v>
      </c>
      <c r="AD222" s="2021" t="s">
        <v>120</v>
      </c>
      <c r="AE222" s="2021" t="s">
        <v>120</v>
      </c>
      <c r="AF222" s="52" t="s">
        <v>128</v>
      </c>
      <c r="AG222" s="1185" t="s">
        <v>375</v>
      </c>
    </row>
    <row r="223" spans="1:33" s="238" customFormat="1" ht="25.5" outlineLevel="1" x14ac:dyDescent="0.25">
      <c r="A223" s="1795" t="s">
        <v>666</v>
      </c>
      <c r="B223" s="1810" t="s">
        <v>1085</v>
      </c>
      <c r="C223" s="535" t="s">
        <v>864</v>
      </c>
      <c r="D223" s="538" t="s">
        <v>54</v>
      </c>
      <c r="E223" s="538" t="s">
        <v>54</v>
      </c>
      <c r="F223" s="1519" t="s">
        <v>667</v>
      </c>
      <c r="G223" s="1796">
        <v>197.47200000000001</v>
      </c>
      <c r="H223" s="1796">
        <v>0</v>
      </c>
      <c r="I223" s="2114">
        <v>197.47200000000001</v>
      </c>
      <c r="J223" s="1384">
        <v>0</v>
      </c>
      <c r="K223" s="1385">
        <v>0</v>
      </c>
      <c r="L223" s="1385">
        <v>0</v>
      </c>
      <c r="M223" s="1797">
        <v>0</v>
      </c>
      <c r="N223" s="1798">
        <v>2.528</v>
      </c>
      <c r="O223" s="1799">
        <v>-2.528</v>
      </c>
      <c r="P223" s="1800">
        <f t="shared" si="14"/>
        <v>0</v>
      </c>
      <c r="Q223" s="1382">
        <v>0</v>
      </c>
      <c r="R223" s="1383">
        <v>0</v>
      </c>
      <c r="S223" s="1384">
        <v>0</v>
      </c>
      <c r="T223" s="1385">
        <v>0</v>
      </c>
      <c r="U223" s="1386">
        <v>0</v>
      </c>
      <c r="V223" s="1299">
        <v>0</v>
      </c>
      <c r="W223" s="1387">
        <v>0</v>
      </c>
      <c r="X223" s="1387">
        <v>0</v>
      </c>
      <c r="Y223" s="1387">
        <v>0</v>
      </c>
      <c r="Z223" s="1378">
        <v>0</v>
      </c>
      <c r="AA223" s="59" t="s">
        <v>1347</v>
      </c>
      <c r="AB223" s="1388" t="s">
        <v>123</v>
      </c>
      <c r="AC223" s="1801" t="s">
        <v>233</v>
      </c>
      <c r="AD223" s="1389" t="s">
        <v>120</v>
      </c>
      <c r="AE223" s="1389" t="s">
        <v>120</v>
      </c>
      <c r="AF223" s="537" t="s">
        <v>128</v>
      </c>
      <c r="AG223" s="1306" t="s">
        <v>363</v>
      </c>
    </row>
    <row r="224" spans="1:33" s="238" customFormat="1" ht="25.5" outlineLevel="1" x14ac:dyDescent="0.25">
      <c r="A224" s="425" t="s">
        <v>668</v>
      </c>
      <c r="B224" s="1845" t="s">
        <v>1096</v>
      </c>
      <c r="C224" s="6" t="s">
        <v>864</v>
      </c>
      <c r="D224" s="426" t="s">
        <v>76</v>
      </c>
      <c r="E224" s="426" t="s">
        <v>76</v>
      </c>
      <c r="F224" s="830" t="s">
        <v>669</v>
      </c>
      <c r="G224" s="1844">
        <v>299.98700000000002</v>
      </c>
      <c r="H224" s="484">
        <v>0</v>
      </c>
      <c r="I224" s="2118">
        <v>299.98700000000002</v>
      </c>
      <c r="J224" s="455">
        <v>0</v>
      </c>
      <c r="K224" s="456">
        <v>0</v>
      </c>
      <c r="L224" s="456">
        <v>0</v>
      </c>
      <c r="M224" s="1835">
        <v>0</v>
      </c>
      <c r="N224" s="358">
        <v>1.2999999999999999E-2</v>
      </c>
      <c r="O224" s="1836">
        <v>-1.2999999999999999E-2</v>
      </c>
      <c r="P224" s="1837">
        <f t="shared" si="14"/>
        <v>0</v>
      </c>
      <c r="Q224" s="1370">
        <v>0</v>
      </c>
      <c r="R224" s="1371">
        <v>0</v>
      </c>
      <c r="S224" s="455">
        <v>0</v>
      </c>
      <c r="T224" s="456">
        <v>0</v>
      </c>
      <c r="U224" s="457">
        <v>0</v>
      </c>
      <c r="V224" s="458">
        <v>0</v>
      </c>
      <c r="W224" s="460">
        <v>0</v>
      </c>
      <c r="X224" s="460">
        <v>0</v>
      </c>
      <c r="Y224" s="460">
        <v>0</v>
      </c>
      <c r="Z224" s="461">
        <v>0</v>
      </c>
      <c r="AA224" s="43" t="s">
        <v>1340</v>
      </c>
      <c r="AB224" s="44" t="s">
        <v>123</v>
      </c>
      <c r="AC224" s="1838" t="s">
        <v>233</v>
      </c>
      <c r="AD224" s="509" t="s">
        <v>120</v>
      </c>
      <c r="AE224" s="509" t="s">
        <v>120</v>
      </c>
      <c r="AF224" s="435" t="s">
        <v>128</v>
      </c>
      <c r="AG224" s="511" t="s">
        <v>670</v>
      </c>
    </row>
    <row r="225" spans="1:33" s="238" customFormat="1" ht="30" outlineLevel="1" x14ac:dyDescent="0.25">
      <c r="A225" s="1795" t="s">
        <v>671</v>
      </c>
      <c r="B225" s="1810" t="s">
        <v>1112</v>
      </c>
      <c r="C225" s="535" t="s">
        <v>864</v>
      </c>
      <c r="D225" s="538" t="s">
        <v>9</v>
      </c>
      <c r="E225" s="538" t="s">
        <v>9</v>
      </c>
      <c r="F225" s="1519" t="s">
        <v>56</v>
      </c>
      <c r="G225" s="1796">
        <v>3067.3</v>
      </c>
      <c r="H225" s="1796">
        <v>0</v>
      </c>
      <c r="I225" s="2114">
        <v>3067.3</v>
      </c>
      <c r="J225" s="1384">
        <v>0</v>
      </c>
      <c r="K225" s="1385">
        <v>0</v>
      </c>
      <c r="L225" s="1385">
        <v>0</v>
      </c>
      <c r="M225" s="1797">
        <v>0</v>
      </c>
      <c r="N225" s="1798">
        <v>500</v>
      </c>
      <c r="O225" s="1799">
        <v>-500</v>
      </c>
      <c r="P225" s="1800">
        <f t="shared" si="14"/>
        <v>0</v>
      </c>
      <c r="Q225" s="1382">
        <v>0</v>
      </c>
      <c r="R225" s="1383">
        <v>0</v>
      </c>
      <c r="S225" s="1384">
        <v>0</v>
      </c>
      <c r="T225" s="1385">
        <v>0</v>
      </c>
      <c r="U225" s="1386">
        <v>0</v>
      </c>
      <c r="V225" s="1299">
        <v>0</v>
      </c>
      <c r="W225" s="1387">
        <v>0</v>
      </c>
      <c r="X225" s="1387">
        <v>0</v>
      </c>
      <c r="Y225" s="1387">
        <v>0</v>
      </c>
      <c r="Z225" s="1378">
        <v>0</v>
      </c>
      <c r="AA225" s="59" t="s">
        <v>1348</v>
      </c>
      <c r="AB225" s="1388" t="s">
        <v>123</v>
      </c>
      <c r="AC225" s="1801" t="s">
        <v>233</v>
      </c>
      <c r="AD225" s="1389" t="s">
        <v>120</v>
      </c>
      <c r="AE225" s="1389" t="s">
        <v>120</v>
      </c>
      <c r="AF225" s="537" t="s">
        <v>128</v>
      </c>
      <c r="AG225" s="1306" t="s">
        <v>109</v>
      </c>
    </row>
    <row r="226" spans="1:33" s="238" customFormat="1" ht="25.5" outlineLevel="1" x14ac:dyDescent="0.25">
      <c r="A226" s="425" t="s">
        <v>672</v>
      </c>
      <c r="B226" s="1845" t="s">
        <v>1006</v>
      </c>
      <c r="C226" s="6" t="s">
        <v>864</v>
      </c>
      <c r="D226" s="426" t="s">
        <v>544</v>
      </c>
      <c r="E226" s="426" t="s">
        <v>544</v>
      </c>
      <c r="F226" s="830" t="s">
        <v>673</v>
      </c>
      <c r="G226" s="484">
        <f>550-0.43172</f>
        <v>549.56827999999996</v>
      </c>
      <c r="H226" s="484">
        <v>0</v>
      </c>
      <c r="I226" s="2118">
        <v>549.56827999999996</v>
      </c>
      <c r="J226" s="455">
        <v>0</v>
      </c>
      <c r="K226" s="456">
        <v>0</v>
      </c>
      <c r="L226" s="456">
        <v>0</v>
      </c>
      <c r="M226" s="1835">
        <v>0</v>
      </c>
      <c r="N226" s="358">
        <v>0.43171999999999999</v>
      </c>
      <c r="O226" s="1836">
        <v>-0.43171999999999999</v>
      </c>
      <c r="P226" s="1837">
        <f t="shared" si="14"/>
        <v>0</v>
      </c>
      <c r="Q226" s="1370">
        <v>0</v>
      </c>
      <c r="R226" s="1371">
        <v>0</v>
      </c>
      <c r="S226" s="455">
        <v>0</v>
      </c>
      <c r="T226" s="456">
        <v>0</v>
      </c>
      <c r="U226" s="457">
        <v>0</v>
      </c>
      <c r="V226" s="458">
        <v>0</v>
      </c>
      <c r="W226" s="460">
        <v>0</v>
      </c>
      <c r="X226" s="460">
        <v>0</v>
      </c>
      <c r="Y226" s="460">
        <v>0</v>
      </c>
      <c r="Z226" s="461">
        <v>0</v>
      </c>
      <c r="AA226" s="43" t="s">
        <v>1340</v>
      </c>
      <c r="AB226" s="44" t="s">
        <v>123</v>
      </c>
      <c r="AC226" s="1838" t="s">
        <v>239</v>
      </c>
      <c r="AD226" s="509" t="s">
        <v>120</v>
      </c>
      <c r="AE226" s="509" t="s">
        <v>120</v>
      </c>
      <c r="AF226" s="435" t="s">
        <v>128</v>
      </c>
      <c r="AG226" s="511" t="s">
        <v>371</v>
      </c>
    </row>
    <row r="227" spans="1:33" s="238" customFormat="1" ht="30" outlineLevel="1" x14ac:dyDescent="0.25">
      <c r="A227" s="603" t="s">
        <v>674</v>
      </c>
      <c r="B227" s="1832" t="s">
        <v>112</v>
      </c>
      <c r="C227" s="33" t="s">
        <v>864</v>
      </c>
      <c r="D227" s="259" t="s">
        <v>544</v>
      </c>
      <c r="E227" s="259" t="s">
        <v>544</v>
      </c>
      <c r="F227" s="615" t="s">
        <v>675</v>
      </c>
      <c r="G227" s="688">
        <v>99.22</v>
      </c>
      <c r="H227" s="688">
        <v>0</v>
      </c>
      <c r="I227" s="692">
        <v>0</v>
      </c>
      <c r="J227" s="694">
        <v>0</v>
      </c>
      <c r="K227" s="682">
        <v>29.766000000000005</v>
      </c>
      <c r="L227" s="682">
        <v>0</v>
      </c>
      <c r="M227" s="1833">
        <v>69.453999999999994</v>
      </c>
      <c r="N227" s="739">
        <v>99.22</v>
      </c>
      <c r="O227" s="774">
        <v>0</v>
      </c>
      <c r="P227" s="751">
        <f t="shared" si="14"/>
        <v>99.22</v>
      </c>
      <c r="Q227" s="689">
        <v>0</v>
      </c>
      <c r="R227" s="1367">
        <v>0</v>
      </c>
      <c r="S227" s="694">
        <v>0</v>
      </c>
      <c r="T227" s="682">
        <v>0</v>
      </c>
      <c r="U227" s="684">
        <v>0</v>
      </c>
      <c r="V227" s="1353">
        <v>0</v>
      </c>
      <c r="W227" s="685">
        <v>0</v>
      </c>
      <c r="X227" s="685">
        <v>0</v>
      </c>
      <c r="Y227" s="685">
        <v>0</v>
      </c>
      <c r="Z227" s="687">
        <v>0</v>
      </c>
      <c r="AA227" s="38" t="s">
        <v>109</v>
      </c>
      <c r="AB227" s="42" t="s">
        <v>13</v>
      </c>
      <c r="AC227" s="1834" t="s">
        <v>493</v>
      </c>
      <c r="AD227" s="853" t="s">
        <v>119</v>
      </c>
      <c r="AE227" s="853" t="s">
        <v>119</v>
      </c>
      <c r="AF227" s="342" t="s">
        <v>128</v>
      </c>
      <c r="AG227" s="1217" t="s">
        <v>371</v>
      </c>
    </row>
    <row r="228" spans="1:33" s="238" customFormat="1" ht="25.5" outlineLevel="1" x14ac:dyDescent="0.25">
      <c r="A228" s="603" t="s">
        <v>676</v>
      </c>
      <c r="B228" s="1832" t="s">
        <v>112</v>
      </c>
      <c r="C228" s="33" t="s">
        <v>864</v>
      </c>
      <c r="D228" s="259" t="s">
        <v>423</v>
      </c>
      <c r="E228" s="259" t="s">
        <v>423</v>
      </c>
      <c r="F228" s="615" t="s">
        <v>677</v>
      </c>
      <c r="G228" s="1846">
        <v>605</v>
      </c>
      <c r="H228" s="688">
        <v>0</v>
      </c>
      <c r="I228" s="692">
        <v>0</v>
      </c>
      <c r="J228" s="694">
        <v>0</v>
      </c>
      <c r="K228" s="682">
        <v>72.600000000000023</v>
      </c>
      <c r="L228" s="682">
        <v>0</v>
      </c>
      <c r="M228" s="1833">
        <v>169.39999999999998</v>
      </c>
      <c r="N228" s="739">
        <v>242</v>
      </c>
      <c r="O228" s="778">
        <v>0</v>
      </c>
      <c r="P228" s="754">
        <f t="shared" si="14"/>
        <v>242</v>
      </c>
      <c r="Q228" s="689">
        <v>363</v>
      </c>
      <c r="R228" s="1367">
        <v>0</v>
      </c>
      <c r="S228" s="694">
        <v>0</v>
      </c>
      <c r="T228" s="682">
        <v>0</v>
      </c>
      <c r="U228" s="684">
        <v>0</v>
      </c>
      <c r="V228" s="1353">
        <v>0</v>
      </c>
      <c r="W228" s="685">
        <v>0</v>
      </c>
      <c r="X228" s="685">
        <v>0</v>
      </c>
      <c r="Y228" s="685">
        <v>0</v>
      </c>
      <c r="Z228" s="687">
        <v>0</v>
      </c>
      <c r="AA228" s="38" t="s">
        <v>109</v>
      </c>
      <c r="AB228" s="42" t="s">
        <v>11</v>
      </c>
      <c r="AC228" s="1834" t="s">
        <v>325</v>
      </c>
      <c r="AD228" s="853" t="s">
        <v>119</v>
      </c>
      <c r="AE228" s="853" t="s">
        <v>119</v>
      </c>
      <c r="AF228" s="342" t="s">
        <v>128</v>
      </c>
      <c r="AG228" s="259" t="s">
        <v>535</v>
      </c>
    </row>
    <row r="229" spans="1:33" s="238" customFormat="1" ht="25.5" outlineLevel="1" x14ac:dyDescent="0.25">
      <c r="A229" s="1053" t="s">
        <v>678</v>
      </c>
      <c r="B229" s="1832" t="s">
        <v>112</v>
      </c>
      <c r="C229" s="33" t="s">
        <v>864</v>
      </c>
      <c r="D229" s="259" t="s">
        <v>423</v>
      </c>
      <c r="E229" s="259" t="s">
        <v>423</v>
      </c>
      <c r="F229" s="615" t="s">
        <v>679</v>
      </c>
      <c r="G229" s="36">
        <v>1626.777</v>
      </c>
      <c r="H229" s="688">
        <v>0</v>
      </c>
      <c r="I229" s="692">
        <v>0</v>
      </c>
      <c r="J229" s="694">
        <v>0</v>
      </c>
      <c r="K229" s="682">
        <v>488.0331000000001</v>
      </c>
      <c r="L229" s="681">
        <v>0</v>
      </c>
      <c r="M229" s="1847">
        <v>1138.7438999999999</v>
      </c>
      <c r="N229" s="739">
        <v>1626.777</v>
      </c>
      <c r="O229" s="776">
        <v>0</v>
      </c>
      <c r="P229" s="753">
        <f t="shared" si="14"/>
        <v>1626.777</v>
      </c>
      <c r="Q229" s="689">
        <v>0</v>
      </c>
      <c r="R229" s="1367">
        <v>0</v>
      </c>
      <c r="S229" s="694">
        <v>0</v>
      </c>
      <c r="T229" s="682">
        <v>0</v>
      </c>
      <c r="U229" s="684">
        <v>0</v>
      </c>
      <c r="V229" s="1353">
        <v>0</v>
      </c>
      <c r="W229" s="685">
        <v>0</v>
      </c>
      <c r="X229" s="685">
        <v>0</v>
      </c>
      <c r="Y229" s="685">
        <v>0</v>
      </c>
      <c r="Z229" s="687">
        <v>0</v>
      </c>
      <c r="AA229" s="38" t="s">
        <v>109</v>
      </c>
      <c r="AB229" s="42" t="s">
        <v>16</v>
      </c>
      <c r="AC229" s="1834" t="s">
        <v>299</v>
      </c>
      <c r="AD229" s="853" t="s">
        <v>120</v>
      </c>
      <c r="AE229" s="853" t="s">
        <v>120</v>
      </c>
      <c r="AF229" s="342" t="s">
        <v>128</v>
      </c>
      <c r="AG229" s="259" t="s">
        <v>535</v>
      </c>
    </row>
    <row r="230" spans="1:33" s="238" customFormat="1" ht="30" outlineLevel="1" x14ac:dyDescent="0.25">
      <c r="A230" s="1053" t="s">
        <v>680</v>
      </c>
      <c r="B230" s="1832" t="s">
        <v>112</v>
      </c>
      <c r="C230" s="33" t="s">
        <v>864</v>
      </c>
      <c r="D230" s="259" t="s">
        <v>423</v>
      </c>
      <c r="E230" s="259" t="s">
        <v>423</v>
      </c>
      <c r="F230" s="615" t="s">
        <v>681</v>
      </c>
      <c r="G230" s="695">
        <v>5000</v>
      </c>
      <c r="H230" s="688">
        <v>0</v>
      </c>
      <c r="I230" s="692">
        <v>0</v>
      </c>
      <c r="J230" s="694">
        <v>0</v>
      </c>
      <c r="K230" s="682">
        <v>990</v>
      </c>
      <c r="L230" s="682">
        <v>0</v>
      </c>
      <c r="M230" s="1833">
        <v>2310</v>
      </c>
      <c r="N230" s="739">
        <v>3300</v>
      </c>
      <c r="O230" s="772">
        <v>0</v>
      </c>
      <c r="P230" s="750">
        <f t="shared" si="14"/>
        <v>3300</v>
      </c>
      <c r="Q230" s="689">
        <v>1700</v>
      </c>
      <c r="R230" s="1367">
        <v>0</v>
      </c>
      <c r="S230" s="694">
        <v>0</v>
      </c>
      <c r="T230" s="682">
        <v>0</v>
      </c>
      <c r="U230" s="684">
        <v>0</v>
      </c>
      <c r="V230" s="1353">
        <v>0</v>
      </c>
      <c r="W230" s="685">
        <v>0</v>
      </c>
      <c r="X230" s="685">
        <v>0</v>
      </c>
      <c r="Y230" s="685">
        <v>0</v>
      </c>
      <c r="Z230" s="687">
        <v>0</v>
      </c>
      <c r="AA230" s="38" t="s">
        <v>109</v>
      </c>
      <c r="AB230" s="42" t="s">
        <v>11</v>
      </c>
      <c r="AC230" s="1834" t="s">
        <v>325</v>
      </c>
      <c r="AD230" s="853" t="s">
        <v>119</v>
      </c>
      <c r="AE230" s="853" t="s">
        <v>119</v>
      </c>
      <c r="AF230" s="342" t="s">
        <v>128</v>
      </c>
      <c r="AG230" s="259" t="s">
        <v>682</v>
      </c>
    </row>
    <row r="231" spans="1:33" s="238" customFormat="1" ht="26.25" outlineLevel="1" thickBot="1" x14ac:dyDescent="0.3">
      <c r="A231" s="1059" t="s">
        <v>683</v>
      </c>
      <c r="B231" s="1848" t="s">
        <v>112</v>
      </c>
      <c r="C231" s="39" t="s">
        <v>864</v>
      </c>
      <c r="D231" s="340" t="s">
        <v>684</v>
      </c>
      <c r="E231" s="340" t="s">
        <v>684</v>
      </c>
      <c r="F231" s="75" t="s">
        <v>685</v>
      </c>
      <c r="G231" s="1849">
        <v>1522.63</v>
      </c>
      <c r="H231" s="1849">
        <v>0</v>
      </c>
      <c r="I231" s="2121">
        <v>0</v>
      </c>
      <c r="J231" s="795">
        <v>0</v>
      </c>
      <c r="K231" s="796">
        <v>456.78899999999999</v>
      </c>
      <c r="L231" s="796">
        <v>0</v>
      </c>
      <c r="M231" s="1850">
        <v>1065.8410000000001</v>
      </c>
      <c r="N231" s="740">
        <v>1522.63</v>
      </c>
      <c r="O231" s="775">
        <v>0</v>
      </c>
      <c r="P231" s="752">
        <f t="shared" si="14"/>
        <v>1522.63</v>
      </c>
      <c r="Q231" s="793">
        <v>0</v>
      </c>
      <c r="R231" s="794">
        <v>0</v>
      </c>
      <c r="S231" s="795">
        <v>0</v>
      </c>
      <c r="T231" s="796">
        <v>0</v>
      </c>
      <c r="U231" s="797">
        <v>0</v>
      </c>
      <c r="V231" s="798">
        <v>0</v>
      </c>
      <c r="W231" s="800">
        <v>0</v>
      </c>
      <c r="X231" s="800">
        <v>0</v>
      </c>
      <c r="Y231" s="800">
        <v>0</v>
      </c>
      <c r="Z231" s="801">
        <v>0</v>
      </c>
      <c r="AA231" s="15" t="s">
        <v>109</v>
      </c>
      <c r="AB231" s="397" t="s">
        <v>11</v>
      </c>
      <c r="AC231" s="1851" t="s">
        <v>325</v>
      </c>
      <c r="AD231" s="1852" t="s">
        <v>119</v>
      </c>
      <c r="AE231" s="1852" t="s">
        <v>119</v>
      </c>
      <c r="AF231" s="18" t="s">
        <v>128</v>
      </c>
      <c r="AG231" s="340" t="s">
        <v>380</v>
      </c>
    </row>
    <row r="232" spans="1:33" s="238" customFormat="1" ht="25.5" outlineLevel="1" x14ac:dyDescent="0.25">
      <c r="A232" s="1853" t="s">
        <v>822</v>
      </c>
      <c r="B232" s="1935" t="s">
        <v>1094</v>
      </c>
      <c r="C232" s="535" t="s">
        <v>878</v>
      </c>
      <c r="D232" s="1788" t="s">
        <v>646</v>
      </c>
      <c r="E232" s="1788" t="s">
        <v>646</v>
      </c>
      <c r="F232" s="1854" t="s">
        <v>823</v>
      </c>
      <c r="G232" s="1855">
        <v>592.35792000000004</v>
      </c>
      <c r="H232" s="1855">
        <v>0</v>
      </c>
      <c r="I232" s="2122">
        <v>592.35792000000004</v>
      </c>
      <c r="J232" s="1856">
        <v>0</v>
      </c>
      <c r="K232" s="1857">
        <v>0</v>
      </c>
      <c r="L232" s="1857">
        <v>0</v>
      </c>
      <c r="M232" s="1858">
        <v>0</v>
      </c>
      <c r="N232" s="1775">
        <v>17.64208</v>
      </c>
      <c r="O232" s="1859">
        <v>-17.64208</v>
      </c>
      <c r="P232" s="1860">
        <f t="shared" si="14"/>
        <v>0</v>
      </c>
      <c r="Q232" s="1861">
        <v>0</v>
      </c>
      <c r="R232" s="1862">
        <v>0</v>
      </c>
      <c r="S232" s="1856">
        <v>0</v>
      </c>
      <c r="T232" s="1857">
        <v>0</v>
      </c>
      <c r="U232" s="1863">
        <v>0</v>
      </c>
      <c r="V232" s="1864">
        <v>0</v>
      </c>
      <c r="W232" s="1865">
        <v>0</v>
      </c>
      <c r="X232" s="1865">
        <v>0</v>
      </c>
      <c r="Y232" s="1865">
        <v>0</v>
      </c>
      <c r="Z232" s="1866">
        <v>0</v>
      </c>
      <c r="AA232" s="1867" t="s">
        <v>1349</v>
      </c>
      <c r="AB232" s="1302" t="s">
        <v>123</v>
      </c>
      <c r="AC232" s="1868" t="s">
        <v>233</v>
      </c>
      <c r="AD232" s="1869" t="s">
        <v>120</v>
      </c>
      <c r="AE232" s="1869" t="s">
        <v>120</v>
      </c>
      <c r="AF232" s="1870" t="s">
        <v>128</v>
      </c>
      <c r="AG232" s="1788" t="s">
        <v>368</v>
      </c>
    </row>
    <row r="233" spans="1:33" s="238" customFormat="1" ht="25.5" outlineLevel="1" x14ac:dyDescent="0.25">
      <c r="A233" s="1871" t="s">
        <v>824</v>
      </c>
      <c r="B233" s="1872" t="s">
        <v>112</v>
      </c>
      <c r="C233" s="35" t="s">
        <v>878</v>
      </c>
      <c r="D233" s="954" t="s">
        <v>51</v>
      </c>
      <c r="E233" s="954" t="s">
        <v>51</v>
      </c>
      <c r="F233" s="1873" t="s">
        <v>825</v>
      </c>
      <c r="G233" s="1846">
        <v>400</v>
      </c>
      <c r="H233" s="1846">
        <v>0</v>
      </c>
      <c r="I233" s="2123">
        <v>0</v>
      </c>
      <c r="J233" s="1874">
        <v>0</v>
      </c>
      <c r="K233" s="1875">
        <v>400</v>
      </c>
      <c r="L233" s="1875">
        <v>0</v>
      </c>
      <c r="M233" s="1876">
        <v>0</v>
      </c>
      <c r="N233" s="739">
        <v>400</v>
      </c>
      <c r="O233" s="778">
        <v>0</v>
      </c>
      <c r="P233" s="755">
        <f t="shared" si="14"/>
        <v>400</v>
      </c>
      <c r="Q233" s="1877">
        <v>0</v>
      </c>
      <c r="R233" s="1878">
        <v>0</v>
      </c>
      <c r="S233" s="1874">
        <v>0</v>
      </c>
      <c r="T233" s="1875">
        <v>0</v>
      </c>
      <c r="U233" s="1879">
        <v>0</v>
      </c>
      <c r="V233" s="1880">
        <v>0</v>
      </c>
      <c r="W233" s="1881">
        <v>0</v>
      </c>
      <c r="X233" s="1881">
        <v>0</v>
      </c>
      <c r="Y233" s="1881">
        <v>0</v>
      </c>
      <c r="Z233" s="1882">
        <v>0</v>
      </c>
      <c r="AA233" s="719" t="s">
        <v>826</v>
      </c>
      <c r="AB233" s="401" t="s">
        <v>13</v>
      </c>
      <c r="AC233" s="1883" t="s">
        <v>325</v>
      </c>
      <c r="AD233" s="1884" t="s">
        <v>119</v>
      </c>
      <c r="AE233" s="1884" t="s">
        <v>119</v>
      </c>
      <c r="AF233" s="709" t="s">
        <v>128</v>
      </c>
      <c r="AG233" s="954" t="s">
        <v>368</v>
      </c>
    </row>
    <row r="234" spans="1:33" s="238" customFormat="1" ht="25.5" outlineLevel="1" x14ac:dyDescent="0.25">
      <c r="A234" s="1940" t="s">
        <v>827</v>
      </c>
      <c r="B234" s="1941" t="s">
        <v>112</v>
      </c>
      <c r="C234" s="531" t="s">
        <v>878</v>
      </c>
      <c r="D234" s="1391" t="s">
        <v>9</v>
      </c>
      <c r="E234" s="1391" t="s">
        <v>53</v>
      </c>
      <c r="F234" s="1942" t="s">
        <v>828</v>
      </c>
      <c r="G234" s="1943">
        <v>0</v>
      </c>
      <c r="H234" s="1943">
        <v>0</v>
      </c>
      <c r="I234" s="2124">
        <v>0</v>
      </c>
      <c r="J234" s="1944">
        <v>0</v>
      </c>
      <c r="K234" s="1945">
        <v>0</v>
      </c>
      <c r="L234" s="1945">
        <v>0</v>
      </c>
      <c r="M234" s="1946">
        <v>0</v>
      </c>
      <c r="N234" s="1947">
        <v>127</v>
      </c>
      <c r="O234" s="1948">
        <v>-127</v>
      </c>
      <c r="P234" s="1949">
        <f t="shared" si="14"/>
        <v>0</v>
      </c>
      <c r="Q234" s="1950">
        <v>0</v>
      </c>
      <c r="R234" s="1951">
        <v>0</v>
      </c>
      <c r="S234" s="1944">
        <v>0</v>
      </c>
      <c r="T234" s="1945">
        <v>0</v>
      </c>
      <c r="U234" s="1952">
        <v>0</v>
      </c>
      <c r="V234" s="1288">
        <v>0</v>
      </c>
      <c r="W234" s="1300">
        <v>0</v>
      </c>
      <c r="X234" s="1300">
        <v>0</v>
      </c>
      <c r="Y234" s="1300">
        <v>0</v>
      </c>
      <c r="Z234" s="1290">
        <v>0</v>
      </c>
      <c r="AA234" s="1953" t="s">
        <v>1426</v>
      </c>
      <c r="AB234" s="1303" t="s">
        <v>121</v>
      </c>
      <c r="AC234" s="1954" t="s">
        <v>318</v>
      </c>
      <c r="AD234" s="1304" t="s">
        <v>119</v>
      </c>
      <c r="AE234" s="1304" t="s">
        <v>119</v>
      </c>
      <c r="AF234" s="1955" t="s">
        <v>128</v>
      </c>
      <c r="AG234" s="1391" t="s">
        <v>372</v>
      </c>
    </row>
    <row r="235" spans="1:33" s="238" customFormat="1" ht="30" outlineLevel="1" x14ac:dyDescent="0.25">
      <c r="A235" s="1885" t="s">
        <v>829</v>
      </c>
      <c r="B235" s="1886" t="s">
        <v>1087</v>
      </c>
      <c r="C235" s="5" t="s">
        <v>878</v>
      </c>
      <c r="D235" s="1372" t="s">
        <v>830</v>
      </c>
      <c r="E235" s="1372" t="s">
        <v>830</v>
      </c>
      <c r="F235" s="1887" t="s">
        <v>831</v>
      </c>
      <c r="G235" s="1888">
        <v>114.95</v>
      </c>
      <c r="H235" s="1888">
        <v>0</v>
      </c>
      <c r="I235" s="2125">
        <v>114.95</v>
      </c>
      <c r="J235" s="1889">
        <v>0</v>
      </c>
      <c r="K235" s="1890">
        <v>0</v>
      </c>
      <c r="L235" s="1890">
        <v>0</v>
      </c>
      <c r="M235" s="1891">
        <v>0</v>
      </c>
      <c r="N235" s="1892">
        <v>0</v>
      </c>
      <c r="O235" s="1893">
        <v>0</v>
      </c>
      <c r="P235" s="1894">
        <f t="shared" si="14"/>
        <v>0</v>
      </c>
      <c r="Q235" s="1895">
        <v>0</v>
      </c>
      <c r="R235" s="1896">
        <v>0</v>
      </c>
      <c r="S235" s="1889">
        <v>0</v>
      </c>
      <c r="T235" s="1890">
        <v>0</v>
      </c>
      <c r="U235" s="1897">
        <v>0</v>
      </c>
      <c r="V235" s="1270">
        <v>0</v>
      </c>
      <c r="W235" s="1277">
        <v>0</v>
      </c>
      <c r="X235" s="1277">
        <v>0</v>
      </c>
      <c r="Y235" s="1277">
        <v>0</v>
      </c>
      <c r="Z235" s="1272">
        <v>0</v>
      </c>
      <c r="AA235" s="1900" t="s">
        <v>1340</v>
      </c>
      <c r="AB235" s="1279" t="s">
        <v>123</v>
      </c>
      <c r="AC235" s="1898" t="s">
        <v>233</v>
      </c>
      <c r="AD235" s="1280" t="s">
        <v>120</v>
      </c>
      <c r="AE235" s="1280" t="s">
        <v>120</v>
      </c>
      <c r="AF235" s="1899" t="s">
        <v>128</v>
      </c>
      <c r="AG235" s="1372" t="s">
        <v>381</v>
      </c>
    </row>
    <row r="236" spans="1:33" s="238" customFormat="1" ht="30.75" outlineLevel="1" thickBot="1" x14ac:dyDescent="0.3">
      <c r="A236" s="1059" t="s">
        <v>854</v>
      </c>
      <c r="B236" s="1848" t="s">
        <v>112</v>
      </c>
      <c r="C236" s="39" t="s">
        <v>878</v>
      </c>
      <c r="D236" s="340" t="s">
        <v>684</v>
      </c>
      <c r="E236" s="340" t="s">
        <v>684</v>
      </c>
      <c r="F236" s="75" t="s">
        <v>855</v>
      </c>
      <c r="G236" s="1849">
        <v>500</v>
      </c>
      <c r="H236" s="1849">
        <v>0</v>
      </c>
      <c r="I236" s="2121">
        <v>0</v>
      </c>
      <c r="J236" s="795">
        <v>0</v>
      </c>
      <c r="K236" s="796">
        <v>150</v>
      </c>
      <c r="L236" s="796">
        <v>0</v>
      </c>
      <c r="M236" s="1850">
        <v>350</v>
      </c>
      <c r="N236" s="740">
        <v>500</v>
      </c>
      <c r="O236" s="775">
        <v>0</v>
      </c>
      <c r="P236" s="1926">
        <f t="shared" ref="P236" si="15">N236+O236</f>
        <v>500</v>
      </c>
      <c r="Q236" s="793">
        <v>0</v>
      </c>
      <c r="R236" s="794">
        <v>0</v>
      </c>
      <c r="S236" s="795">
        <v>0</v>
      </c>
      <c r="T236" s="796">
        <v>0</v>
      </c>
      <c r="U236" s="797">
        <v>0</v>
      </c>
      <c r="V236" s="798">
        <v>0</v>
      </c>
      <c r="W236" s="800">
        <v>0</v>
      </c>
      <c r="X236" s="800">
        <v>0</v>
      </c>
      <c r="Y236" s="800">
        <v>0</v>
      </c>
      <c r="Z236" s="801">
        <v>0</v>
      </c>
      <c r="AA236" s="15" t="s">
        <v>856</v>
      </c>
      <c r="AB236" s="397" t="s">
        <v>11</v>
      </c>
      <c r="AC236" s="1851" t="s">
        <v>522</v>
      </c>
      <c r="AD236" s="1852" t="s">
        <v>119</v>
      </c>
      <c r="AE236" s="1852" t="s">
        <v>119</v>
      </c>
      <c r="AF236" s="18" t="s">
        <v>128</v>
      </c>
      <c r="AG236" s="340" t="s">
        <v>380</v>
      </c>
    </row>
    <row r="237" spans="1:33" s="238" customFormat="1" ht="60" outlineLevel="1" x14ac:dyDescent="0.25">
      <c r="A237" s="1915" t="s">
        <v>1350</v>
      </c>
      <c r="B237" s="1916" t="s">
        <v>112</v>
      </c>
      <c r="C237" s="63" t="s">
        <v>109</v>
      </c>
      <c r="D237" s="1917" t="s">
        <v>53</v>
      </c>
      <c r="E237" s="1917" t="s">
        <v>53</v>
      </c>
      <c r="F237" s="1936" t="s">
        <v>1351</v>
      </c>
      <c r="G237" s="383">
        <v>3419.1120000000001</v>
      </c>
      <c r="H237" s="383">
        <v>0</v>
      </c>
      <c r="I237" s="97">
        <v>0</v>
      </c>
      <c r="J237" s="1918">
        <v>0</v>
      </c>
      <c r="K237" s="333">
        <v>0</v>
      </c>
      <c r="L237" s="333">
        <v>419.11200000000002</v>
      </c>
      <c r="M237" s="1919">
        <v>3000</v>
      </c>
      <c r="N237" s="1920">
        <v>0</v>
      </c>
      <c r="O237" s="1921">
        <v>3419.1120000000001</v>
      </c>
      <c r="P237" s="1922">
        <f>N237+O237</f>
        <v>3419.1120000000001</v>
      </c>
      <c r="Q237" s="151">
        <v>0</v>
      </c>
      <c r="R237" s="150">
        <v>0</v>
      </c>
      <c r="S237" s="1918">
        <v>0</v>
      </c>
      <c r="T237" s="333">
        <v>0</v>
      </c>
      <c r="U237" s="1937">
        <v>0</v>
      </c>
      <c r="V237" s="1923">
        <v>0</v>
      </c>
      <c r="W237" s="1914">
        <v>0</v>
      </c>
      <c r="X237" s="1924">
        <v>0</v>
      </c>
      <c r="Y237" s="1914">
        <v>0</v>
      </c>
      <c r="Z237" s="1922">
        <v>0</v>
      </c>
      <c r="AA237" s="49" t="s">
        <v>1352</v>
      </c>
      <c r="AB237" s="356" t="s">
        <v>13</v>
      </c>
      <c r="AC237" s="1938" t="s">
        <v>485</v>
      </c>
      <c r="AD237" s="1925" t="s">
        <v>119</v>
      </c>
      <c r="AE237" s="1925" t="s">
        <v>119</v>
      </c>
      <c r="AF237" s="149" t="s">
        <v>128</v>
      </c>
      <c r="AG237" s="1917" t="s">
        <v>372</v>
      </c>
    </row>
    <row r="238" spans="1:33" s="238" customFormat="1" ht="30" outlineLevel="1" x14ac:dyDescent="0.25">
      <c r="A238" s="1901" t="s">
        <v>1353</v>
      </c>
      <c r="B238" s="1902" t="s">
        <v>112</v>
      </c>
      <c r="C238" s="61" t="s">
        <v>109</v>
      </c>
      <c r="D238" s="1903" t="s">
        <v>53</v>
      </c>
      <c r="E238" s="1903" t="s">
        <v>53</v>
      </c>
      <c r="F238" s="1904" t="s">
        <v>1354</v>
      </c>
      <c r="G238" s="1905">
        <v>240</v>
      </c>
      <c r="H238" s="1905">
        <v>0</v>
      </c>
      <c r="I238" s="2126">
        <v>0</v>
      </c>
      <c r="J238" s="1437">
        <v>0</v>
      </c>
      <c r="K238" s="1438">
        <v>0</v>
      </c>
      <c r="L238" s="1438">
        <v>240</v>
      </c>
      <c r="M238" s="1906">
        <v>0</v>
      </c>
      <c r="N238" s="1429">
        <v>0</v>
      </c>
      <c r="O238" s="1907">
        <v>240</v>
      </c>
      <c r="P238" s="1908">
        <f>N238+O238</f>
        <v>240</v>
      </c>
      <c r="Q238" s="1909">
        <v>0</v>
      </c>
      <c r="R238" s="1910">
        <v>0</v>
      </c>
      <c r="S238" s="1437">
        <v>0</v>
      </c>
      <c r="T238" s="1438">
        <v>0</v>
      </c>
      <c r="U238" s="1911">
        <v>0</v>
      </c>
      <c r="V238" s="1426">
        <v>0</v>
      </c>
      <c r="W238" s="1439">
        <v>0</v>
      </c>
      <c r="X238" s="1445">
        <v>0</v>
      </c>
      <c r="Y238" s="1439">
        <v>0</v>
      </c>
      <c r="Z238" s="1908">
        <v>0</v>
      </c>
      <c r="AA238" s="505" t="s">
        <v>1355</v>
      </c>
      <c r="AB238" s="281" t="s">
        <v>13</v>
      </c>
      <c r="AC238" s="1912" t="s">
        <v>522</v>
      </c>
      <c r="AD238" s="1913" t="s">
        <v>119</v>
      </c>
      <c r="AE238" s="1913" t="s">
        <v>119</v>
      </c>
      <c r="AF238" s="584" t="s">
        <v>128</v>
      </c>
      <c r="AG238" s="1903" t="s">
        <v>372</v>
      </c>
    </row>
    <row r="239" spans="1:33" s="238" customFormat="1" ht="30" outlineLevel="1" x14ac:dyDescent="0.25">
      <c r="A239" s="1901" t="s">
        <v>1356</v>
      </c>
      <c r="B239" s="1902" t="s">
        <v>112</v>
      </c>
      <c r="C239" s="61" t="s">
        <v>109</v>
      </c>
      <c r="D239" s="1903" t="s">
        <v>684</v>
      </c>
      <c r="E239" s="1903" t="s">
        <v>684</v>
      </c>
      <c r="F239" s="1904" t="s">
        <v>1357</v>
      </c>
      <c r="G239" s="1905">
        <v>786.5</v>
      </c>
      <c r="H239" s="1905">
        <v>0</v>
      </c>
      <c r="I239" s="2126">
        <v>0</v>
      </c>
      <c r="J239" s="1437">
        <v>0</v>
      </c>
      <c r="K239" s="1438">
        <v>300</v>
      </c>
      <c r="L239" s="1438">
        <v>486.5</v>
      </c>
      <c r="M239" s="1906">
        <v>0</v>
      </c>
      <c r="N239" s="1429">
        <v>0</v>
      </c>
      <c r="O239" s="1907">
        <v>786.5</v>
      </c>
      <c r="P239" s="1908">
        <f>N239+O239</f>
        <v>786.5</v>
      </c>
      <c r="Q239" s="1909">
        <v>0</v>
      </c>
      <c r="R239" s="1910">
        <v>0</v>
      </c>
      <c r="S239" s="1437">
        <v>0</v>
      </c>
      <c r="T239" s="1438">
        <v>0</v>
      </c>
      <c r="U239" s="1911">
        <v>0</v>
      </c>
      <c r="V239" s="1426">
        <v>0</v>
      </c>
      <c r="W239" s="1439">
        <v>0</v>
      </c>
      <c r="X239" s="1445">
        <v>0</v>
      </c>
      <c r="Y239" s="1439">
        <v>0</v>
      </c>
      <c r="Z239" s="1908">
        <v>0</v>
      </c>
      <c r="AA239" s="505" t="s">
        <v>1358</v>
      </c>
      <c r="AB239" s="281" t="s">
        <v>13</v>
      </c>
      <c r="AC239" s="1912" t="s">
        <v>325</v>
      </c>
      <c r="AD239" s="1913" t="s">
        <v>119</v>
      </c>
      <c r="AE239" s="1913" t="s">
        <v>119</v>
      </c>
      <c r="AF239" s="584" t="s">
        <v>128</v>
      </c>
      <c r="AG239" s="1903" t="s">
        <v>380</v>
      </c>
    </row>
    <row r="240" spans="1:33" s="238" customFormat="1" outlineLevel="1" x14ac:dyDescent="0.25">
      <c r="A240" s="1901" t="s">
        <v>1359</v>
      </c>
      <c r="B240" s="1902" t="s">
        <v>112</v>
      </c>
      <c r="C240" s="61" t="s">
        <v>109</v>
      </c>
      <c r="D240" s="1903" t="s">
        <v>51</v>
      </c>
      <c r="E240" s="1903" t="s">
        <v>51</v>
      </c>
      <c r="F240" s="1904" t="s">
        <v>1360</v>
      </c>
      <c r="G240" s="1905">
        <v>650</v>
      </c>
      <c r="H240" s="1905">
        <v>0</v>
      </c>
      <c r="I240" s="2126">
        <v>0</v>
      </c>
      <c r="J240" s="1437">
        <v>0</v>
      </c>
      <c r="K240" s="1438">
        <v>200</v>
      </c>
      <c r="L240" s="1438">
        <v>450</v>
      </c>
      <c r="M240" s="1906">
        <v>0</v>
      </c>
      <c r="N240" s="1429">
        <v>0</v>
      </c>
      <c r="O240" s="1907">
        <v>650</v>
      </c>
      <c r="P240" s="1908">
        <f t="shared" ref="P240:P255" si="16">N240+O240</f>
        <v>650</v>
      </c>
      <c r="Q240" s="1909">
        <v>0</v>
      </c>
      <c r="R240" s="1910">
        <v>0</v>
      </c>
      <c r="S240" s="1437">
        <v>0</v>
      </c>
      <c r="T240" s="1438">
        <v>0</v>
      </c>
      <c r="U240" s="1911">
        <v>0</v>
      </c>
      <c r="V240" s="1426">
        <v>0</v>
      </c>
      <c r="W240" s="1439">
        <v>0</v>
      </c>
      <c r="X240" s="1445">
        <v>0</v>
      </c>
      <c r="Y240" s="1439">
        <v>0</v>
      </c>
      <c r="Z240" s="1908">
        <v>0</v>
      </c>
      <c r="AA240" s="505" t="s">
        <v>1361</v>
      </c>
      <c r="AB240" s="281" t="s">
        <v>13</v>
      </c>
      <c r="AC240" s="1912" t="s">
        <v>1250</v>
      </c>
      <c r="AD240" s="1913" t="s">
        <v>119</v>
      </c>
      <c r="AE240" s="1913" t="s">
        <v>119</v>
      </c>
      <c r="AF240" s="584" t="s">
        <v>128</v>
      </c>
      <c r="AG240" s="1903" t="s">
        <v>368</v>
      </c>
    </row>
    <row r="241" spans="1:33" s="238" customFormat="1" ht="30" outlineLevel="1" x14ac:dyDescent="0.25">
      <c r="A241" s="1901" t="s">
        <v>1362</v>
      </c>
      <c r="B241" s="1902" t="s">
        <v>112</v>
      </c>
      <c r="C241" s="63" t="s">
        <v>109</v>
      </c>
      <c r="D241" s="1903" t="s">
        <v>51</v>
      </c>
      <c r="E241" s="1903" t="s">
        <v>51</v>
      </c>
      <c r="F241" s="1904" t="s">
        <v>1363</v>
      </c>
      <c r="G241" s="1905">
        <v>315</v>
      </c>
      <c r="H241" s="1905">
        <v>0</v>
      </c>
      <c r="I241" s="2126">
        <v>0</v>
      </c>
      <c r="J241" s="1437">
        <v>0</v>
      </c>
      <c r="K241" s="1438">
        <v>65</v>
      </c>
      <c r="L241" s="1438">
        <v>250</v>
      </c>
      <c r="M241" s="1906">
        <v>0</v>
      </c>
      <c r="N241" s="1429">
        <v>0</v>
      </c>
      <c r="O241" s="1907">
        <v>315</v>
      </c>
      <c r="P241" s="1908">
        <f t="shared" si="16"/>
        <v>315</v>
      </c>
      <c r="Q241" s="1909">
        <v>0</v>
      </c>
      <c r="R241" s="1910">
        <v>0</v>
      </c>
      <c r="S241" s="1437">
        <v>0</v>
      </c>
      <c r="T241" s="1438">
        <v>0</v>
      </c>
      <c r="U241" s="1911">
        <v>0</v>
      </c>
      <c r="V241" s="1426">
        <v>0</v>
      </c>
      <c r="W241" s="1439">
        <v>0</v>
      </c>
      <c r="X241" s="1445">
        <v>0</v>
      </c>
      <c r="Y241" s="1439">
        <v>0</v>
      </c>
      <c r="Z241" s="1908">
        <v>0</v>
      </c>
      <c r="AA241" s="505" t="s">
        <v>1364</v>
      </c>
      <c r="AB241" s="281" t="s">
        <v>13</v>
      </c>
      <c r="AC241" s="1912" t="s">
        <v>325</v>
      </c>
      <c r="AD241" s="1913" t="s">
        <v>119</v>
      </c>
      <c r="AE241" s="1913" t="s">
        <v>119</v>
      </c>
      <c r="AF241" s="584" t="s">
        <v>128</v>
      </c>
      <c r="AG241" s="1903" t="s">
        <v>368</v>
      </c>
    </row>
    <row r="242" spans="1:33" s="238" customFormat="1" ht="30" outlineLevel="1" x14ac:dyDescent="0.25">
      <c r="A242" s="1901" t="s">
        <v>1365</v>
      </c>
      <c r="B242" s="1902" t="s">
        <v>112</v>
      </c>
      <c r="C242" s="63" t="s">
        <v>109</v>
      </c>
      <c r="D242" s="1903" t="s">
        <v>76</v>
      </c>
      <c r="E242" s="1903" t="s">
        <v>76</v>
      </c>
      <c r="F242" s="1904" t="s">
        <v>1366</v>
      </c>
      <c r="G242" s="1905">
        <v>500</v>
      </c>
      <c r="H242" s="1905">
        <v>0</v>
      </c>
      <c r="I242" s="2126">
        <v>0</v>
      </c>
      <c r="J242" s="1437">
        <v>0</v>
      </c>
      <c r="K242" s="1438">
        <v>0</v>
      </c>
      <c r="L242" s="1438">
        <v>125</v>
      </c>
      <c r="M242" s="1906">
        <v>375</v>
      </c>
      <c r="N242" s="1429">
        <v>0</v>
      </c>
      <c r="O242" s="1907">
        <v>500</v>
      </c>
      <c r="P242" s="1908">
        <f t="shared" si="16"/>
        <v>500</v>
      </c>
      <c r="Q242" s="1909">
        <v>0</v>
      </c>
      <c r="R242" s="1910">
        <v>0</v>
      </c>
      <c r="S242" s="1437">
        <v>0</v>
      </c>
      <c r="T242" s="1438">
        <v>0</v>
      </c>
      <c r="U242" s="1911">
        <v>0</v>
      </c>
      <c r="V242" s="1426">
        <v>0</v>
      </c>
      <c r="W242" s="1439">
        <v>0</v>
      </c>
      <c r="X242" s="1445">
        <v>0</v>
      </c>
      <c r="Y242" s="1439">
        <v>0</v>
      </c>
      <c r="Z242" s="1908">
        <v>0</v>
      </c>
      <c r="AA242" s="505" t="s">
        <v>1367</v>
      </c>
      <c r="AB242" s="281" t="s">
        <v>13</v>
      </c>
      <c r="AC242" s="1912"/>
      <c r="AD242" s="1913" t="s">
        <v>119</v>
      </c>
      <c r="AE242" s="1913" t="s">
        <v>119</v>
      </c>
      <c r="AF242" s="584" t="s">
        <v>128</v>
      </c>
      <c r="AG242" s="1903" t="s">
        <v>1368</v>
      </c>
    </row>
    <row r="243" spans="1:33" s="238" customFormat="1" outlineLevel="1" x14ac:dyDescent="0.25">
      <c r="A243" s="1901" t="s">
        <v>1369</v>
      </c>
      <c r="B243" s="1902" t="s">
        <v>112</v>
      </c>
      <c r="C243" s="61" t="s">
        <v>109</v>
      </c>
      <c r="D243" s="1903" t="s">
        <v>54</v>
      </c>
      <c r="E243" s="1903" t="s">
        <v>54</v>
      </c>
      <c r="F243" s="1904" t="s">
        <v>1370</v>
      </c>
      <c r="G243" s="1905">
        <v>500</v>
      </c>
      <c r="H243" s="1905">
        <v>0</v>
      </c>
      <c r="I243" s="2126">
        <v>0</v>
      </c>
      <c r="J243" s="1437">
        <v>0</v>
      </c>
      <c r="K243" s="1438">
        <v>0</v>
      </c>
      <c r="L243" s="1438">
        <v>0</v>
      </c>
      <c r="M243" s="1906">
        <v>500</v>
      </c>
      <c r="N243" s="1429">
        <v>0</v>
      </c>
      <c r="O243" s="1907">
        <v>500</v>
      </c>
      <c r="P243" s="1908">
        <f t="shared" si="16"/>
        <v>500</v>
      </c>
      <c r="Q243" s="1909">
        <v>0</v>
      </c>
      <c r="R243" s="1910">
        <v>0</v>
      </c>
      <c r="S243" s="1437">
        <v>0</v>
      </c>
      <c r="T243" s="1438">
        <v>0</v>
      </c>
      <c r="U243" s="1911">
        <v>0</v>
      </c>
      <c r="V243" s="1426">
        <v>0</v>
      </c>
      <c r="W243" s="1439">
        <v>0</v>
      </c>
      <c r="X243" s="1445">
        <v>0</v>
      </c>
      <c r="Y243" s="1439">
        <v>0</v>
      </c>
      <c r="Z243" s="1908">
        <v>0</v>
      </c>
      <c r="AA243" s="505" t="s">
        <v>1371</v>
      </c>
      <c r="AB243" s="281" t="s">
        <v>13</v>
      </c>
      <c r="AC243" s="1912" t="s">
        <v>1250</v>
      </c>
      <c r="AD243" s="1913" t="s">
        <v>119</v>
      </c>
      <c r="AE243" s="1913" t="s">
        <v>119</v>
      </c>
      <c r="AF243" s="584" t="s">
        <v>128</v>
      </c>
      <c r="AG243" s="1903" t="s">
        <v>363</v>
      </c>
    </row>
    <row r="244" spans="1:33" s="238" customFormat="1" ht="30" outlineLevel="1" x14ac:dyDescent="0.25">
      <c r="A244" s="1901" t="s">
        <v>1372</v>
      </c>
      <c r="B244" s="1902" t="s">
        <v>112</v>
      </c>
      <c r="C244" s="61" t="s">
        <v>109</v>
      </c>
      <c r="D244" s="1903" t="s">
        <v>54</v>
      </c>
      <c r="E244" s="1903" t="s">
        <v>54</v>
      </c>
      <c r="F244" s="1904" t="s">
        <v>1373</v>
      </c>
      <c r="G244" s="1905">
        <v>700</v>
      </c>
      <c r="H244" s="1905">
        <v>0</v>
      </c>
      <c r="I244" s="2126">
        <v>0</v>
      </c>
      <c r="J244" s="1437">
        <v>0</v>
      </c>
      <c r="K244" s="1438">
        <v>700</v>
      </c>
      <c r="L244" s="1438">
        <v>0</v>
      </c>
      <c r="M244" s="1906">
        <v>0</v>
      </c>
      <c r="N244" s="1429">
        <v>0</v>
      </c>
      <c r="O244" s="1907">
        <v>700</v>
      </c>
      <c r="P244" s="1908">
        <f t="shared" si="16"/>
        <v>700</v>
      </c>
      <c r="Q244" s="1909">
        <v>0</v>
      </c>
      <c r="R244" s="1910">
        <v>0</v>
      </c>
      <c r="S244" s="1437">
        <v>0</v>
      </c>
      <c r="T244" s="1438">
        <v>0</v>
      </c>
      <c r="U244" s="1911">
        <v>0</v>
      </c>
      <c r="V244" s="1426">
        <v>0</v>
      </c>
      <c r="W244" s="1439">
        <v>0</v>
      </c>
      <c r="X244" s="1445">
        <v>0</v>
      </c>
      <c r="Y244" s="1439">
        <v>0</v>
      </c>
      <c r="Z244" s="1908">
        <v>0</v>
      </c>
      <c r="AA244" s="505" t="s">
        <v>1374</v>
      </c>
      <c r="AB244" s="281" t="s">
        <v>13</v>
      </c>
      <c r="AC244" s="1912" t="s">
        <v>493</v>
      </c>
      <c r="AD244" s="1913" t="s">
        <v>119</v>
      </c>
      <c r="AE244" s="1913" t="s">
        <v>119</v>
      </c>
      <c r="AF244" s="584" t="s">
        <v>128</v>
      </c>
      <c r="AG244" s="1903" t="s">
        <v>363</v>
      </c>
    </row>
    <row r="245" spans="1:33" s="238" customFormat="1" ht="30" outlineLevel="1" x14ac:dyDescent="0.25">
      <c r="A245" s="1901" t="s">
        <v>1375</v>
      </c>
      <c r="B245" s="1902" t="s">
        <v>112</v>
      </c>
      <c r="C245" s="61" t="s">
        <v>109</v>
      </c>
      <c r="D245" s="1903" t="s">
        <v>54</v>
      </c>
      <c r="E245" s="1903" t="s">
        <v>54</v>
      </c>
      <c r="F245" s="1904" t="s">
        <v>1376</v>
      </c>
      <c r="G245" s="1905">
        <v>1249</v>
      </c>
      <c r="H245" s="1905">
        <v>0</v>
      </c>
      <c r="I245" s="2126">
        <v>0</v>
      </c>
      <c r="J245" s="1437">
        <v>0</v>
      </c>
      <c r="K245" s="1438">
        <v>0</v>
      </c>
      <c r="L245" s="1438">
        <v>0</v>
      </c>
      <c r="M245" s="1906">
        <v>1249</v>
      </c>
      <c r="N245" s="1429">
        <v>0</v>
      </c>
      <c r="O245" s="1907">
        <v>1249</v>
      </c>
      <c r="P245" s="1908">
        <f t="shared" si="16"/>
        <v>1249</v>
      </c>
      <c r="Q245" s="1909">
        <v>0</v>
      </c>
      <c r="R245" s="1910">
        <v>0</v>
      </c>
      <c r="S245" s="1437">
        <v>0</v>
      </c>
      <c r="T245" s="1438">
        <v>0</v>
      </c>
      <c r="U245" s="1911">
        <v>0</v>
      </c>
      <c r="V245" s="1426">
        <v>0</v>
      </c>
      <c r="W245" s="1439">
        <v>0</v>
      </c>
      <c r="X245" s="1445">
        <v>0</v>
      </c>
      <c r="Y245" s="1439">
        <v>0</v>
      </c>
      <c r="Z245" s="1908">
        <v>0</v>
      </c>
      <c r="AA245" s="505" t="s">
        <v>1377</v>
      </c>
      <c r="AB245" s="281" t="s">
        <v>13</v>
      </c>
      <c r="AC245" s="1912" t="s">
        <v>299</v>
      </c>
      <c r="AD245" s="1913" t="s">
        <v>119</v>
      </c>
      <c r="AE245" s="1913" t="s">
        <v>119</v>
      </c>
      <c r="AF245" s="584" t="s">
        <v>128</v>
      </c>
      <c r="AG245" s="1903" t="s">
        <v>363</v>
      </c>
    </row>
    <row r="246" spans="1:33" s="238" customFormat="1" ht="25.5" outlineLevel="1" x14ac:dyDescent="0.25">
      <c r="A246" s="1901" t="s">
        <v>1378</v>
      </c>
      <c r="B246" s="1902" t="s">
        <v>112</v>
      </c>
      <c r="C246" s="61" t="s">
        <v>109</v>
      </c>
      <c r="D246" s="1903" t="s">
        <v>54</v>
      </c>
      <c r="E246" s="1903" t="s">
        <v>54</v>
      </c>
      <c r="F246" s="1904" t="s">
        <v>1379</v>
      </c>
      <c r="G246" s="1905">
        <v>580</v>
      </c>
      <c r="H246" s="1905">
        <v>0</v>
      </c>
      <c r="I246" s="2126">
        <v>0</v>
      </c>
      <c r="J246" s="1437">
        <v>0</v>
      </c>
      <c r="K246" s="1438">
        <v>0</v>
      </c>
      <c r="L246" s="1438">
        <v>580</v>
      </c>
      <c r="M246" s="1906">
        <v>0</v>
      </c>
      <c r="N246" s="1429">
        <v>0</v>
      </c>
      <c r="O246" s="1907">
        <v>580</v>
      </c>
      <c r="P246" s="1908">
        <f t="shared" si="16"/>
        <v>580</v>
      </c>
      <c r="Q246" s="1909">
        <v>0</v>
      </c>
      <c r="R246" s="1910">
        <v>0</v>
      </c>
      <c r="S246" s="1437">
        <v>0</v>
      </c>
      <c r="T246" s="1438">
        <v>0</v>
      </c>
      <c r="U246" s="1911">
        <v>0</v>
      </c>
      <c r="V246" s="1426">
        <v>0</v>
      </c>
      <c r="W246" s="1439">
        <v>0</v>
      </c>
      <c r="X246" s="1445">
        <v>0</v>
      </c>
      <c r="Y246" s="1439">
        <v>0</v>
      </c>
      <c r="Z246" s="1908">
        <v>0</v>
      </c>
      <c r="AA246" s="505" t="s">
        <v>1380</v>
      </c>
      <c r="AB246" s="281" t="s">
        <v>13</v>
      </c>
      <c r="AC246" s="1912" t="s">
        <v>493</v>
      </c>
      <c r="AD246" s="1913" t="s">
        <v>119</v>
      </c>
      <c r="AE246" s="1913" t="s">
        <v>119</v>
      </c>
      <c r="AF246" s="584" t="s">
        <v>128</v>
      </c>
      <c r="AG246" s="1903" t="s">
        <v>363</v>
      </c>
    </row>
    <row r="247" spans="1:33" s="238" customFormat="1" ht="30" outlineLevel="1" x14ac:dyDescent="0.25">
      <c r="A247" s="1901" t="s">
        <v>1381</v>
      </c>
      <c r="B247" s="1902" t="s">
        <v>112</v>
      </c>
      <c r="C247" s="61" t="s">
        <v>109</v>
      </c>
      <c r="D247" s="1903" t="s">
        <v>9</v>
      </c>
      <c r="E247" s="1903" t="s">
        <v>50</v>
      </c>
      <c r="F247" s="1904" t="s">
        <v>1382</v>
      </c>
      <c r="G247" s="1905">
        <v>12000</v>
      </c>
      <c r="H247" s="1905">
        <v>0</v>
      </c>
      <c r="I247" s="2126">
        <v>0</v>
      </c>
      <c r="J247" s="1437">
        <v>0</v>
      </c>
      <c r="K247" s="1438">
        <v>0</v>
      </c>
      <c r="L247" s="1438">
        <v>0</v>
      </c>
      <c r="M247" s="1906">
        <v>12000</v>
      </c>
      <c r="N247" s="1429">
        <v>0</v>
      </c>
      <c r="O247" s="1907">
        <v>12000</v>
      </c>
      <c r="P247" s="1908">
        <f t="shared" si="16"/>
        <v>12000</v>
      </c>
      <c r="Q247" s="1909">
        <v>0</v>
      </c>
      <c r="R247" s="1910">
        <v>0</v>
      </c>
      <c r="S247" s="1437">
        <v>0</v>
      </c>
      <c r="T247" s="1438">
        <v>0</v>
      </c>
      <c r="U247" s="1911">
        <v>0</v>
      </c>
      <c r="V247" s="1426">
        <v>0</v>
      </c>
      <c r="W247" s="1439">
        <v>0</v>
      </c>
      <c r="X247" s="1445">
        <v>0</v>
      </c>
      <c r="Y247" s="1439">
        <v>0</v>
      </c>
      <c r="Z247" s="1908">
        <v>0</v>
      </c>
      <c r="AA247" s="505" t="s">
        <v>1383</v>
      </c>
      <c r="AB247" s="281" t="s">
        <v>46</v>
      </c>
      <c r="AC247" s="1912" t="s">
        <v>303</v>
      </c>
      <c r="AD247" s="1913" t="s">
        <v>119</v>
      </c>
      <c r="AE247" s="1913" t="s">
        <v>119</v>
      </c>
      <c r="AF247" s="584" t="s">
        <v>127</v>
      </c>
      <c r="AG247" s="1903" t="s">
        <v>362</v>
      </c>
    </row>
    <row r="248" spans="1:33" s="238" customFormat="1" ht="25.5" outlineLevel="1" x14ac:dyDescent="0.25">
      <c r="A248" s="1901" t="s">
        <v>1384</v>
      </c>
      <c r="B248" s="1902" t="s">
        <v>112</v>
      </c>
      <c r="C248" s="63" t="s">
        <v>109</v>
      </c>
      <c r="D248" s="1903" t="s">
        <v>830</v>
      </c>
      <c r="E248" s="1903" t="s">
        <v>830</v>
      </c>
      <c r="F248" s="1904" t="s">
        <v>1385</v>
      </c>
      <c r="G248" s="1905">
        <v>350</v>
      </c>
      <c r="H248" s="1905">
        <v>0</v>
      </c>
      <c r="I248" s="2126">
        <v>0</v>
      </c>
      <c r="J248" s="1437">
        <v>0</v>
      </c>
      <c r="K248" s="1438">
        <v>0</v>
      </c>
      <c r="L248" s="1438">
        <v>350</v>
      </c>
      <c r="M248" s="1906">
        <v>0</v>
      </c>
      <c r="N248" s="1429">
        <v>0</v>
      </c>
      <c r="O248" s="1907">
        <v>350</v>
      </c>
      <c r="P248" s="1908">
        <f t="shared" si="16"/>
        <v>350</v>
      </c>
      <c r="Q248" s="1909">
        <v>0</v>
      </c>
      <c r="R248" s="1910">
        <v>0</v>
      </c>
      <c r="S248" s="1437">
        <v>0</v>
      </c>
      <c r="T248" s="1438">
        <v>0</v>
      </c>
      <c r="U248" s="1911">
        <v>0</v>
      </c>
      <c r="V248" s="1426">
        <v>0</v>
      </c>
      <c r="W248" s="1439">
        <v>0</v>
      </c>
      <c r="X248" s="1445">
        <v>0</v>
      </c>
      <c r="Y248" s="1439">
        <v>0</v>
      </c>
      <c r="Z248" s="1908">
        <v>0</v>
      </c>
      <c r="AA248" s="505" t="s">
        <v>1386</v>
      </c>
      <c r="AB248" s="281" t="s">
        <v>13</v>
      </c>
      <c r="AC248" s="1912" t="s">
        <v>325</v>
      </c>
      <c r="AD248" s="1913" t="s">
        <v>119</v>
      </c>
      <c r="AE248" s="1913" t="s">
        <v>119</v>
      </c>
      <c r="AF248" s="584" t="s">
        <v>128</v>
      </c>
      <c r="AG248" s="1903" t="s">
        <v>381</v>
      </c>
    </row>
    <row r="249" spans="1:33" s="238" customFormat="1" ht="25.5" outlineLevel="1" x14ac:dyDescent="0.25">
      <c r="A249" s="1901" t="s">
        <v>1387</v>
      </c>
      <c r="B249" s="1902" t="s">
        <v>112</v>
      </c>
      <c r="C249" s="61" t="s">
        <v>109</v>
      </c>
      <c r="D249" s="1903" t="s">
        <v>830</v>
      </c>
      <c r="E249" s="1903" t="s">
        <v>830</v>
      </c>
      <c r="F249" s="1904" t="s">
        <v>1388</v>
      </c>
      <c r="G249" s="1905">
        <v>100</v>
      </c>
      <c r="H249" s="1905">
        <v>0</v>
      </c>
      <c r="I249" s="2126">
        <v>0</v>
      </c>
      <c r="J249" s="1437">
        <v>0</v>
      </c>
      <c r="K249" s="1438">
        <v>50</v>
      </c>
      <c r="L249" s="1438">
        <v>50</v>
      </c>
      <c r="M249" s="1906">
        <v>0</v>
      </c>
      <c r="N249" s="1429">
        <v>0</v>
      </c>
      <c r="O249" s="1907">
        <v>100</v>
      </c>
      <c r="P249" s="1908">
        <f t="shared" si="16"/>
        <v>100</v>
      </c>
      <c r="Q249" s="1909">
        <v>0</v>
      </c>
      <c r="R249" s="1910">
        <v>0</v>
      </c>
      <c r="S249" s="1437">
        <v>0</v>
      </c>
      <c r="T249" s="1438">
        <v>0</v>
      </c>
      <c r="U249" s="1911">
        <v>0</v>
      </c>
      <c r="V249" s="1426">
        <v>0</v>
      </c>
      <c r="W249" s="1439">
        <v>0</v>
      </c>
      <c r="X249" s="1445">
        <v>0</v>
      </c>
      <c r="Y249" s="1439">
        <v>0</v>
      </c>
      <c r="Z249" s="1908">
        <v>0</v>
      </c>
      <c r="AA249" s="505" t="s">
        <v>1389</v>
      </c>
      <c r="AB249" s="281" t="s">
        <v>13</v>
      </c>
      <c r="AC249" s="1912" t="s">
        <v>493</v>
      </c>
      <c r="AD249" s="1913" t="s">
        <v>119</v>
      </c>
      <c r="AE249" s="1913" t="s">
        <v>119</v>
      </c>
      <c r="AF249" s="584" t="s">
        <v>128</v>
      </c>
      <c r="AG249" s="1903" t="s">
        <v>381</v>
      </c>
    </row>
    <row r="250" spans="1:33" s="238" customFormat="1" ht="25.5" outlineLevel="1" x14ac:dyDescent="0.25">
      <c r="A250" s="1901" t="s">
        <v>1390</v>
      </c>
      <c r="B250" s="1902" t="s">
        <v>112</v>
      </c>
      <c r="C250" s="61" t="s">
        <v>109</v>
      </c>
      <c r="D250" s="1903" t="s">
        <v>830</v>
      </c>
      <c r="E250" s="1903" t="s">
        <v>830</v>
      </c>
      <c r="F250" s="1904" t="s">
        <v>1391</v>
      </c>
      <c r="G250" s="1905">
        <v>450</v>
      </c>
      <c r="H250" s="1905">
        <v>0</v>
      </c>
      <c r="I250" s="2126">
        <v>0</v>
      </c>
      <c r="J250" s="1437">
        <v>0</v>
      </c>
      <c r="K250" s="1438">
        <v>60</v>
      </c>
      <c r="L250" s="1438">
        <v>0</v>
      </c>
      <c r="M250" s="1906">
        <v>390</v>
      </c>
      <c r="N250" s="1429">
        <v>0</v>
      </c>
      <c r="O250" s="1907">
        <v>450</v>
      </c>
      <c r="P250" s="1908">
        <f t="shared" si="16"/>
        <v>450</v>
      </c>
      <c r="Q250" s="1909">
        <v>0</v>
      </c>
      <c r="R250" s="1910">
        <v>0</v>
      </c>
      <c r="S250" s="1437">
        <v>0</v>
      </c>
      <c r="T250" s="1438">
        <v>0</v>
      </c>
      <c r="U250" s="1911">
        <v>0</v>
      </c>
      <c r="V250" s="1426">
        <v>0</v>
      </c>
      <c r="W250" s="1439">
        <v>0</v>
      </c>
      <c r="X250" s="1445">
        <v>0</v>
      </c>
      <c r="Y250" s="1439">
        <v>0</v>
      </c>
      <c r="Z250" s="1908">
        <v>0</v>
      </c>
      <c r="AA250" s="505" t="s">
        <v>1392</v>
      </c>
      <c r="AB250" s="281" t="s">
        <v>13</v>
      </c>
      <c r="AC250" s="1912" t="s">
        <v>325</v>
      </c>
      <c r="AD250" s="1913" t="s">
        <v>119</v>
      </c>
      <c r="AE250" s="1913" t="s">
        <v>119</v>
      </c>
      <c r="AF250" s="584" t="s">
        <v>128</v>
      </c>
      <c r="AG250" s="1903" t="s">
        <v>381</v>
      </c>
    </row>
    <row r="251" spans="1:33" s="238" customFormat="1" outlineLevel="1" x14ac:dyDescent="0.25">
      <c r="A251" s="1901" t="s">
        <v>1393</v>
      </c>
      <c r="B251" s="1902" t="s">
        <v>112</v>
      </c>
      <c r="C251" s="63" t="s">
        <v>109</v>
      </c>
      <c r="D251" s="1903" t="s">
        <v>626</v>
      </c>
      <c r="E251" s="1903" t="s">
        <v>626</v>
      </c>
      <c r="F251" s="1904" t="s">
        <v>1394</v>
      </c>
      <c r="G251" s="1905">
        <v>400</v>
      </c>
      <c r="H251" s="1905">
        <v>0</v>
      </c>
      <c r="I251" s="2126">
        <v>0</v>
      </c>
      <c r="J251" s="1437">
        <v>0</v>
      </c>
      <c r="K251" s="1438">
        <v>0</v>
      </c>
      <c r="L251" s="1438">
        <v>0</v>
      </c>
      <c r="M251" s="1906">
        <v>400</v>
      </c>
      <c r="N251" s="1429">
        <v>0</v>
      </c>
      <c r="O251" s="1907">
        <v>400</v>
      </c>
      <c r="P251" s="1908">
        <f t="shared" si="16"/>
        <v>400</v>
      </c>
      <c r="Q251" s="1909">
        <v>0</v>
      </c>
      <c r="R251" s="1910">
        <v>0</v>
      </c>
      <c r="S251" s="1437">
        <v>0</v>
      </c>
      <c r="T251" s="1438">
        <v>0</v>
      </c>
      <c r="U251" s="1911">
        <v>0</v>
      </c>
      <c r="V251" s="1426">
        <v>0</v>
      </c>
      <c r="W251" s="1439">
        <v>0</v>
      </c>
      <c r="X251" s="1445">
        <v>0</v>
      </c>
      <c r="Y251" s="1439">
        <v>0</v>
      </c>
      <c r="Z251" s="1908">
        <v>0</v>
      </c>
      <c r="AA251" s="505" t="s">
        <v>1395</v>
      </c>
      <c r="AB251" s="281" t="s">
        <v>13</v>
      </c>
      <c r="AC251" s="1912" t="s">
        <v>522</v>
      </c>
      <c r="AD251" s="1913" t="s">
        <v>119</v>
      </c>
      <c r="AE251" s="1913" t="s">
        <v>119</v>
      </c>
      <c r="AF251" s="584" t="s">
        <v>128</v>
      </c>
      <c r="AG251" s="1903" t="s">
        <v>382</v>
      </c>
    </row>
    <row r="252" spans="1:33" s="238" customFormat="1" outlineLevel="1" x14ac:dyDescent="0.25">
      <c r="A252" s="1901" t="s">
        <v>1396</v>
      </c>
      <c r="B252" s="1902" t="s">
        <v>112</v>
      </c>
      <c r="C252" s="61" t="s">
        <v>109</v>
      </c>
      <c r="D252" s="1903" t="s">
        <v>626</v>
      </c>
      <c r="E252" s="1903" t="s">
        <v>626</v>
      </c>
      <c r="F252" s="1904" t="s">
        <v>1397</v>
      </c>
      <c r="G252" s="1905">
        <v>1200</v>
      </c>
      <c r="H252" s="1905">
        <v>0</v>
      </c>
      <c r="I252" s="2126">
        <v>0</v>
      </c>
      <c r="J252" s="1437">
        <v>0</v>
      </c>
      <c r="K252" s="1438">
        <v>0</v>
      </c>
      <c r="L252" s="1438">
        <v>1200</v>
      </c>
      <c r="M252" s="1906">
        <v>0</v>
      </c>
      <c r="N252" s="1429">
        <v>0</v>
      </c>
      <c r="O252" s="1907">
        <v>1200</v>
      </c>
      <c r="P252" s="1908">
        <f t="shared" si="16"/>
        <v>1200</v>
      </c>
      <c r="Q252" s="1909">
        <v>0</v>
      </c>
      <c r="R252" s="1910">
        <v>0</v>
      </c>
      <c r="S252" s="1437">
        <v>0</v>
      </c>
      <c r="T252" s="1438">
        <v>0</v>
      </c>
      <c r="U252" s="1911">
        <v>0</v>
      </c>
      <c r="V252" s="1426">
        <v>0</v>
      </c>
      <c r="W252" s="1439">
        <v>0</v>
      </c>
      <c r="X252" s="1445">
        <v>0</v>
      </c>
      <c r="Y252" s="1439">
        <v>0</v>
      </c>
      <c r="Z252" s="1908">
        <v>0</v>
      </c>
      <c r="AA252" s="505" t="s">
        <v>1398</v>
      </c>
      <c r="AB252" s="281" t="s">
        <v>13</v>
      </c>
      <c r="AC252" s="1912" t="s">
        <v>485</v>
      </c>
      <c r="AD252" s="1913" t="s">
        <v>119</v>
      </c>
      <c r="AE252" s="1913" t="s">
        <v>119</v>
      </c>
      <c r="AF252" s="584" t="s">
        <v>128</v>
      </c>
      <c r="AG252" s="1903" t="s">
        <v>382</v>
      </c>
    </row>
    <row r="253" spans="1:33" s="238" customFormat="1" ht="45" outlineLevel="1" x14ac:dyDescent="0.25">
      <c r="A253" s="1901" t="s">
        <v>1399</v>
      </c>
      <c r="B253" s="1902" t="s">
        <v>112</v>
      </c>
      <c r="C253" s="61" t="s">
        <v>109</v>
      </c>
      <c r="D253" s="1903" t="s">
        <v>54</v>
      </c>
      <c r="E253" s="1903" t="s">
        <v>54</v>
      </c>
      <c r="F253" s="1904" t="s">
        <v>1400</v>
      </c>
      <c r="G253" s="1905">
        <v>2420</v>
      </c>
      <c r="H253" s="1905">
        <v>0</v>
      </c>
      <c r="I253" s="2126">
        <v>0</v>
      </c>
      <c r="J253" s="1437">
        <v>0</v>
      </c>
      <c r="K253" s="1438">
        <v>50</v>
      </c>
      <c r="L253" s="1438">
        <v>0</v>
      </c>
      <c r="M253" s="1906">
        <v>2370</v>
      </c>
      <c r="N253" s="1429">
        <v>0</v>
      </c>
      <c r="O253" s="1907">
        <v>2420</v>
      </c>
      <c r="P253" s="1908">
        <f t="shared" si="16"/>
        <v>2420</v>
      </c>
      <c r="Q253" s="1909">
        <v>0</v>
      </c>
      <c r="R253" s="1910">
        <v>0</v>
      </c>
      <c r="S253" s="1437">
        <v>0</v>
      </c>
      <c r="T253" s="1438">
        <v>0</v>
      </c>
      <c r="U253" s="1911">
        <v>0</v>
      </c>
      <c r="V253" s="1426">
        <v>0</v>
      </c>
      <c r="W253" s="1439">
        <v>0</v>
      </c>
      <c r="X253" s="1445">
        <v>0</v>
      </c>
      <c r="Y253" s="1439">
        <v>0</v>
      </c>
      <c r="Z253" s="1908">
        <v>0</v>
      </c>
      <c r="AA253" s="505" t="s">
        <v>1401</v>
      </c>
      <c r="AB253" s="281" t="s">
        <v>13</v>
      </c>
      <c r="AC253" s="1912" t="s">
        <v>485</v>
      </c>
      <c r="AD253" s="1913" t="s">
        <v>119</v>
      </c>
      <c r="AE253" s="1913" t="s">
        <v>119</v>
      </c>
      <c r="AF253" s="584" t="s">
        <v>128</v>
      </c>
      <c r="AG253" s="1903" t="s">
        <v>363</v>
      </c>
    </row>
    <row r="254" spans="1:33" s="238" customFormat="1" ht="30" outlineLevel="1" x14ac:dyDescent="0.25">
      <c r="A254" s="1901" t="s">
        <v>1402</v>
      </c>
      <c r="B254" s="1902" t="s">
        <v>112</v>
      </c>
      <c r="C254" s="505" t="s">
        <v>109</v>
      </c>
      <c r="D254" s="1903" t="s">
        <v>50</v>
      </c>
      <c r="E254" s="1903" t="s">
        <v>50</v>
      </c>
      <c r="F254" s="1904" t="s">
        <v>1403</v>
      </c>
      <c r="G254" s="1905">
        <v>340</v>
      </c>
      <c r="H254" s="1905">
        <v>0</v>
      </c>
      <c r="I254" s="2126">
        <v>0</v>
      </c>
      <c r="J254" s="1437">
        <v>0</v>
      </c>
      <c r="K254" s="1438">
        <v>340</v>
      </c>
      <c r="L254" s="1438">
        <v>0</v>
      </c>
      <c r="M254" s="1906">
        <v>0</v>
      </c>
      <c r="N254" s="1429">
        <v>0</v>
      </c>
      <c r="O254" s="1907">
        <v>340</v>
      </c>
      <c r="P254" s="1908">
        <f t="shared" si="16"/>
        <v>340</v>
      </c>
      <c r="Q254" s="1909">
        <v>0</v>
      </c>
      <c r="R254" s="1910">
        <v>0</v>
      </c>
      <c r="S254" s="1437">
        <v>0</v>
      </c>
      <c r="T254" s="1438">
        <v>0</v>
      </c>
      <c r="U254" s="1911">
        <v>0</v>
      </c>
      <c r="V254" s="1426">
        <v>0</v>
      </c>
      <c r="W254" s="1439">
        <v>0</v>
      </c>
      <c r="X254" s="1445">
        <v>0</v>
      </c>
      <c r="Y254" s="1439">
        <v>0</v>
      </c>
      <c r="Z254" s="1908">
        <v>0</v>
      </c>
      <c r="AA254" s="505" t="s">
        <v>1404</v>
      </c>
      <c r="AB254" s="281" t="s">
        <v>13</v>
      </c>
      <c r="AC254" s="1912" t="s">
        <v>493</v>
      </c>
      <c r="AD254" s="1913" t="s">
        <v>119</v>
      </c>
      <c r="AE254" s="1913" t="s">
        <v>119</v>
      </c>
      <c r="AF254" s="584" t="s">
        <v>128</v>
      </c>
      <c r="AG254" s="1903" t="s">
        <v>362</v>
      </c>
    </row>
    <row r="255" spans="1:33" s="238" customFormat="1" ht="30" outlineLevel="1" x14ac:dyDescent="0.25">
      <c r="A255" s="1901" t="s">
        <v>1405</v>
      </c>
      <c r="B255" s="1902" t="s">
        <v>112</v>
      </c>
      <c r="C255" s="505" t="s">
        <v>109</v>
      </c>
      <c r="D255" s="1903" t="s">
        <v>50</v>
      </c>
      <c r="E255" s="1903" t="s">
        <v>50</v>
      </c>
      <c r="F255" s="1904" t="s">
        <v>1406</v>
      </c>
      <c r="G255" s="1905">
        <v>305</v>
      </c>
      <c r="H255" s="1905">
        <v>0</v>
      </c>
      <c r="I255" s="2126">
        <v>0</v>
      </c>
      <c r="J255" s="1437">
        <v>0</v>
      </c>
      <c r="K255" s="1438">
        <v>0</v>
      </c>
      <c r="L255" s="1438">
        <v>305</v>
      </c>
      <c r="M255" s="1906">
        <v>0</v>
      </c>
      <c r="N255" s="1429">
        <v>0</v>
      </c>
      <c r="O255" s="1907">
        <v>305</v>
      </c>
      <c r="P255" s="1908">
        <f t="shared" si="16"/>
        <v>305</v>
      </c>
      <c r="Q255" s="1909">
        <v>0</v>
      </c>
      <c r="R255" s="1910">
        <v>0</v>
      </c>
      <c r="S255" s="1437">
        <v>0</v>
      </c>
      <c r="T255" s="1438">
        <v>0</v>
      </c>
      <c r="U255" s="1911">
        <v>0</v>
      </c>
      <c r="V255" s="1426">
        <v>0</v>
      </c>
      <c r="W255" s="1439">
        <v>0</v>
      </c>
      <c r="X255" s="1914">
        <v>0</v>
      </c>
      <c r="Y255" s="1439">
        <v>0</v>
      </c>
      <c r="Z255" s="1908">
        <v>0</v>
      </c>
      <c r="AA255" s="505" t="s">
        <v>1407</v>
      </c>
      <c r="AB255" s="281" t="s">
        <v>13</v>
      </c>
      <c r="AC255" s="1912" t="s">
        <v>485</v>
      </c>
      <c r="AD255" s="1913" t="s">
        <v>119</v>
      </c>
      <c r="AE255" s="1913" t="s">
        <v>119</v>
      </c>
      <c r="AF255" s="584" t="s">
        <v>128</v>
      </c>
      <c r="AG255" s="1903" t="s">
        <v>362</v>
      </c>
    </row>
    <row r="256" spans="1:33" s="316" customFormat="1" ht="15.75" outlineLevel="1" thickBot="1" x14ac:dyDescent="0.3">
      <c r="A256" s="18" t="s">
        <v>124</v>
      </c>
      <c r="B256" s="16" t="s">
        <v>124</v>
      </c>
      <c r="C256" s="15" t="s">
        <v>124</v>
      </c>
      <c r="D256" s="340" t="s">
        <v>124</v>
      </c>
      <c r="E256" s="340" t="s">
        <v>124</v>
      </c>
      <c r="F256" s="75" t="s">
        <v>124</v>
      </c>
      <c r="G256" s="242" t="s">
        <v>124</v>
      </c>
      <c r="H256" s="242" t="s">
        <v>124</v>
      </c>
      <c r="I256" s="289"/>
      <c r="J256" s="195" t="s">
        <v>124</v>
      </c>
      <c r="K256" s="135" t="s">
        <v>124</v>
      </c>
      <c r="L256" s="135" t="s">
        <v>124</v>
      </c>
      <c r="M256" s="255" t="s">
        <v>124</v>
      </c>
      <c r="N256" s="744" t="s">
        <v>124</v>
      </c>
      <c r="O256" s="779" t="s">
        <v>124</v>
      </c>
      <c r="P256" s="346" t="s">
        <v>124</v>
      </c>
      <c r="Q256" s="137" t="s">
        <v>124</v>
      </c>
      <c r="R256" s="199" t="s">
        <v>124</v>
      </c>
      <c r="S256" s="195" t="s">
        <v>124</v>
      </c>
      <c r="T256" s="135" t="s">
        <v>124</v>
      </c>
      <c r="U256" s="141" t="s">
        <v>124</v>
      </c>
      <c r="V256" s="195" t="s">
        <v>124</v>
      </c>
      <c r="W256" s="140" t="s">
        <v>124</v>
      </c>
      <c r="X256" s="138" t="s">
        <v>124</v>
      </c>
      <c r="Y256" s="138" t="s">
        <v>124</v>
      </c>
      <c r="Z256" s="255" t="s">
        <v>124</v>
      </c>
      <c r="AA256" s="255" t="s">
        <v>124</v>
      </c>
      <c r="AB256" s="73" t="s">
        <v>124</v>
      </c>
      <c r="AC256" s="67" t="s">
        <v>124</v>
      </c>
      <c r="AD256" s="30" t="s">
        <v>124</v>
      </c>
      <c r="AE256" s="30" t="s">
        <v>124</v>
      </c>
      <c r="AF256" s="18" t="s">
        <v>124</v>
      </c>
      <c r="AG256" s="340" t="s">
        <v>124</v>
      </c>
    </row>
    <row r="257" spans="1:33" ht="26.25" thickBot="1" x14ac:dyDescent="0.3">
      <c r="A257" s="114" t="s">
        <v>109</v>
      </c>
      <c r="B257" s="302" t="s">
        <v>109</v>
      </c>
      <c r="C257" s="12" t="s">
        <v>109</v>
      </c>
      <c r="D257" s="336" t="s">
        <v>109</v>
      </c>
      <c r="E257" s="336" t="s">
        <v>109</v>
      </c>
      <c r="F257" s="127" t="s">
        <v>134</v>
      </c>
      <c r="G257" s="341">
        <f t="shared" ref="G257:Z257" si="17">SUM(G172:G256)</f>
        <v>533420.09600999998</v>
      </c>
      <c r="H257" s="341">
        <f t="shared" si="17"/>
        <v>39280.405879999998</v>
      </c>
      <c r="I257" s="341">
        <f t="shared" si="17"/>
        <v>43425.872030000013</v>
      </c>
      <c r="J257" s="341">
        <f t="shared" si="17"/>
        <v>1582.886</v>
      </c>
      <c r="K257" s="341">
        <f t="shared" si="17"/>
        <v>16212.088754000002</v>
      </c>
      <c r="L257" s="341">
        <f t="shared" si="17"/>
        <v>10511.252</v>
      </c>
      <c r="M257" s="341">
        <f t="shared" si="17"/>
        <v>51040.756426000007</v>
      </c>
      <c r="N257" s="341">
        <f t="shared" si="17"/>
        <v>379253.93478000007</v>
      </c>
      <c r="O257" s="341">
        <f t="shared" si="17"/>
        <v>-299906.95160000009</v>
      </c>
      <c r="P257" s="341">
        <f t="shared" si="17"/>
        <v>79346.98318000001</v>
      </c>
      <c r="Q257" s="341">
        <f t="shared" si="17"/>
        <v>89025.053920000006</v>
      </c>
      <c r="R257" s="341">
        <f t="shared" si="17"/>
        <v>282341.78100000002</v>
      </c>
      <c r="S257" s="341">
        <f t="shared" si="17"/>
        <v>0</v>
      </c>
      <c r="T257" s="341">
        <f t="shared" si="17"/>
        <v>0</v>
      </c>
      <c r="U257" s="341">
        <f t="shared" si="17"/>
        <v>0</v>
      </c>
      <c r="V257" s="341">
        <f t="shared" si="17"/>
        <v>0</v>
      </c>
      <c r="W257" s="341">
        <f t="shared" si="17"/>
        <v>0</v>
      </c>
      <c r="X257" s="341">
        <f t="shared" si="17"/>
        <v>0</v>
      </c>
      <c r="Y257" s="341">
        <f t="shared" si="17"/>
        <v>0</v>
      </c>
      <c r="Z257" s="341">
        <f t="shared" si="17"/>
        <v>0</v>
      </c>
      <c r="AA257" s="14" t="s">
        <v>1233</v>
      </c>
      <c r="AB257" s="262" t="s">
        <v>109</v>
      </c>
      <c r="AC257" s="263" t="s">
        <v>109</v>
      </c>
      <c r="AD257" s="264" t="s">
        <v>109</v>
      </c>
      <c r="AE257" s="263" t="s">
        <v>109</v>
      </c>
      <c r="AF257" s="262" t="s">
        <v>109</v>
      </c>
      <c r="AG257" s="336" t="s">
        <v>109</v>
      </c>
    </row>
    <row r="258" spans="1:33" ht="25.5" outlineLevel="1" x14ac:dyDescent="0.25">
      <c r="A258" s="603" t="s">
        <v>461</v>
      </c>
      <c r="B258" s="593" t="s">
        <v>1007</v>
      </c>
      <c r="C258" s="35" t="s">
        <v>156</v>
      </c>
      <c r="D258" s="259" t="s">
        <v>67</v>
      </c>
      <c r="E258" s="627" t="s">
        <v>67</v>
      </c>
      <c r="F258" s="951" t="s">
        <v>68</v>
      </c>
      <c r="G258" s="36">
        <v>360000</v>
      </c>
      <c r="H258" s="693">
        <v>7804.0595499999999</v>
      </c>
      <c r="I258" s="629">
        <v>15683.015209999998</v>
      </c>
      <c r="J258" s="806">
        <v>41119.984790000002</v>
      </c>
      <c r="K258" s="343">
        <v>48000</v>
      </c>
      <c r="L258" s="343">
        <v>72000</v>
      </c>
      <c r="M258" s="952">
        <v>112157</v>
      </c>
      <c r="N258" s="731">
        <v>273276.98479000002</v>
      </c>
      <c r="O258" s="780">
        <v>0</v>
      </c>
      <c r="P258" s="346">
        <f t="shared" ref="P258:P269" si="18">N258+O258</f>
        <v>273276.98479000002</v>
      </c>
      <c r="Q258" s="609">
        <f>4500+0.00045</f>
        <v>4500.0004499999995</v>
      </c>
      <c r="R258" s="489">
        <v>0</v>
      </c>
      <c r="S258" s="260">
        <v>0</v>
      </c>
      <c r="T258" s="343">
        <v>58735.94</v>
      </c>
      <c r="U258" s="822">
        <v>0</v>
      </c>
      <c r="V258" s="489">
        <f>270000+23460</f>
        <v>293460</v>
      </c>
      <c r="W258" s="601">
        <v>15683.015210000001</v>
      </c>
      <c r="X258" s="489">
        <v>0</v>
      </c>
      <c r="Y258" s="337">
        <f>277899.34845-4622.36366</f>
        <v>273276.98479000002</v>
      </c>
      <c r="Z258" s="574">
        <v>4500</v>
      </c>
      <c r="AA258" s="252" t="s">
        <v>886</v>
      </c>
      <c r="AB258" s="252" t="s">
        <v>16</v>
      </c>
      <c r="AC258" s="342" t="s">
        <v>303</v>
      </c>
      <c r="AD258" s="342" t="s">
        <v>120</v>
      </c>
      <c r="AE258" s="787" t="s">
        <v>120</v>
      </c>
      <c r="AF258" s="10" t="s">
        <v>128</v>
      </c>
      <c r="AG258" s="259" t="s">
        <v>377</v>
      </c>
    </row>
    <row r="259" spans="1:33" ht="30" outlineLevel="1" x14ac:dyDescent="0.25">
      <c r="A259" s="603" t="s">
        <v>462</v>
      </c>
      <c r="B259" s="953" t="s">
        <v>1008</v>
      </c>
      <c r="C259" s="654" t="s">
        <v>69</v>
      </c>
      <c r="D259" s="954" t="s">
        <v>70</v>
      </c>
      <c r="E259" s="955" t="s">
        <v>70</v>
      </c>
      <c r="F259" s="956" t="s">
        <v>71</v>
      </c>
      <c r="G259" s="856">
        <v>86727</v>
      </c>
      <c r="H259" s="36">
        <v>0</v>
      </c>
      <c r="I259" s="317">
        <v>0</v>
      </c>
      <c r="J259" s="957">
        <v>0</v>
      </c>
      <c r="K259" s="958">
        <v>0</v>
      </c>
      <c r="L259" s="958">
        <v>0</v>
      </c>
      <c r="M259" s="952">
        <v>71647.25</v>
      </c>
      <c r="N259" s="732">
        <v>71647.25</v>
      </c>
      <c r="O259" s="780">
        <v>0</v>
      </c>
      <c r="P259" s="346">
        <f t="shared" si="18"/>
        <v>71647.25</v>
      </c>
      <c r="Q259" s="260">
        <v>0</v>
      </c>
      <c r="R259" s="107">
        <v>0</v>
      </c>
      <c r="S259" s="260">
        <v>0</v>
      </c>
      <c r="T259" s="343">
        <v>0</v>
      </c>
      <c r="U259" s="107">
        <v>15079.75</v>
      </c>
      <c r="V259" s="605">
        <v>0</v>
      </c>
      <c r="W259" s="337">
        <v>0</v>
      </c>
      <c r="X259" s="852">
        <v>0</v>
      </c>
      <c r="Y259" s="489">
        <v>0</v>
      </c>
      <c r="Z259" s="257">
        <v>0</v>
      </c>
      <c r="AA259" s="35" t="s">
        <v>887</v>
      </c>
      <c r="AB259" s="35" t="s">
        <v>259</v>
      </c>
      <c r="AC259" s="342" t="s">
        <v>108</v>
      </c>
      <c r="AD259" s="342" t="s">
        <v>120</v>
      </c>
      <c r="AE259" s="448" t="s">
        <v>120</v>
      </c>
      <c r="AF259" s="342" t="s">
        <v>129</v>
      </c>
      <c r="AG259" s="35" t="s">
        <v>372</v>
      </c>
    </row>
    <row r="260" spans="1:33" ht="26.25" outlineLevel="1" thickBot="1" x14ac:dyDescent="0.3">
      <c r="A260" s="474" t="s">
        <v>463</v>
      </c>
      <c r="B260" s="475" t="s">
        <v>1009</v>
      </c>
      <c r="C260" s="24" t="s">
        <v>155</v>
      </c>
      <c r="D260" s="508" t="s">
        <v>72</v>
      </c>
      <c r="E260" s="514" t="s">
        <v>72</v>
      </c>
      <c r="F260" s="515" t="s">
        <v>73</v>
      </c>
      <c r="G260" s="959">
        <v>64134.499000000003</v>
      </c>
      <c r="H260" s="959">
        <v>51668.417599999993</v>
      </c>
      <c r="I260" s="699">
        <v>0</v>
      </c>
      <c r="J260" s="463">
        <v>0</v>
      </c>
      <c r="K260" s="476">
        <v>0</v>
      </c>
      <c r="L260" s="476">
        <v>0</v>
      </c>
      <c r="M260" s="464">
        <v>0</v>
      </c>
      <c r="N260" s="203">
        <v>0</v>
      </c>
      <c r="O260" s="284">
        <v>0</v>
      </c>
      <c r="P260" s="269">
        <f t="shared" si="18"/>
        <v>0</v>
      </c>
      <c r="Q260" s="463">
        <v>0</v>
      </c>
      <c r="R260" s="960">
        <v>0</v>
      </c>
      <c r="S260" s="463">
        <v>0</v>
      </c>
      <c r="T260" s="476">
        <v>0</v>
      </c>
      <c r="U260" s="960">
        <v>12466.081399999999</v>
      </c>
      <c r="V260" s="556">
        <v>0</v>
      </c>
      <c r="W260" s="518">
        <v>0</v>
      </c>
      <c r="X260" s="519">
        <v>0</v>
      </c>
      <c r="Y260" s="519">
        <v>0</v>
      </c>
      <c r="Z260" s="702">
        <v>0</v>
      </c>
      <c r="AA260" s="24" t="s">
        <v>109</v>
      </c>
      <c r="AB260" s="961" t="s">
        <v>123</v>
      </c>
      <c r="AC260" s="520" t="s">
        <v>233</v>
      </c>
      <c r="AD260" s="520" t="s">
        <v>120</v>
      </c>
      <c r="AE260" s="557" t="s">
        <v>120</v>
      </c>
      <c r="AF260" s="520" t="s">
        <v>128</v>
      </c>
      <c r="AG260" s="508" t="s">
        <v>365</v>
      </c>
    </row>
    <row r="261" spans="1:33" ht="25.5" outlineLevel="1" x14ac:dyDescent="0.25">
      <c r="A261" s="962" t="s">
        <v>279</v>
      </c>
      <c r="B261" s="837" t="s">
        <v>1010</v>
      </c>
      <c r="C261" s="963" t="s">
        <v>310</v>
      </c>
      <c r="D261" s="964" t="s">
        <v>74</v>
      </c>
      <c r="E261" s="964" t="s">
        <v>74</v>
      </c>
      <c r="F261" s="965" t="s">
        <v>280</v>
      </c>
      <c r="G261" s="80">
        <v>587000</v>
      </c>
      <c r="H261" s="80">
        <v>30000</v>
      </c>
      <c r="I261" s="131">
        <v>126370.4843</v>
      </c>
      <c r="J261" s="156">
        <v>38875</v>
      </c>
      <c r="K261" s="157">
        <v>60585</v>
      </c>
      <c r="L261" s="883">
        <v>81766</v>
      </c>
      <c r="M261" s="966">
        <v>89912</v>
      </c>
      <c r="N261" s="732">
        <v>333629.51569999999</v>
      </c>
      <c r="O261" s="780">
        <v>-62491.515700000004</v>
      </c>
      <c r="P261" s="884">
        <f t="shared" si="18"/>
        <v>271138</v>
      </c>
      <c r="Q261" s="967">
        <v>159491.51569999999</v>
      </c>
      <c r="R261" s="95">
        <v>0</v>
      </c>
      <c r="S261" s="156">
        <v>0</v>
      </c>
      <c r="T261" s="157">
        <v>0</v>
      </c>
      <c r="U261" s="95">
        <v>0</v>
      </c>
      <c r="V261" s="968">
        <v>587000</v>
      </c>
      <c r="W261" s="969">
        <v>156370.48430000001</v>
      </c>
      <c r="X261" s="846">
        <v>0</v>
      </c>
      <c r="Y261" s="163">
        <v>271138</v>
      </c>
      <c r="Z261" s="970">
        <v>159491.51569999999</v>
      </c>
      <c r="AA261" s="70" t="s">
        <v>1126</v>
      </c>
      <c r="AB261" s="70" t="s">
        <v>16</v>
      </c>
      <c r="AC261" s="450" t="s">
        <v>555</v>
      </c>
      <c r="AD261" s="181" t="s">
        <v>120</v>
      </c>
      <c r="AE261" s="181" t="s">
        <v>120</v>
      </c>
      <c r="AF261" s="181" t="s">
        <v>128</v>
      </c>
      <c r="AG261" s="964" t="s">
        <v>367</v>
      </c>
    </row>
    <row r="262" spans="1:33" ht="25.5" outlineLevel="1" x14ac:dyDescent="0.25">
      <c r="A262" s="603" t="s">
        <v>281</v>
      </c>
      <c r="B262" s="593" t="s">
        <v>1011</v>
      </c>
      <c r="C262" s="971" t="s">
        <v>310</v>
      </c>
      <c r="D262" s="259" t="s">
        <v>70</v>
      </c>
      <c r="E262" s="259" t="s">
        <v>70</v>
      </c>
      <c r="F262" s="951" t="s">
        <v>282</v>
      </c>
      <c r="G262" s="36">
        <v>350335</v>
      </c>
      <c r="H262" s="622">
        <v>13001.042460000001</v>
      </c>
      <c r="I262" s="182">
        <v>88208.166559999998</v>
      </c>
      <c r="J262" s="260">
        <v>0</v>
      </c>
      <c r="K262" s="343">
        <v>74737.73729400002</v>
      </c>
      <c r="L262" s="343">
        <v>0</v>
      </c>
      <c r="M262" s="952">
        <v>174388.053686</v>
      </c>
      <c r="N262" s="735">
        <v>249125.79098000002</v>
      </c>
      <c r="O262" s="780">
        <v>0</v>
      </c>
      <c r="P262" s="345">
        <f t="shared" si="18"/>
        <v>249125.79098000002</v>
      </c>
      <c r="Q262" s="631">
        <v>0</v>
      </c>
      <c r="R262" s="107">
        <v>0</v>
      </c>
      <c r="S262" s="260">
        <v>0</v>
      </c>
      <c r="T262" s="343">
        <v>0</v>
      </c>
      <c r="U262" s="107">
        <v>0</v>
      </c>
      <c r="V262" s="605">
        <v>350335</v>
      </c>
      <c r="W262" s="337">
        <v>101209.20901999999</v>
      </c>
      <c r="X262" s="489">
        <v>0</v>
      </c>
      <c r="Y262" s="337">
        <f>276044.72501-26918.93403</f>
        <v>249125.79097999999</v>
      </c>
      <c r="Z262" s="257">
        <v>0</v>
      </c>
      <c r="AA262" s="418" t="s">
        <v>109</v>
      </c>
      <c r="AB262" s="35" t="s">
        <v>16</v>
      </c>
      <c r="AC262" s="342" t="s">
        <v>234</v>
      </c>
      <c r="AD262" s="342" t="s">
        <v>120</v>
      </c>
      <c r="AE262" s="342" t="s">
        <v>120</v>
      </c>
      <c r="AF262" s="342" t="s">
        <v>128</v>
      </c>
      <c r="AG262" s="35" t="s">
        <v>372</v>
      </c>
    </row>
    <row r="263" spans="1:33" ht="51" outlineLevel="1" x14ac:dyDescent="0.25">
      <c r="A263" s="836" t="s">
        <v>283</v>
      </c>
      <c r="B263" s="881" t="s">
        <v>1012</v>
      </c>
      <c r="C263" s="963" t="s">
        <v>310</v>
      </c>
      <c r="D263" s="838" t="s">
        <v>70</v>
      </c>
      <c r="E263" s="838" t="s">
        <v>70</v>
      </c>
      <c r="F263" s="972" t="s">
        <v>284</v>
      </c>
      <c r="G263" s="83">
        <v>128408</v>
      </c>
      <c r="H263" s="80">
        <v>0</v>
      </c>
      <c r="I263" s="131">
        <v>0</v>
      </c>
      <c r="J263" s="162">
        <v>0</v>
      </c>
      <c r="K263" s="163">
        <v>0</v>
      </c>
      <c r="L263" s="163">
        <v>0</v>
      </c>
      <c r="M263" s="973">
        <v>19500</v>
      </c>
      <c r="N263" s="208">
        <v>65000</v>
      </c>
      <c r="O263" s="884">
        <v>-45500</v>
      </c>
      <c r="P263" s="884">
        <f t="shared" si="18"/>
        <v>19500</v>
      </c>
      <c r="Q263" s="162">
        <v>108908</v>
      </c>
      <c r="R263" s="186">
        <v>0</v>
      </c>
      <c r="S263" s="162">
        <v>0</v>
      </c>
      <c r="T263" s="163">
        <v>0</v>
      </c>
      <c r="U263" s="81">
        <v>0</v>
      </c>
      <c r="V263" s="844">
        <v>128408</v>
      </c>
      <c r="W263" s="845">
        <v>0</v>
      </c>
      <c r="X263" s="886">
        <v>0</v>
      </c>
      <c r="Y263" s="845">
        <v>19500</v>
      </c>
      <c r="Z263" s="974">
        <v>108908</v>
      </c>
      <c r="AA263" s="71" t="s">
        <v>1127</v>
      </c>
      <c r="AB263" s="71" t="s">
        <v>13</v>
      </c>
      <c r="AC263" s="450" t="s">
        <v>522</v>
      </c>
      <c r="AD263" s="85" t="s">
        <v>119</v>
      </c>
      <c r="AE263" s="85" t="s">
        <v>119</v>
      </c>
      <c r="AF263" s="85" t="s">
        <v>128</v>
      </c>
      <c r="AG263" s="71" t="s">
        <v>372</v>
      </c>
    </row>
    <row r="264" spans="1:33" ht="25.5" outlineLevel="1" x14ac:dyDescent="0.25">
      <c r="A264" s="1594" t="s">
        <v>286</v>
      </c>
      <c r="B264" s="1595" t="s">
        <v>1128</v>
      </c>
      <c r="C264" s="2035" t="s">
        <v>310</v>
      </c>
      <c r="D264" s="1578" t="s">
        <v>285</v>
      </c>
      <c r="E264" s="1578" t="s">
        <v>285</v>
      </c>
      <c r="F264" s="2036" t="s">
        <v>287</v>
      </c>
      <c r="G264" s="1580">
        <v>55000</v>
      </c>
      <c r="H264" s="1479">
        <v>0</v>
      </c>
      <c r="I264" s="2100">
        <v>0</v>
      </c>
      <c r="J264" s="1169">
        <v>0</v>
      </c>
      <c r="K264" s="1170">
        <v>0</v>
      </c>
      <c r="L264" s="1170">
        <v>0</v>
      </c>
      <c r="M264" s="1599">
        <v>19575</v>
      </c>
      <c r="N264" s="1987">
        <v>19575</v>
      </c>
      <c r="O264" s="1172">
        <v>0</v>
      </c>
      <c r="P264" s="1485">
        <f t="shared" si="18"/>
        <v>19575</v>
      </c>
      <c r="Q264" s="1170">
        <v>35425</v>
      </c>
      <c r="R264" s="2037">
        <v>0</v>
      </c>
      <c r="S264" s="1169">
        <v>0</v>
      </c>
      <c r="T264" s="1170">
        <v>0</v>
      </c>
      <c r="U264" s="2037">
        <v>0</v>
      </c>
      <c r="V264" s="1985">
        <v>55000</v>
      </c>
      <c r="W264" s="1589">
        <v>0</v>
      </c>
      <c r="X264" s="1489">
        <v>0</v>
      </c>
      <c r="Y264" s="2038">
        <v>19575</v>
      </c>
      <c r="Z264" s="1170">
        <v>35425</v>
      </c>
      <c r="AA264" s="372" t="s">
        <v>1439</v>
      </c>
      <c r="AB264" s="52" t="s">
        <v>13</v>
      </c>
      <c r="AC264" s="376" t="s">
        <v>517</v>
      </c>
      <c r="AD264" s="376" t="s">
        <v>119</v>
      </c>
      <c r="AE264" s="376" t="s">
        <v>119</v>
      </c>
      <c r="AF264" s="376" t="s">
        <v>128</v>
      </c>
      <c r="AG264" s="1578" t="s">
        <v>367</v>
      </c>
    </row>
    <row r="265" spans="1:33" ht="38.25" outlineLevel="1" x14ac:dyDescent="0.25">
      <c r="A265" s="2039" t="s">
        <v>288</v>
      </c>
      <c r="B265" s="2040" t="s">
        <v>1129</v>
      </c>
      <c r="C265" s="2041" t="s">
        <v>310</v>
      </c>
      <c r="D265" s="2042" t="s">
        <v>285</v>
      </c>
      <c r="E265" s="2042" t="s">
        <v>285</v>
      </c>
      <c r="F265" s="2043" t="s">
        <v>289</v>
      </c>
      <c r="G265" s="2044">
        <f>30000-30000</f>
        <v>0</v>
      </c>
      <c r="H265" s="2045">
        <v>0</v>
      </c>
      <c r="I265" s="2127">
        <v>0</v>
      </c>
      <c r="J265" s="2046">
        <v>0</v>
      </c>
      <c r="K265" s="2047">
        <v>0</v>
      </c>
      <c r="L265" s="2047">
        <v>0</v>
      </c>
      <c r="M265" s="2048">
        <v>0</v>
      </c>
      <c r="N265" s="2049">
        <v>10000</v>
      </c>
      <c r="O265" s="2050">
        <v>-10000</v>
      </c>
      <c r="P265" s="2050">
        <f t="shared" si="18"/>
        <v>0</v>
      </c>
      <c r="Q265" s="2046">
        <f>30000-30000</f>
        <v>0</v>
      </c>
      <c r="R265" s="2051">
        <v>0</v>
      </c>
      <c r="S265" s="2046">
        <v>0</v>
      </c>
      <c r="T265" s="2047">
        <v>0</v>
      </c>
      <c r="U265" s="2051">
        <v>0</v>
      </c>
      <c r="V265" s="2052">
        <f>30000-30000</f>
        <v>0</v>
      </c>
      <c r="W265" s="2053">
        <v>0</v>
      </c>
      <c r="X265" s="2054">
        <v>0</v>
      </c>
      <c r="Y265" s="2055">
        <v>0</v>
      </c>
      <c r="Z265" s="2056">
        <f>30000-30000</f>
        <v>0</v>
      </c>
      <c r="AA265" s="246" t="s">
        <v>1437</v>
      </c>
      <c r="AB265" s="184" t="s">
        <v>121</v>
      </c>
      <c r="AC265" s="2057" t="s">
        <v>299</v>
      </c>
      <c r="AD265" s="2057" t="s">
        <v>119</v>
      </c>
      <c r="AE265" s="2057" t="s">
        <v>119</v>
      </c>
      <c r="AF265" s="2057" t="s">
        <v>129</v>
      </c>
      <c r="AG265" s="2042" t="s">
        <v>365</v>
      </c>
    </row>
    <row r="266" spans="1:33" ht="26.25" outlineLevel="1" thickBot="1" x14ac:dyDescent="0.3">
      <c r="A266" s="723" t="s">
        <v>290</v>
      </c>
      <c r="B266" s="16" t="s">
        <v>1013</v>
      </c>
      <c r="C266" s="975" t="s">
        <v>310</v>
      </c>
      <c r="D266" s="340" t="s">
        <v>291</v>
      </c>
      <c r="E266" s="340" t="s">
        <v>291</v>
      </c>
      <c r="F266" s="788" t="s">
        <v>334</v>
      </c>
      <c r="G266" s="789">
        <v>465333</v>
      </c>
      <c r="H266" s="789">
        <v>7893.8282900000004</v>
      </c>
      <c r="I266" s="317">
        <v>66734.483440000011</v>
      </c>
      <c r="J266" s="957">
        <v>58000</v>
      </c>
      <c r="K266" s="976">
        <v>30000</v>
      </c>
      <c r="L266" s="958">
        <v>29000</v>
      </c>
      <c r="M266" s="977">
        <v>28000</v>
      </c>
      <c r="N266" s="745">
        <v>145000</v>
      </c>
      <c r="O266" s="781">
        <v>0</v>
      </c>
      <c r="P266" s="756">
        <f t="shared" si="18"/>
        <v>145000</v>
      </c>
      <c r="Q266" s="981">
        <v>150701.68827000001</v>
      </c>
      <c r="R266" s="979">
        <v>0</v>
      </c>
      <c r="S266" s="957">
        <v>0</v>
      </c>
      <c r="T266" s="958">
        <v>95003</v>
      </c>
      <c r="U266" s="980">
        <v>0</v>
      </c>
      <c r="V266" s="981">
        <v>370330</v>
      </c>
      <c r="W266" s="982">
        <v>74628.311730000001</v>
      </c>
      <c r="X266" s="979">
        <v>0</v>
      </c>
      <c r="Y266" s="982">
        <f>156265.5278-11265.5278</f>
        <v>145000</v>
      </c>
      <c r="Z266" s="982">
        <v>150701.68827000001</v>
      </c>
      <c r="AA266" s="39" t="s">
        <v>109</v>
      </c>
      <c r="AB266" s="39" t="s">
        <v>16</v>
      </c>
      <c r="AC266" s="18" t="s">
        <v>321</v>
      </c>
      <c r="AD266" s="18" t="s">
        <v>120</v>
      </c>
      <c r="AE266" s="983" t="s">
        <v>120</v>
      </c>
      <c r="AF266" s="18" t="s">
        <v>128</v>
      </c>
      <c r="AG266" s="39" t="s">
        <v>378</v>
      </c>
    </row>
    <row r="267" spans="1:33" ht="30.75" outlineLevel="1" thickBot="1" x14ac:dyDescent="0.3">
      <c r="A267" s="2058" t="s">
        <v>383</v>
      </c>
      <c r="B267" s="2059" t="s">
        <v>112</v>
      </c>
      <c r="C267" s="2060" t="s">
        <v>385</v>
      </c>
      <c r="D267" s="1006" t="s">
        <v>285</v>
      </c>
      <c r="E267" s="1006" t="s">
        <v>285</v>
      </c>
      <c r="F267" s="2061" t="s">
        <v>384</v>
      </c>
      <c r="G267" s="2062">
        <v>40000</v>
      </c>
      <c r="H267" s="2063">
        <v>0</v>
      </c>
      <c r="I267" s="2128">
        <v>0</v>
      </c>
      <c r="J267" s="2064">
        <v>0</v>
      </c>
      <c r="K267" s="2065">
        <v>0</v>
      </c>
      <c r="L267" s="2065">
        <v>3000</v>
      </c>
      <c r="M267" s="2066">
        <v>7000</v>
      </c>
      <c r="N267" s="2067">
        <v>10000</v>
      </c>
      <c r="O267" s="2068">
        <v>0</v>
      </c>
      <c r="P267" s="2069">
        <f t="shared" si="18"/>
        <v>10000</v>
      </c>
      <c r="Q267" s="2070">
        <v>30000</v>
      </c>
      <c r="R267" s="2071">
        <v>0</v>
      </c>
      <c r="S267" s="2064">
        <v>0</v>
      </c>
      <c r="T267" s="2065">
        <v>0</v>
      </c>
      <c r="U267" s="2072">
        <v>0</v>
      </c>
      <c r="V267" s="2073">
        <v>40000</v>
      </c>
      <c r="W267" s="2070">
        <v>0</v>
      </c>
      <c r="X267" s="2074">
        <v>0</v>
      </c>
      <c r="Y267" s="2074">
        <v>10000</v>
      </c>
      <c r="Z267" s="2075">
        <v>30000</v>
      </c>
      <c r="AA267" s="372" t="s">
        <v>1438</v>
      </c>
      <c r="AB267" s="2076" t="s">
        <v>13</v>
      </c>
      <c r="AC267" s="1005" t="s">
        <v>485</v>
      </c>
      <c r="AD267" s="2077" t="s">
        <v>119</v>
      </c>
      <c r="AE267" s="2077" t="s">
        <v>119</v>
      </c>
      <c r="AF267" s="575" t="s">
        <v>128</v>
      </c>
      <c r="AG267" s="2076" t="s">
        <v>535</v>
      </c>
    </row>
    <row r="268" spans="1:33" ht="26.25" outlineLevel="1" thickBot="1" x14ac:dyDescent="0.3">
      <c r="A268" s="988" t="s">
        <v>727</v>
      </c>
      <c r="B268" s="989" t="s">
        <v>1102</v>
      </c>
      <c r="C268" s="990" t="s">
        <v>864</v>
      </c>
      <c r="D268" s="991" t="s">
        <v>728</v>
      </c>
      <c r="E268" s="991" t="s">
        <v>728</v>
      </c>
      <c r="F268" s="992" t="s">
        <v>729</v>
      </c>
      <c r="G268" s="993">
        <v>91421.93</v>
      </c>
      <c r="H268" s="994">
        <v>0</v>
      </c>
      <c r="I268" s="995">
        <v>8000</v>
      </c>
      <c r="J268" s="996">
        <v>0</v>
      </c>
      <c r="K268" s="997">
        <v>0</v>
      </c>
      <c r="L268" s="997">
        <v>0</v>
      </c>
      <c r="M268" s="998">
        <v>0</v>
      </c>
      <c r="N268" s="999">
        <v>0</v>
      </c>
      <c r="O268" s="2078">
        <v>0</v>
      </c>
      <c r="P268" s="1000">
        <f t="shared" si="18"/>
        <v>0</v>
      </c>
      <c r="Q268" s="996">
        <v>0</v>
      </c>
      <c r="R268" s="1001">
        <v>0</v>
      </c>
      <c r="S268" s="996">
        <v>0</v>
      </c>
      <c r="T268" s="997">
        <v>0</v>
      </c>
      <c r="U268" s="1001">
        <v>83421.929999999993</v>
      </c>
      <c r="V268" s="996">
        <v>0</v>
      </c>
      <c r="W268" s="997">
        <v>0</v>
      </c>
      <c r="X268" s="1002">
        <v>0</v>
      </c>
      <c r="Y268" s="1002">
        <v>0</v>
      </c>
      <c r="Z268" s="998">
        <v>0</v>
      </c>
      <c r="AA268" s="1003" t="s">
        <v>1130</v>
      </c>
      <c r="AB268" s="1004" t="s">
        <v>16</v>
      </c>
      <c r="AC268" s="575" t="s">
        <v>325</v>
      </c>
      <c r="AD268" s="1005" t="s">
        <v>120</v>
      </c>
      <c r="AE268" s="575" t="s">
        <v>120</v>
      </c>
      <c r="AF268" s="575" t="s">
        <v>128</v>
      </c>
      <c r="AG268" s="1006" t="s">
        <v>362</v>
      </c>
    </row>
    <row r="269" spans="1:33" ht="30" outlineLevel="1" x14ac:dyDescent="0.25">
      <c r="A269" s="633" t="s">
        <v>850</v>
      </c>
      <c r="B269" s="1007" t="s">
        <v>1101</v>
      </c>
      <c r="C269" s="423" t="s">
        <v>878</v>
      </c>
      <c r="D269" s="579" t="s">
        <v>74</v>
      </c>
      <c r="E269" s="579" t="s">
        <v>74</v>
      </c>
      <c r="F269" s="1008" t="s">
        <v>851</v>
      </c>
      <c r="G269" s="634">
        <v>2500</v>
      </c>
      <c r="H269" s="1009">
        <v>0</v>
      </c>
      <c r="I269" s="1010">
        <v>2500</v>
      </c>
      <c r="J269" s="637">
        <v>0</v>
      </c>
      <c r="K269" s="638">
        <v>0</v>
      </c>
      <c r="L269" s="638">
        <v>0</v>
      </c>
      <c r="M269" s="641">
        <v>0</v>
      </c>
      <c r="N269" s="639">
        <v>0</v>
      </c>
      <c r="O269" s="2079">
        <v>0</v>
      </c>
      <c r="P269" s="1011">
        <f t="shared" si="18"/>
        <v>0</v>
      </c>
      <c r="Q269" s="637">
        <v>0</v>
      </c>
      <c r="R269" s="1012">
        <v>0</v>
      </c>
      <c r="S269" s="637">
        <v>0</v>
      </c>
      <c r="T269" s="638">
        <v>0</v>
      </c>
      <c r="U269" s="1012">
        <v>0</v>
      </c>
      <c r="V269" s="637">
        <v>0</v>
      </c>
      <c r="W269" s="638">
        <v>0</v>
      </c>
      <c r="X269" s="643">
        <v>0</v>
      </c>
      <c r="Y269" s="643">
        <v>0</v>
      </c>
      <c r="Z269" s="641">
        <v>0</v>
      </c>
      <c r="AA269" s="1013" t="s">
        <v>109</v>
      </c>
      <c r="AB269" s="1014" t="s">
        <v>123</v>
      </c>
      <c r="AC269" s="76" t="s">
        <v>233</v>
      </c>
      <c r="AD269" s="1015" t="s">
        <v>1131</v>
      </c>
      <c r="AE269" s="1015" t="s">
        <v>1131</v>
      </c>
      <c r="AF269" s="375" t="s">
        <v>128</v>
      </c>
      <c r="AG269" s="368" t="s">
        <v>367</v>
      </c>
    </row>
    <row r="270" spans="1:33" s="316" customFormat="1" ht="15.75" outlineLevel="1" thickBot="1" x14ac:dyDescent="0.3">
      <c r="A270" s="27" t="s">
        <v>124</v>
      </c>
      <c r="B270" s="28" t="s">
        <v>124</v>
      </c>
      <c r="C270" s="240" t="s">
        <v>124</v>
      </c>
      <c r="D270" s="339" t="s">
        <v>124</v>
      </c>
      <c r="E270" s="339" t="s">
        <v>124</v>
      </c>
      <c r="F270" s="591" t="s">
        <v>124</v>
      </c>
      <c r="G270" s="243" t="s">
        <v>124</v>
      </c>
      <c r="H270" s="243" t="s">
        <v>124</v>
      </c>
      <c r="I270" s="288" t="s">
        <v>124</v>
      </c>
      <c r="J270" s="187" t="s">
        <v>124</v>
      </c>
      <c r="K270" s="136" t="s">
        <v>124</v>
      </c>
      <c r="L270" s="136" t="s">
        <v>124</v>
      </c>
      <c r="M270" s="128" t="s">
        <v>124</v>
      </c>
      <c r="N270" s="737" t="s">
        <v>124</v>
      </c>
      <c r="O270" s="763" t="s">
        <v>124</v>
      </c>
      <c r="P270" s="346" t="s">
        <v>124</v>
      </c>
      <c r="Q270" s="68" t="s">
        <v>124</v>
      </c>
      <c r="R270" s="188" t="s">
        <v>124</v>
      </c>
      <c r="S270" s="187" t="s">
        <v>124</v>
      </c>
      <c r="T270" s="136" t="s">
        <v>124</v>
      </c>
      <c r="U270" s="134" t="s">
        <v>124</v>
      </c>
      <c r="V270" s="187" t="s">
        <v>124</v>
      </c>
      <c r="W270" s="136" t="s">
        <v>124</v>
      </c>
      <c r="X270" s="138" t="s">
        <v>124</v>
      </c>
      <c r="Y270" s="138" t="s">
        <v>124</v>
      </c>
      <c r="Z270" s="128" t="s">
        <v>124</v>
      </c>
      <c r="AA270" s="128" t="s">
        <v>124</v>
      </c>
      <c r="AB270" s="202" t="s">
        <v>124</v>
      </c>
      <c r="AC270" s="115" t="s">
        <v>124</v>
      </c>
      <c r="AD270" s="31" t="s">
        <v>124</v>
      </c>
      <c r="AE270" s="31" t="s">
        <v>124</v>
      </c>
      <c r="AF270" s="27" t="s">
        <v>124</v>
      </c>
      <c r="AG270" s="239" t="s">
        <v>124</v>
      </c>
    </row>
    <row r="271" spans="1:33" ht="39" thickBot="1" x14ac:dyDescent="0.3">
      <c r="A271" s="114" t="s">
        <v>109</v>
      </c>
      <c r="B271" s="302" t="s">
        <v>109</v>
      </c>
      <c r="C271" s="12" t="s">
        <v>109</v>
      </c>
      <c r="D271" s="336" t="s">
        <v>109</v>
      </c>
      <c r="E271" s="336" t="s">
        <v>109</v>
      </c>
      <c r="F271" s="127" t="s">
        <v>133</v>
      </c>
      <c r="G271" s="341">
        <f>SUM(G258:G270)</f>
        <v>2230859.429</v>
      </c>
      <c r="H271" s="341">
        <f t="shared" ref="H271:K271" si="19">SUM(H258:H270)</f>
        <v>110367.34789999999</v>
      </c>
      <c r="I271" s="341">
        <f t="shared" si="19"/>
        <v>307496.14951000002</v>
      </c>
      <c r="J271" s="341">
        <f t="shared" si="19"/>
        <v>137994.98479000002</v>
      </c>
      <c r="K271" s="341">
        <f t="shared" si="19"/>
        <v>213322.73729400002</v>
      </c>
      <c r="L271" s="341">
        <f t="shared" ref="L271:Z271" si="20">SUM(L258:L270)</f>
        <v>185766</v>
      </c>
      <c r="M271" s="341">
        <f t="shared" si="20"/>
        <v>522179.303686</v>
      </c>
      <c r="N271" s="341">
        <f t="shared" si="20"/>
        <v>1177254.5414700001</v>
      </c>
      <c r="O271" s="341">
        <f t="shared" si="20"/>
        <v>-117991.5157</v>
      </c>
      <c r="P271" s="341">
        <f t="shared" si="20"/>
        <v>1059263.0257700002</v>
      </c>
      <c r="Q271" s="341">
        <f t="shared" si="20"/>
        <v>489026.20441999997</v>
      </c>
      <c r="R271" s="341">
        <f t="shared" si="20"/>
        <v>0</v>
      </c>
      <c r="S271" s="341">
        <f t="shared" si="20"/>
        <v>0</v>
      </c>
      <c r="T271" s="341">
        <f t="shared" si="20"/>
        <v>153738.94</v>
      </c>
      <c r="U271" s="341">
        <f t="shared" si="20"/>
        <v>110967.76139999999</v>
      </c>
      <c r="V271" s="341">
        <f t="shared" si="20"/>
        <v>1824533</v>
      </c>
      <c r="W271" s="341">
        <f t="shared" si="20"/>
        <v>347891.02026000002</v>
      </c>
      <c r="X271" s="341">
        <f t="shared" si="20"/>
        <v>0</v>
      </c>
      <c r="Y271" s="341">
        <f t="shared" si="20"/>
        <v>987615.77576999995</v>
      </c>
      <c r="Z271" s="341">
        <f t="shared" si="20"/>
        <v>489026.20397000003</v>
      </c>
      <c r="AA271" s="14" t="s">
        <v>1234</v>
      </c>
      <c r="AB271" s="12" t="s">
        <v>109</v>
      </c>
      <c r="AC271" s="261" t="s">
        <v>109</v>
      </c>
      <c r="AD271" s="77" t="s">
        <v>109</v>
      </c>
      <c r="AE271" s="261" t="s">
        <v>109</v>
      </c>
      <c r="AF271" s="50" t="s">
        <v>109</v>
      </c>
      <c r="AG271" s="336" t="s">
        <v>109</v>
      </c>
    </row>
    <row r="272" spans="1:33" ht="30.75" outlineLevel="1" thickBot="1" x14ac:dyDescent="0.3">
      <c r="A272" s="723" t="s">
        <v>464</v>
      </c>
      <c r="B272" s="16" t="s">
        <v>1014</v>
      </c>
      <c r="C272" s="39" t="s">
        <v>154</v>
      </c>
      <c r="D272" s="340" t="s">
        <v>9</v>
      </c>
      <c r="E272" s="504" t="s">
        <v>9</v>
      </c>
      <c r="F272" s="788" t="s">
        <v>75</v>
      </c>
      <c r="G272" s="789">
        <v>3978</v>
      </c>
      <c r="H272" s="789">
        <v>2047</v>
      </c>
      <c r="I272" s="2107">
        <v>0</v>
      </c>
      <c r="J272" s="790">
        <v>0</v>
      </c>
      <c r="K272" s="791">
        <v>579.30000000000018</v>
      </c>
      <c r="L272" s="791">
        <v>0</v>
      </c>
      <c r="M272" s="792">
        <v>1351.6999999999998</v>
      </c>
      <c r="N272" s="736">
        <v>1931</v>
      </c>
      <c r="O272" s="700">
        <v>0</v>
      </c>
      <c r="P272" s="268">
        <f>N272+O272</f>
        <v>1931</v>
      </c>
      <c r="Q272" s="793">
        <v>0</v>
      </c>
      <c r="R272" s="794">
        <v>0</v>
      </c>
      <c r="S272" s="795">
        <v>0</v>
      </c>
      <c r="T272" s="796">
        <v>0</v>
      </c>
      <c r="U272" s="797">
        <v>0</v>
      </c>
      <c r="V272" s="798">
        <v>0</v>
      </c>
      <c r="W272" s="799">
        <v>0</v>
      </c>
      <c r="X272" s="800">
        <v>0</v>
      </c>
      <c r="Y272" s="800">
        <v>0</v>
      </c>
      <c r="Z272" s="801">
        <v>0</v>
      </c>
      <c r="AA272" s="504" t="s">
        <v>305</v>
      </c>
      <c r="AB272" s="397" t="s">
        <v>16</v>
      </c>
      <c r="AC272" s="802" t="s">
        <v>257</v>
      </c>
      <c r="AD272" s="802" t="s">
        <v>120</v>
      </c>
      <c r="AE272" s="802" t="s">
        <v>120</v>
      </c>
      <c r="AF272" s="196" t="s">
        <v>129</v>
      </c>
      <c r="AG272" s="340" t="s">
        <v>363</v>
      </c>
    </row>
    <row r="273" spans="1:33" ht="25.5" outlineLevel="1" x14ac:dyDescent="0.25">
      <c r="A273" s="606" t="s">
        <v>833</v>
      </c>
      <c r="B273" s="803" t="s">
        <v>1115</v>
      </c>
      <c r="C273" s="252" t="s">
        <v>878</v>
      </c>
      <c r="D273" s="253" t="s">
        <v>9</v>
      </c>
      <c r="E273" s="720" t="s">
        <v>9</v>
      </c>
      <c r="F273" s="804" t="s">
        <v>834</v>
      </c>
      <c r="G273" s="690">
        <v>2000</v>
      </c>
      <c r="H273" s="690">
        <v>0</v>
      </c>
      <c r="I273" s="2129">
        <v>0</v>
      </c>
      <c r="J273" s="806">
        <v>0</v>
      </c>
      <c r="K273" s="807">
        <v>600</v>
      </c>
      <c r="L273" s="807">
        <v>0</v>
      </c>
      <c r="M273" s="808">
        <v>1400</v>
      </c>
      <c r="N273" s="731">
        <v>2000</v>
      </c>
      <c r="O273" s="762">
        <v>0</v>
      </c>
      <c r="P273" s="346">
        <f>N273+O273</f>
        <v>2000</v>
      </c>
      <c r="Q273" s="809">
        <v>0</v>
      </c>
      <c r="R273" s="810">
        <v>0</v>
      </c>
      <c r="S273" s="811">
        <v>0</v>
      </c>
      <c r="T273" s="812">
        <v>0</v>
      </c>
      <c r="U273" s="813">
        <v>0</v>
      </c>
      <c r="V273" s="814">
        <v>0</v>
      </c>
      <c r="W273" s="815">
        <v>0</v>
      </c>
      <c r="X273" s="816">
        <v>0</v>
      </c>
      <c r="Y273" s="816">
        <v>0</v>
      </c>
      <c r="Z273" s="817">
        <v>0</v>
      </c>
      <c r="AA273" s="720" t="s">
        <v>836</v>
      </c>
      <c r="AB273" s="818" t="s">
        <v>13</v>
      </c>
      <c r="AC273" s="819" t="s">
        <v>257</v>
      </c>
      <c r="AD273" s="819" t="s">
        <v>119</v>
      </c>
      <c r="AE273" s="819" t="s">
        <v>119</v>
      </c>
      <c r="AF273" s="820" t="s">
        <v>128</v>
      </c>
      <c r="AG273" s="253" t="s">
        <v>835</v>
      </c>
    </row>
    <row r="274" spans="1:33" s="316" customFormat="1" ht="15.75" outlineLevel="1" thickBot="1" x14ac:dyDescent="0.3">
      <c r="A274" s="27" t="s">
        <v>124</v>
      </c>
      <c r="B274" s="28" t="s">
        <v>124</v>
      </c>
      <c r="C274" s="258" t="s">
        <v>124</v>
      </c>
      <c r="D274" s="339" t="s">
        <v>124</v>
      </c>
      <c r="E274" s="339" t="s">
        <v>124</v>
      </c>
      <c r="F274" s="65" t="s">
        <v>124</v>
      </c>
      <c r="G274" s="243" t="s">
        <v>124</v>
      </c>
      <c r="H274" s="242" t="s">
        <v>124</v>
      </c>
      <c r="I274" s="289" t="s">
        <v>124</v>
      </c>
      <c r="J274" s="195" t="s">
        <v>124</v>
      </c>
      <c r="K274" s="135" t="s">
        <v>124</v>
      </c>
      <c r="L274" s="135" t="s">
        <v>124</v>
      </c>
      <c r="M274" s="255" t="s">
        <v>124</v>
      </c>
      <c r="N274" s="744" t="s">
        <v>124</v>
      </c>
      <c r="O274" s="779" t="s">
        <v>124</v>
      </c>
      <c r="P274" s="346" t="s">
        <v>124</v>
      </c>
      <c r="Q274" s="144" t="s">
        <v>124</v>
      </c>
      <c r="R274" s="231" t="s">
        <v>124</v>
      </c>
      <c r="S274" s="222" t="s">
        <v>124</v>
      </c>
      <c r="T274" s="142" t="s">
        <v>124</v>
      </c>
      <c r="U274" s="32" t="s">
        <v>124</v>
      </c>
      <c r="V274" s="222" t="s">
        <v>124</v>
      </c>
      <c r="W274" s="142" t="s">
        <v>124</v>
      </c>
      <c r="X274" s="147" t="s">
        <v>124</v>
      </c>
      <c r="Y274" s="147" t="s">
        <v>124</v>
      </c>
      <c r="Z274" s="143" t="s">
        <v>124</v>
      </c>
      <c r="AA274" s="143" t="s">
        <v>124</v>
      </c>
      <c r="AB274" s="39" t="s">
        <v>124</v>
      </c>
      <c r="AC274" s="196" t="s">
        <v>124</v>
      </c>
      <c r="AD274" s="191" t="s">
        <v>124</v>
      </c>
      <c r="AE274" s="191" t="s">
        <v>124</v>
      </c>
      <c r="AF274" s="196" t="s">
        <v>124</v>
      </c>
      <c r="AG274" s="340" t="s">
        <v>124</v>
      </c>
    </row>
    <row r="275" spans="1:33" ht="26.25" thickBot="1" x14ac:dyDescent="0.3">
      <c r="A275" s="114" t="s">
        <v>109</v>
      </c>
      <c r="B275" s="302" t="s">
        <v>109</v>
      </c>
      <c r="C275" s="12" t="s">
        <v>109</v>
      </c>
      <c r="D275" s="336" t="s">
        <v>109</v>
      </c>
      <c r="E275" s="336" t="s">
        <v>109</v>
      </c>
      <c r="F275" s="127" t="s">
        <v>338</v>
      </c>
      <c r="G275" s="341">
        <f t="shared" ref="G275:Z275" si="21">SUM(G272:G274)</f>
        <v>5978</v>
      </c>
      <c r="H275" s="341">
        <f t="shared" si="21"/>
        <v>2047</v>
      </c>
      <c r="I275" s="341">
        <f t="shared" si="21"/>
        <v>0</v>
      </c>
      <c r="J275" s="341">
        <f t="shared" si="21"/>
        <v>0</v>
      </c>
      <c r="K275" s="341">
        <f t="shared" si="21"/>
        <v>1179.3000000000002</v>
      </c>
      <c r="L275" s="341">
        <f t="shared" si="21"/>
        <v>0</v>
      </c>
      <c r="M275" s="341">
        <f t="shared" si="21"/>
        <v>2751.7</v>
      </c>
      <c r="N275" s="341">
        <f t="shared" si="21"/>
        <v>3931</v>
      </c>
      <c r="O275" s="341">
        <f t="shared" si="21"/>
        <v>0</v>
      </c>
      <c r="P275" s="341">
        <f t="shared" si="21"/>
        <v>3931</v>
      </c>
      <c r="Q275" s="341">
        <f t="shared" si="21"/>
        <v>0</v>
      </c>
      <c r="R275" s="341">
        <f t="shared" si="21"/>
        <v>0</v>
      </c>
      <c r="S275" s="341">
        <f t="shared" si="21"/>
        <v>0</v>
      </c>
      <c r="T275" s="341">
        <f t="shared" si="21"/>
        <v>0</v>
      </c>
      <c r="U275" s="341">
        <f t="shared" si="21"/>
        <v>0</v>
      </c>
      <c r="V275" s="341">
        <f t="shared" si="21"/>
        <v>0</v>
      </c>
      <c r="W275" s="341">
        <f t="shared" si="21"/>
        <v>0</v>
      </c>
      <c r="X275" s="341">
        <f t="shared" si="21"/>
        <v>0</v>
      </c>
      <c r="Y275" s="341">
        <f t="shared" si="21"/>
        <v>0</v>
      </c>
      <c r="Z275" s="341">
        <f t="shared" si="21"/>
        <v>0</v>
      </c>
      <c r="AA275" s="14" t="s">
        <v>1235</v>
      </c>
      <c r="AB275" s="12" t="s">
        <v>109</v>
      </c>
      <c r="AC275" s="261" t="s">
        <v>109</v>
      </c>
      <c r="AD275" s="77" t="s">
        <v>109</v>
      </c>
      <c r="AE275" s="261" t="s">
        <v>109</v>
      </c>
      <c r="AF275" s="50" t="s">
        <v>109</v>
      </c>
      <c r="AG275" s="336" t="s">
        <v>109</v>
      </c>
    </row>
    <row r="276" spans="1:33" ht="30" outlineLevel="1" x14ac:dyDescent="0.25">
      <c r="A276" s="602" t="s">
        <v>465</v>
      </c>
      <c r="B276" s="599" t="s">
        <v>1015</v>
      </c>
      <c r="C276" s="33" t="s">
        <v>153</v>
      </c>
      <c r="D276" s="368" t="s">
        <v>9</v>
      </c>
      <c r="E276" s="374" t="s">
        <v>9</v>
      </c>
      <c r="F276" s="821" t="s">
        <v>206</v>
      </c>
      <c r="G276" s="622">
        <v>8610.36</v>
      </c>
      <c r="H276" s="622">
        <v>5759.6</v>
      </c>
      <c r="I276" s="182">
        <v>733.26</v>
      </c>
      <c r="J276" s="806">
        <v>0</v>
      </c>
      <c r="K276" s="807">
        <v>2117.5</v>
      </c>
      <c r="L276" s="807">
        <v>0</v>
      </c>
      <c r="M276" s="822">
        <v>0</v>
      </c>
      <c r="N276" s="732">
        <v>2117.5</v>
      </c>
      <c r="O276" s="759">
        <v>0</v>
      </c>
      <c r="P276" s="345">
        <f>N276+O276</f>
        <v>2117.5</v>
      </c>
      <c r="Q276" s="625">
        <v>0</v>
      </c>
      <c r="R276" s="623">
        <v>0</v>
      </c>
      <c r="S276" s="631">
        <v>0</v>
      </c>
      <c r="T276" s="624">
        <v>0</v>
      </c>
      <c r="U276" s="823">
        <v>0</v>
      </c>
      <c r="V276" s="609">
        <v>0</v>
      </c>
      <c r="W276" s="601">
        <v>0</v>
      </c>
      <c r="X276" s="600">
        <v>0</v>
      </c>
      <c r="Y276" s="600">
        <v>0</v>
      </c>
      <c r="Z276" s="574">
        <v>0</v>
      </c>
      <c r="AA276" s="707" t="s">
        <v>109</v>
      </c>
      <c r="AB276" s="252" t="s">
        <v>16</v>
      </c>
      <c r="AC276" s="787" t="s">
        <v>517</v>
      </c>
      <c r="AD276" s="717" t="s">
        <v>120</v>
      </c>
      <c r="AE276" s="787" t="s">
        <v>120</v>
      </c>
      <c r="AF276" s="375" t="s">
        <v>128</v>
      </c>
      <c r="AG276" s="253" t="s">
        <v>112</v>
      </c>
    </row>
    <row r="277" spans="1:33" ht="45" outlineLevel="1" x14ac:dyDescent="0.25">
      <c r="A277" s="836" t="s">
        <v>786</v>
      </c>
      <c r="B277" s="837" t="s">
        <v>1016</v>
      </c>
      <c r="C277" s="71" t="s">
        <v>879</v>
      </c>
      <c r="D277" s="838" t="s">
        <v>9</v>
      </c>
      <c r="E277" s="839" t="s">
        <v>9</v>
      </c>
      <c r="F277" s="840" t="s">
        <v>787</v>
      </c>
      <c r="G277" s="80">
        <v>19704</v>
      </c>
      <c r="H277" s="83">
        <v>0</v>
      </c>
      <c r="I277" s="2086">
        <v>0</v>
      </c>
      <c r="J277" s="162">
        <v>0</v>
      </c>
      <c r="K277" s="163">
        <v>60</v>
      </c>
      <c r="L277" s="163">
        <v>0</v>
      </c>
      <c r="M277" s="164">
        <v>0</v>
      </c>
      <c r="N277" s="842">
        <v>0</v>
      </c>
      <c r="O277" s="843">
        <v>60</v>
      </c>
      <c r="P277" s="843">
        <f>N277+O277</f>
        <v>60</v>
      </c>
      <c r="Q277" s="90">
        <v>900</v>
      </c>
      <c r="R277" s="86">
        <v>18744</v>
      </c>
      <c r="S277" s="162">
        <v>0</v>
      </c>
      <c r="T277" s="163">
        <v>0</v>
      </c>
      <c r="U277" s="81">
        <v>0</v>
      </c>
      <c r="V277" s="844">
        <v>0</v>
      </c>
      <c r="W277" s="845">
        <v>0</v>
      </c>
      <c r="X277" s="846">
        <v>0</v>
      </c>
      <c r="Y277" s="846">
        <v>0</v>
      </c>
      <c r="Z277" s="847">
        <v>0</v>
      </c>
      <c r="AA277" s="108" t="s">
        <v>1116</v>
      </c>
      <c r="AB277" s="70" t="s">
        <v>13</v>
      </c>
      <c r="AC277" s="848" t="s">
        <v>517</v>
      </c>
      <c r="AD277" s="848" t="s">
        <v>119</v>
      </c>
      <c r="AE277" s="848" t="s">
        <v>119</v>
      </c>
      <c r="AF277" s="85" t="s">
        <v>129</v>
      </c>
      <c r="AG277" s="838" t="s">
        <v>802</v>
      </c>
    </row>
    <row r="278" spans="1:33" ht="38.25" outlineLevel="1" x14ac:dyDescent="0.25">
      <c r="A278" s="603" t="s">
        <v>788</v>
      </c>
      <c r="B278" s="593" t="s">
        <v>1017</v>
      </c>
      <c r="C278" s="35" t="s">
        <v>879</v>
      </c>
      <c r="D278" s="259" t="s">
        <v>9</v>
      </c>
      <c r="E278" s="627" t="s">
        <v>9</v>
      </c>
      <c r="F278" s="615" t="s">
        <v>789</v>
      </c>
      <c r="G278" s="36">
        <v>22776</v>
      </c>
      <c r="H278" s="36">
        <v>0</v>
      </c>
      <c r="I278" s="57">
        <v>0</v>
      </c>
      <c r="J278" s="260">
        <v>0</v>
      </c>
      <c r="K278" s="343">
        <v>86</v>
      </c>
      <c r="L278" s="343">
        <v>0</v>
      </c>
      <c r="M278" s="256">
        <v>5239</v>
      </c>
      <c r="N278" s="735">
        <v>5325</v>
      </c>
      <c r="O278" s="777">
        <v>0</v>
      </c>
      <c r="P278" s="346">
        <f>N278+O278</f>
        <v>5325</v>
      </c>
      <c r="Q278" s="37">
        <v>3767</v>
      </c>
      <c r="R278" s="338">
        <v>13684</v>
      </c>
      <c r="S278" s="260">
        <v>0</v>
      </c>
      <c r="T278" s="343">
        <v>0</v>
      </c>
      <c r="U278" s="107">
        <v>0</v>
      </c>
      <c r="V278" s="605">
        <v>0</v>
      </c>
      <c r="W278" s="337">
        <v>0</v>
      </c>
      <c r="X278" s="489">
        <v>0</v>
      </c>
      <c r="Y278" s="489">
        <v>0</v>
      </c>
      <c r="Z278" s="257">
        <v>0</v>
      </c>
      <c r="AA278" s="377" t="s">
        <v>801</v>
      </c>
      <c r="AB278" s="33" t="s">
        <v>13</v>
      </c>
      <c r="AC278" s="448" t="s">
        <v>522</v>
      </c>
      <c r="AD278" s="448" t="s">
        <v>119</v>
      </c>
      <c r="AE278" s="448" t="s">
        <v>119</v>
      </c>
      <c r="AF278" s="342" t="s">
        <v>128</v>
      </c>
      <c r="AG278" s="259" t="s">
        <v>802</v>
      </c>
    </row>
    <row r="279" spans="1:33" ht="38.25" outlineLevel="1" x14ac:dyDescent="0.25">
      <c r="A279" s="603" t="s">
        <v>790</v>
      </c>
      <c r="B279" s="593" t="s">
        <v>1018</v>
      </c>
      <c r="C279" s="35" t="s">
        <v>879</v>
      </c>
      <c r="D279" s="259" t="s">
        <v>9</v>
      </c>
      <c r="E279" s="627" t="s">
        <v>9</v>
      </c>
      <c r="F279" s="615" t="s">
        <v>791</v>
      </c>
      <c r="G279" s="36">
        <v>12900</v>
      </c>
      <c r="H279" s="36">
        <v>0</v>
      </c>
      <c r="I279" s="57">
        <v>0</v>
      </c>
      <c r="J279" s="260">
        <v>0</v>
      </c>
      <c r="K279" s="343">
        <v>79</v>
      </c>
      <c r="L279" s="343">
        <v>0</v>
      </c>
      <c r="M279" s="256">
        <v>3731</v>
      </c>
      <c r="N279" s="735">
        <v>3810</v>
      </c>
      <c r="O279" s="777">
        <v>0</v>
      </c>
      <c r="P279" s="346">
        <f>N279+O279</f>
        <v>3810</v>
      </c>
      <c r="Q279" s="37">
        <v>2116</v>
      </c>
      <c r="R279" s="338">
        <v>6974</v>
      </c>
      <c r="S279" s="260">
        <v>0</v>
      </c>
      <c r="T279" s="343">
        <v>0</v>
      </c>
      <c r="U279" s="107">
        <v>0</v>
      </c>
      <c r="V279" s="605">
        <v>0</v>
      </c>
      <c r="W279" s="337">
        <v>0</v>
      </c>
      <c r="X279" s="489">
        <v>0</v>
      </c>
      <c r="Y279" s="489">
        <v>0</v>
      </c>
      <c r="Z279" s="257">
        <v>0</v>
      </c>
      <c r="AA279" s="377" t="s">
        <v>801</v>
      </c>
      <c r="AB279" s="33" t="s">
        <v>13</v>
      </c>
      <c r="AC279" s="448" t="s">
        <v>522</v>
      </c>
      <c r="AD279" s="448" t="s">
        <v>119</v>
      </c>
      <c r="AE279" s="448" t="s">
        <v>119</v>
      </c>
      <c r="AF279" s="342" t="s">
        <v>128</v>
      </c>
      <c r="AG279" s="259" t="s">
        <v>802</v>
      </c>
    </row>
    <row r="280" spans="1:33" s="316" customFormat="1" ht="15.75" outlineLevel="1" thickBot="1" x14ac:dyDescent="0.3">
      <c r="A280" s="27" t="s">
        <v>124</v>
      </c>
      <c r="B280" s="28" t="s">
        <v>124</v>
      </c>
      <c r="C280" s="258" t="s">
        <v>124</v>
      </c>
      <c r="D280" s="339" t="s">
        <v>124</v>
      </c>
      <c r="E280" s="339" t="s">
        <v>124</v>
      </c>
      <c r="F280" s="65" t="s">
        <v>124</v>
      </c>
      <c r="G280" s="243" t="s">
        <v>124</v>
      </c>
      <c r="H280" s="242" t="s">
        <v>124</v>
      </c>
      <c r="I280" s="289"/>
      <c r="J280" s="195" t="s">
        <v>124</v>
      </c>
      <c r="K280" s="135" t="s">
        <v>124</v>
      </c>
      <c r="L280" s="135" t="s">
        <v>124</v>
      </c>
      <c r="M280" s="255" t="s">
        <v>124</v>
      </c>
      <c r="N280" s="744" t="s">
        <v>124</v>
      </c>
      <c r="O280" s="779" t="s">
        <v>124</v>
      </c>
      <c r="P280" s="346" t="s">
        <v>124</v>
      </c>
      <c r="Q280" s="144" t="s">
        <v>124</v>
      </c>
      <c r="R280" s="231" t="s">
        <v>124</v>
      </c>
      <c r="S280" s="222" t="s">
        <v>124</v>
      </c>
      <c r="T280" s="142" t="s">
        <v>124</v>
      </c>
      <c r="U280" s="32" t="s">
        <v>124</v>
      </c>
      <c r="V280" s="222" t="s">
        <v>124</v>
      </c>
      <c r="W280" s="142" t="s">
        <v>124</v>
      </c>
      <c r="X280" s="147" t="s">
        <v>124</v>
      </c>
      <c r="Y280" s="147" t="s">
        <v>124</v>
      </c>
      <c r="Z280" s="143" t="s">
        <v>124</v>
      </c>
      <c r="AA280" s="143" t="s">
        <v>124</v>
      </c>
      <c r="AB280" s="39" t="s">
        <v>124</v>
      </c>
      <c r="AC280" s="196" t="s">
        <v>124</v>
      </c>
      <c r="AD280" s="191" t="s">
        <v>124</v>
      </c>
      <c r="AE280" s="191" t="s">
        <v>124</v>
      </c>
      <c r="AF280" s="196" t="s">
        <v>124</v>
      </c>
      <c r="AG280" s="340" t="s">
        <v>124</v>
      </c>
    </row>
    <row r="281" spans="1:33" ht="32.25" thickBot="1" x14ac:dyDescent="0.3">
      <c r="A281" s="114" t="s">
        <v>109</v>
      </c>
      <c r="B281" s="302" t="s">
        <v>109</v>
      </c>
      <c r="C281" s="12" t="s">
        <v>109</v>
      </c>
      <c r="D281" s="336" t="s">
        <v>109</v>
      </c>
      <c r="E281" s="336" t="s">
        <v>109</v>
      </c>
      <c r="F281" s="127" t="s">
        <v>132</v>
      </c>
      <c r="G281" s="341">
        <f t="shared" ref="G281:Z281" si="22">SUM(G276:G280)</f>
        <v>63990.36</v>
      </c>
      <c r="H281" s="341">
        <f t="shared" si="22"/>
        <v>5759.6</v>
      </c>
      <c r="I281" s="341">
        <f t="shared" si="22"/>
        <v>733.26</v>
      </c>
      <c r="J281" s="341">
        <f t="shared" si="22"/>
        <v>0</v>
      </c>
      <c r="K281" s="341">
        <f t="shared" si="22"/>
        <v>2342.5</v>
      </c>
      <c r="L281" s="341">
        <f t="shared" si="22"/>
        <v>0</v>
      </c>
      <c r="M281" s="341">
        <f t="shared" si="22"/>
        <v>8970</v>
      </c>
      <c r="N281" s="341">
        <f t="shared" si="22"/>
        <v>11252.5</v>
      </c>
      <c r="O281" s="341">
        <f t="shared" si="22"/>
        <v>60</v>
      </c>
      <c r="P281" s="341">
        <f t="shared" si="22"/>
        <v>11312.5</v>
      </c>
      <c r="Q281" s="341">
        <f t="shared" si="22"/>
        <v>6783</v>
      </c>
      <c r="R281" s="341">
        <f t="shared" si="22"/>
        <v>39402</v>
      </c>
      <c r="S281" s="341">
        <f t="shared" si="22"/>
        <v>0</v>
      </c>
      <c r="T281" s="341">
        <f t="shared" si="22"/>
        <v>0</v>
      </c>
      <c r="U281" s="341">
        <f t="shared" si="22"/>
        <v>0</v>
      </c>
      <c r="V281" s="341">
        <f t="shared" si="22"/>
        <v>0</v>
      </c>
      <c r="W281" s="341">
        <f t="shared" si="22"/>
        <v>0</v>
      </c>
      <c r="X281" s="341">
        <f t="shared" si="22"/>
        <v>0</v>
      </c>
      <c r="Y281" s="341">
        <f t="shared" si="22"/>
        <v>0</v>
      </c>
      <c r="Z281" s="341">
        <f t="shared" si="22"/>
        <v>0</v>
      </c>
      <c r="AA281" s="14" t="s">
        <v>1236</v>
      </c>
      <c r="AB281" s="12" t="s">
        <v>109</v>
      </c>
      <c r="AC281" s="261" t="s">
        <v>109</v>
      </c>
      <c r="AD281" s="77" t="s">
        <v>109</v>
      </c>
      <c r="AE281" s="261" t="s">
        <v>109</v>
      </c>
      <c r="AF281" s="50" t="s">
        <v>109</v>
      </c>
      <c r="AG281" s="336" t="s">
        <v>109</v>
      </c>
    </row>
    <row r="282" spans="1:33" s="406" customFormat="1" ht="25.5" outlineLevel="1" x14ac:dyDescent="0.25">
      <c r="A282" s="606" t="s">
        <v>904</v>
      </c>
      <c r="B282" s="607" t="s">
        <v>112</v>
      </c>
      <c r="C282" s="252" t="s">
        <v>864</v>
      </c>
      <c r="D282" s="252" t="s">
        <v>9</v>
      </c>
      <c r="E282" s="253" t="s">
        <v>9</v>
      </c>
      <c r="F282" s="608" t="s">
        <v>732</v>
      </c>
      <c r="G282" s="194">
        <v>18823.5</v>
      </c>
      <c r="H282" s="194">
        <v>0</v>
      </c>
      <c r="I282" s="198">
        <v>0</v>
      </c>
      <c r="J282" s="609">
        <v>0</v>
      </c>
      <c r="K282" s="601">
        <v>5647.0500000000011</v>
      </c>
      <c r="L282" s="601">
        <v>0</v>
      </c>
      <c r="M282" s="574">
        <v>13176.449999999999</v>
      </c>
      <c r="N282" s="271">
        <v>18823.5</v>
      </c>
      <c r="O282" s="762">
        <v>0</v>
      </c>
      <c r="P282" s="271">
        <f>N282+O282</f>
        <v>18823.5</v>
      </c>
      <c r="Q282" s="574">
        <v>0</v>
      </c>
      <c r="R282" s="611">
        <v>0</v>
      </c>
      <c r="S282" s="609">
        <v>0</v>
      </c>
      <c r="T282" s="601">
        <v>0</v>
      </c>
      <c r="U282" s="611">
        <v>0</v>
      </c>
      <c r="V282" s="612">
        <v>0</v>
      </c>
      <c r="W282" s="613">
        <v>0</v>
      </c>
      <c r="X282" s="600">
        <v>0</v>
      </c>
      <c r="Y282" s="600">
        <v>0</v>
      </c>
      <c r="Z282" s="610">
        <v>0</v>
      </c>
      <c r="AA282" s="721" t="s">
        <v>109</v>
      </c>
      <c r="AB282" s="29" t="s">
        <v>13</v>
      </c>
      <c r="AC282" s="10" t="s">
        <v>325</v>
      </c>
      <c r="AD282" s="10" t="s">
        <v>119</v>
      </c>
      <c r="AE282" s="10" t="s">
        <v>119</v>
      </c>
      <c r="AF282" s="10" t="s">
        <v>128</v>
      </c>
      <c r="AG282" s="253" t="s">
        <v>373</v>
      </c>
    </row>
    <row r="283" spans="1:33" s="238" customFormat="1" ht="25.5" outlineLevel="1" x14ac:dyDescent="0.25">
      <c r="A283" s="23" t="s">
        <v>905</v>
      </c>
      <c r="B283" s="2000" t="s">
        <v>1060</v>
      </c>
      <c r="C283" s="6" t="s">
        <v>878</v>
      </c>
      <c r="D283" s="6" t="s">
        <v>9</v>
      </c>
      <c r="E283" s="8" t="s">
        <v>9</v>
      </c>
      <c r="F283" s="1343" t="s">
        <v>852</v>
      </c>
      <c r="G283" s="193">
        <v>1176.5</v>
      </c>
      <c r="H283" s="2001">
        <v>0</v>
      </c>
      <c r="I283" s="2130">
        <v>1176.5</v>
      </c>
      <c r="J283" s="241">
        <v>0</v>
      </c>
      <c r="K283" s="237">
        <v>0</v>
      </c>
      <c r="L283" s="237">
        <v>0</v>
      </c>
      <c r="M283" s="105">
        <v>0</v>
      </c>
      <c r="N283" s="485">
        <v>0</v>
      </c>
      <c r="O283" s="2002">
        <v>0</v>
      </c>
      <c r="P283" s="272">
        <f>N283+O283</f>
        <v>0</v>
      </c>
      <c r="Q283" s="105">
        <v>0</v>
      </c>
      <c r="R283" s="197">
        <v>0</v>
      </c>
      <c r="S283" s="241">
        <v>0</v>
      </c>
      <c r="T283" s="237">
        <v>0</v>
      </c>
      <c r="U283" s="197">
        <v>0</v>
      </c>
      <c r="V283" s="241">
        <v>0</v>
      </c>
      <c r="W283" s="236">
        <v>0</v>
      </c>
      <c r="X283" s="236">
        <v>0</v>
      </c>
      <c r="Y283" s="236">
        <v>0</v>
      </c>
      <c r="Z283" s="105">
        <v>0</v>
      </c>
      <c r="AA283" s="2003" t="s">
        <v>853</v>
      </c>
      <c r="AB283" s="79" t="s">
        <v>123</v>
      </c>
      <c r="AC283" s="76" t="s">
        <v>233</v>
      </c>
      <c r="AD283" s="76" t="s">
        <v>119</v>
      </c>
      <c r="AE283" s="76" t="s">
        <v>119</v>
      </c>
      <c r="AF283" s="76" t="s">
        <v>128</v>
      </c>
      <c r="AG283" s="8" t="s">
        <v>378</v>
      </c>
    </row>
    <row r="284" spans="1:33" ht="15.75" outlineLevel="1" thickBot="1" x14ac:dyDescent="0.3">
      <c r="A284" s="27" t="s">
        <v>124</v>
      </c>
      <c r="B284" s="249" t="s">
        <v>124</v>
      </c>
      <c r="C284" s="248" t="s">
        <v>124</v>
      </c>
      <c r="D284" s="258" t="s">
        <v>124</v>
      </c>
      <c r="E284" s="339" t="s">
        <v>124</v>
      </c>
      <c r="F284" s="204" t="s">
        <v>124</v>
      </c>
      <c r="G284" s="243" t="s">
        <v>124</v>
      </c>
      <c r="H284" s="243" t="s">
        <v>124</v>
      </c>
      <c r="I284" s="288" t="s">
        <v>124</v>
      </c>
      <c r="J284" s="187" t="s">
        <v>124</v>
      </c>
      <c r="K284" s="136" t="s">
        <v>124</v>
      </c>
      <c r="L284" s="136" t="s">
        <v>124</v>
      </c>
      <c r="M284" s="128" t="s">
        <v>124</v>
      </c>
      <c r="N284" s="737" t="s">
        <v>124</v>
      </c>
      <c r="O284" s="763" t="s">
        <v>124</v>
      </c>
      <c r="P284" s="345" t="s">
        <v>124</v>
      </c>
      <c r="Q284" s="128" t="s">
        <v>124</v>
      </c>
      <c r="R284" s="134" t="s">
        <v>124</v>
      </c>
      <c r="S284" s="187" t="s">
        <v>124</v>
      </c>
      <c r="T284" s="136" t="s">
        <v>124</v>
      </c>
      <c r="U284" s="134" t="s">
        <v>124</v>
      </c>
      <c r="V284" s="187" t="s">
        <v>124</v>
      </c>
      <c r="W284" s="138" t="s">
        <v>124</v>
      </c>
      <c r="X284" s="138" t="s">
        <v>124</v>
      </c>
      <c r="Y284" s="138" t="s">
        <v>124</v>
      </c>
      <c r="Z284" s="128" t="s">
        <v>124</v>
      </c>
      <c r="AA284" s="134" t="s">
        <v>124</v>
      </c>
      <c r="AB284" s="22" t="s">
        <v>124</v>
      </c>
      <c r="AC284" s="27" t="s">
        <v>124</v>
      </c>
      <c r="AD284" s="27" t="s">
        <v>124</v>
      </c>
      <c r="AE284" s="27" t="s">
        <v>124</v>
      </c>
      <c r="AF284" s="27" t="s">
        <v>124</v>
      </c>
      <c r="AG284" s="339" t="s">
        <v>124</v>
      </c>
    </row>
    <row r="285" spans="1:33" ht="26.25" thickBot="1" x14ac:dyDescent="0.3">
      <c r="A285" s="114" t="s">
        <v>109</v>
      </c>
      <c r="B285" s="302" t="s">
        <v>109</v>
      </c>
      <c r="C285" s="12" t="s">
        <v>109</v>
      </c>
      <c r="D285" s="336" t="s">
        <v>109</v>
      </c>
      <c r="E285" s="336" t="s">
        <v>109</v>
      </c>
      <c r="F285" s="590" t="s">
        <v>906</v>
      </c>
      <c r="G285" s="341">
        <f t="shared" ref="G285:Z285" si="23">SUM(G282:G284)</f>
        <v>20000</v>
      </c>
      <c r="H285" s="341">
        <f t="shared" si="23"/>
        <v>0</v>
      </c>
      <c r="I285" s="341">
        <f t="shared" si="23"/>
        <v>1176.5</v>
      </c>
      <c r="J285" s="341">
        <f t="shared" si="23"/>
        <v>0</v>
      </c>
      <c r="K285" s="341">
        <f t="shared" si="23"/>
        <v>5647.0500000000011</v>
      </c>
      <c r="L285" s="341">
        <f t="shared" si="23"/>
        <v>0</v>
      </c>
      <c r="M285" s="341">
        <f t="shared" si="23"/>
        <v>13176.449999999999</v>
      </c>
      <c r="N285" s="341">
        <f t="shared" si="23"/>
        <v>18823.5</v>
      </c>
      <c r="O285" s="341">
        <f t="shared" si="23"/>
        <v>0</v>
      </c>
      <c r="P285" s="341">
        <f t="shared" si="23"/>
        <v>18823.5</v>
      </c>
      <c r="Q285" s="341">
        <f t="shared" si="23"/>
        <v>0</v>
      </c>
      <c r="R285" s="341">
        <f t="shared" si="23"/>
        <v>0</v>
      </c>
      <c r="S285" s="341">
        <f t="shared" si="23"/>
        <v>0</v>
      </c>
      <c r="T285" s="341">
        <f t="shared" si="23"/>
        <v>0</v>
      </c>
      <c r="U285" s="341">
        <f t="shared" si="23"/>
        <v>0</v>
      </c>
      <c r="V285" s="341">
        <f t="shared" si="23"/>
        <v>0</v>
      </c>
      <c r="W285" s="341">
        <f t="shared" si="23"/>
        <v>0</v>
      </c>
      <c r="X285" s="341">
        <f t="shared" si="23"/>
        <v>0</v>
      </c>
      <c r="Y285" s="341">
        <f t="shared" si="23"/>
        <v>0</v>
      </c>
      <c r="Z285" s="341">
        <f t="shared" si="23"/>
        <v>0</v>
      </c>
      <c r="AA285" s="14" t="s">
        <v>1237</v>
      </c>
      <c r="AB285" s="12" t="s">
        <v>109</v>
      </c>
      <c r="AC285" s="26" t="s">
        <v>109</v>
      </c>
      <c r="AD285" s="77" t="s">
        <v>109</v>
      </c>
      <c r="AE285" s="77" t="s">
        <v>109</v>
      </c>
      <c r="AF285" s="12" t="s">
        <v>109</v>
      </c>
      <c r="AG285" s="336" t="s">
        <v>109</v>
      </c>
    </row>
    <row r="286" spans="1:33" ht="25.5" outlineLevel="1" x14ac:dyDescent="0.25">
      <c r="A286" s="1081" t="s">
        <v>466</v>
      </c>
      <c r="B286" s="1082" t="s">
        <v>1019</v>
      </c>
      <c r="C286" s="1083" t="s">
        <v>153</v>
      </c>
      <c r="D286" s="1084" t="s">
        <v>78</v>
      </c>
      <c r="E286" s="1084" t="s">
        <v>78</v>
      </c>
      <c r="F286" s="1085" t="s">
        <v>565</v>
      </c>
      <c r="G286" s="1086">
        <f>7900+2100-3000</f>
        <v>7000</v>
      </c>
      <c r="H286" s="1086">
        <v>0</v>
      </c>
      <c r="I286" s="2131">
        <v>0</v>
      </c>
      <c r="J286" s="1087">
        <v>0</v>
      </c>
      <c r="K286" s="1088">
        <v>3000</v>
      </c>
      <c r="L286" s="1088"/>
      <c r="M286" s="1089">
        <v>4000</v>
      </c>
      <c r="N286" s="1090">
        <v>10000</v>
      </c>
      <c r="O286" s="1091">
        <v>-3000</v>
      </c>
      <c r="P286" s="1092">
        <f t="shared" ref="P286:P349" si="24">N286+O286</f>
        <v>7000</v>
      </c>
      <c r="Q286" s="1093">
        <v>0</v>
      </c>
      <c r="R286" s="1094">
        <v>0</v>
      </c>
      <c r="S286" s="1095">
        <v>0</v>
      </c>
      <c r="T286" s="1096">
        <v>0</v>
      </c>
      <c r="U286" s="1097">
        <v>0</v>
      </c>
      <c r="V286" s="1098">
        <v>0</v>
      </c>
      <c r="W286" s="1099">
        <v>0</v>
      </c>
      <c r="X286" s="1100">
        <v>0</v>
      </c>
      <c r="Y286" s="1100">
        <v>0</v>
      </c>
      <c r="Z286" s="1101">
        <v>0</v>
      </c>
      <c r="AA286" s="554" t="s">
        <v>1145</v>
      </c>
      <c r="AB286" s="488" t="s">
        <v>11</v>
      </c>
      <c r="AC286" s="1102" t="s">
        <v>325</v>
      </c>
      <c r="AD286" s="1102" t="s">
        <v>119</v>
      </c>
      <c r="AE286" s="1103" t="s">
        <v>119</v>
      </c>
      <c r="AF286" s="1104" t="s">
        <v>129</v>
      </c>
      <c r="AG286" s="1105" t="s">
        <v>380</v>
      </c>
    </row>
    <row r="287" spans="1:33" ht="25.5" outlineLevel="1" x14ac:dyDescent="0.25">
      <c r="A287" s="1106" t="s">
        <v>467</v>
      </c>
      <c r="B287" s="1107" t="s">
        <v>1020</v>
      </c>
      <c r="C287" s="70" t="s">
        <v>152</v>
      </c>
      <c r="D287" s="1108" t="s">
        <v>149</v>
      </c>
      <c r="E287" s="1108" t="s">
        <v>149</v>
      </c>
      <c r="F287" s="965" t="s">
        <v>80</v>
      </c>
      <c r="G287" s="152">
        <v>14000</v>
      </c>
      <c r="H287" s="152">
        <v>0</v>
      </c>
      <c r="I287" s="2132">
        <v>0</v>
      </c>
      <c r="J287" s="156">
        <v>0</v>
      </c>
      <c r="K287" s="157">
        <v>0</v>
      </c>
      <c r="L287" s="157">
        <v>0</v>
      </c>
      <c r="M287" s="1109">
        <v>0</v>
      </c>
      <c r="N287" s="208">
        <v>7000</v>
      </c>
      <c r="O287" s="884">
        <v>-7000</v>
      </c>
      <c r="P287" s="885">
        <f t="shared" si="24"/>
        <v>0</v>
      </c>
      <c r="Q287" s="98">
        <v>7000</v>
      </c>
      <c r="R287" s="94">
        <v>7000</v>
      </c>
      <c r="S287" s="1110">
        <v>0</v>
      </c>
      <c r="T287" s="155">
        <v>0</v>
      </c>
      <c r="U287" s="154">
        <v>0</v>
      </c>
      <c r="V287" s="1111">
        <v>0</v>
      </c>
      <c r="W287" s="1112">
        <v>0</v>
      </c>
      <c r="X287" s="1113">
        <v>0</v>
      </c>
      <c r="Y287" s="1113">
        <v>0</v>
      </c>
      <c r="Z287" s="1114">
        <v>0</v>
      </c>
      <c r="AA287" s="71" t="s">
        <v>1146</v>
      </c>
      <c r="AB287" s="99" t="s">
        <v>13</v>
      </c>
      <c r="AC287" s="888" t="s">
        <v>303</v>
      </c>
      <c r="AD287" s="888" t="s">
        <v>119</v>
      </c>
      <c r="AE287" s="888" t="s">
        <v>119</v>
      </c>
      <c r="AF287" s="158" t="s">
        <v>130</v>
      </c>
      <c r="AG287" s="1115" t="s">
        <v>363</v>
      </c>
    </row>
    <row r="288" spans="1:33" ht="30" outlineLevel="1" x14ac:dyDescent="0.25">
      <c r="A288" s="425" t="s">
        <v>468</v>
      </c>
      <c r="B288" s="1116" t="s">
        <v>1021</v>
      </c>
      <c r="C288" s="6" t="s">
        <v>152</v>
      </c>
      <c r="D288" s="1117" t="s">
        <v>146</v>
      </c>
      <c r="E288" s="1117" t="s">
        <v>146</v>
      </c>
      <c r="F288" s="678" t="s">
        <v>255</v>
      </c>
      <c r="G288" s="48">
        <v>2500</v>
      </c>
      <c r="H288" s="48">
        <v>2192.41275</v>
      </c>
      <c r="I288" s="2111">
        <v>307.58724999999998</v>
      </c>
      <c r="J288" s="1118">
        <v>0</v>
      </c>
      <c r="K288" s="1119">
        <v>0</v>
      </c>
      <c r="L288" s="1119">
        <v>0</v>
      </c>
      <c r="M288" s="1120">
        <v>0</v>
      </c>
      <c r="N288" s="485">
        <v>0</v>
      </c>
      <c r="O288" s="285">
        <v>0</v>
      </c>
      <c r="P288" s="272">
        <f t="shared" si="24"/>
        <v>0</v>
      </c>
      <c r="Q288" s="1121">
        <v>0</v>
      </c>
      <c r="R288" s="1122">
        <v>0</v>
      </c>
      <c r="S288" s="389">
        <v>0</v>
      </c>
      <c r="T288" s="390">
        <v>0</v>
      </c>
      <c r="U288" s="1123">
        <v>0</v>
      </c>
      <c r="V288" s="380">
        <v>0</v>
      </c>
      <c r="W288" s="459">
        <v>0</v>
      </c>
      <c r="X288" s="381">
        <v>0</v>
      </c>
      <c r="Y288" s="381">
        <v>0</v>
      </c>
      <c r="Z288" s="393">
        <v>0</v>
      </c>
      <c r="AA288" s="6" t="s">
        <v>109</v>
      </c>
      <c r="AB288" s="44" t="s">
        <v>123</v>
      </c>
      <c r="AC288" s="509" t="s">
        <v>300</v>
      </c>
      <c r="AD288" s="509" t="s">
        <v>120</v>
      </c>
      <c r="AE288" s="509" t="s">
        <v>120</v>
      </c>
      <c r="AF288" s="510" t="s">
        <v>128</v>
      </c>
      <c r="AG288" s="511" t="s">
        <v>372</v>
      </c>
    </row>
    <row r="289" spans="1:33" ht="30.75" outlineLevel="1" thickBot="1" x14ac:dyDescent="0.3">
      <c r="A289" s="697" t="s">
        <v>469</v>
      </c>
      <c r="B289" s="1124" t="s">
        <v>1022</v>
      </c>
      <c r="C289" s="445" t="s">
        <v>117</v>
      </c>
      <c r="D289" s="1125" t="s">
        <v>79</v>
      </c>
      <c r="E289" s="1126" t="s">
        <v>79</v>
      </c>
      <c r="F289" s="655" t="s">
        <v>360</v>
      </c>
      <c r="G289" s="1127">
        <v>2121.75</v>
      </c>
      <c r="H289" s="1128">
        <v>1725</v>
      </c>
      <c r="I289" s="2112">
        <v>396.75</v>
      </c>
      <c r="J289" s="1129">
        <v>0</v>
      </c>
      <c r="K289" s="1130">
        <v>0</v>
      </c>
      <c r="L289" s="1130">
        <v>0</v>
      </c>
      <c r="M289" s="1131">
        <v>0</v>
      </c>
      <c r="N289" s="230">
        <v>0</v>
      </c>
      <c r="O289" s="287">
        <v>0</v>
      </c>
      <c r="P289" s="269">
        <f t="shared" si="24"/>
        <v>0</v>
      </c>
      <c r="Q289" s="1132">
        <v>0</v>
      </c>
      <c r="R289" s="1133">
        <v>0</v>
      </c>
      <c r="S289" s="1134">
        <v>0</v>
      </c>
      <c r="T289" s="1135">
        <v>0</v>
      </c>
      <c r="U289" s="1136">
        <v>0</v>
      </c>
      <c r="V289" s="1137">
        <v>0</v>
      </c>
      <c r="W289" s="470">
        <v>0</v>
      </c>
      <c r="X289" s="1138">
        <v>0</v>
      </c>
      <c r="Y289" s="1138">
        <v>0</v>
      </c>
      <c r="Z289" s="1139">
        <v>0</v>
      </c>
      <c r="AA289" s="506" t="s">
        <v>109</v>
      </c>
      <c r="AB289" s="24" t="s">
        <v>123</v>
      </c>
      <c r="AC289" s="1140" t="s">
        <v>260</v>
      </c>
      <c r="AD289" s="1140" t="s">
        <v>120</v>
      </c>
      <c r="AE289" s="1140" t="s">
        <v>120</v>
      </c>
      <c r="AF289" s="507" t="s">
        <v>128</v>
      </c>
      <c r="AG289" s="508" t="s">
        <v>367</v>
      </c>
    </row>
    <row r="290" spans="1:33" ht="26.25" outlineLevel="1" thickBot="1" x14ac:dyDescent="0.3">
      <c r="A290" s="697" t="s">
        <v>107</v>
      </c>
      <c r="B290" s="697" t="s">
        <v>1023</v>
      </c>
      <c r="C290" s="24" t="s">
        <v>116</v>
      </c>
      <c r="D290" s="1125" t="s">
        <v>148</v>
      </c>
      <c r="E290" s="1125" t="s">
        <v>148</v>
      </c>
      <c r="F290" s="515" t="s">
        <v>104</v>
      </c>
      <c r="G290" s="1128">
        <v>4421.5320000000002</v>
      </c>
      <c r="H290" s="1128">
        <v>0</v>
      </c>
      <c r="I290" s="2133">
        <v>3500</v>
      </c>
      <c r="J290" s="463">
        <v>0</v>
      </c>
      <c r="K290" s="476">
        <v>0</v>
      </c>
      <c r="L290" s="476">
        <v>0</v>
      </c>
      <c r="M290" s="464">
        <v>0</v>
      </c>
      <c r="N290" s="203">
        <v>0</v>
      </c>
      <c r="O290" s="284">
        <v>0</v>
      </c>
      <c r="P290" s="269">
        <f t="shared" si="24"/>
        <v>0</v>
      </c>
      <c r="Q290" s="1142">
        <v>0</v>
      </c>
      <c r="R290" s="1143">
        <v>0</v>
      </c>
      <c r="S290" s="465">
        <v>0</v>
      </c>
      <c r="T290" s="466">
        <v>0</v>
      </c>
      <c r="U290" s="467">
        <v>921.53200000000004</v>
      </c>
      <c r="V290" s="468">
        <v>0</v>
      </c>
      <c r="W290" s="469">
        <v>0</v>
      </c>
      <c r="X290" s="471">
        <v>0</v>
      </c>
      <c r="Y290" s="471">
        <v>0</v>
      </c>
      <c r="Z290" s="472">
        <v>0</v>
      </c>
      <c r="AA290" s="24" t="s">
        <v>109</v>
      </c>
      <c r="AB290" s="1144" t="s">
        <v>123</v>
      </c>
      <c r="AC290" s="1140" t="s">
        <v>300</v>
      </c>
      <c r="AD290" s="1140" t="s">
        <v>120</v>
      </c>
      <c r="AE290" s="1140" t="s">
        <v>120</v>
      </c>
      <c r="AF290" s="507" t="s">
        <v>128</v>
      </c>
      <c r="AG290" s="508" t="s">
        <v>371</v>
      </c>
    </row>
    <row r="291" spans="1:33" ht="25.5" outlineLevel="1" x14ac:dyDescent="0.25">
      <c r="A291" s="1077" t="s">
        <v>139</v>
      </c>
      <c r="B291" s="1077" t="s">
        <v>112</v>
      </c>
      <c r="C291" s="33" t="s">
        <v>177</v>
      </c>
      <c r="D291" s="1145" t="s">
        <v>81</v>
      </c>
      <c r="E291" s="1145" t="s">
        <v>81</v>
      </c>
      <c r="F291" s="1146" t="s">
        <v>102</v>
      </c>
      <c r="G291" s="695">
        <v>2869</v>
      </c>
      <c r="H291" s="695">
        <v>0</v>
      </c>
      <c r="I291" s="2115">
        <v>0</v>
      </c>
      <c r="J291" s="631">
        <v>2869</v>
      </c>
      <c r="K291" s="624"/>
      <c r="L291" s="624">
        <v>0</v>
      </c>
      <c r="M291" s="850"/>
      <c r="N291" s="731">
        <v>2869</v>
      </c>
      <c r="O291" s="759">
        <v>0</v>
      </c>
      <c r="P291" s="345">
        <f t="shared" si="24"/>
        <v>2869</v>
      </c>
      <c r="Q291" s="1147">
        <v>0</v>
      </c>
      <c r="R291" s="1148">
        <v>0</v>
      </c>
      <c r="S291" s="1149">
        <v>0</v>
      </c>
      <c r="T291" s="1150">
        <v>0</v>
      </c>
      <c r="U291" s="1151">
        <v>0</v>
      </c>
      <c r="V291" s="1152">
        <v>0</v>
      </c>
      <c r="W291" s="1153">
        <v>0</v>
      </c>
      <c r="X291" s="1154">
        <v>0</v>
      </c>
      <c r="Y291" s="1154">
        <v>0</v>
      </c>
      <c r="Z291" s="1155">
        <v>0</v>
      </c>
      <c r="AA291" s="252" t="s">
        <v>109</v>
      </c>
      <c r="AB291" s="33" t="s">
        <v>259</v>
      </c>
      <c r="AC291" s="857" t="s">
        <v>318</v>
      </c>
      <c r="AD291" s="857" t="s">
        <v>120</v>
      </c>
      <c r="AE291" s="857" t="s">
        <v>120</v>
      </c>
      <c r="AF291" s="365" t="s">
        <v>128</v>
      </c>
      <c r="AG291" s="1156" t="s">
        <v>387</v>
      </c>
    </row>
    <row r="292" spans="1:33" ht="25.5" outlineLevel="1" x14ac:dyDescent="0.25">
      <c r="A292" s="1106" t="s">
        <v>140</v>
      </c>
      <c r="B292" s="1070" t="s">
        <v>112</v>
      </c>
      <c r="C292" s="71" t="s">
        <v>177</v>
      </c>
      <c r="D292" s="1157" t="s">
        <v>150</v>
      </c>
      <c r="E292" s="1157" t="s">
        <v>150</v>
      </c>
      <c r="F292" s="1158" t="s">
        <v>141</v>
      </c>
      <c r="G292" s="159">
        <v>12000</v>
      </c>
      <c r="H292" s="152">
        <v>0</v>
      </c>
      <c r="I292" s="2132">
        <v>0</v>
      </c>
      <c r="J292" s="162">
        <v>0</v>
      </c>
      <c r="K292" s="163">
        <v>0</v>
      </c>
      <c r="L292" s="163">
        <v>0</v>
      </c>
      <c r="M292" s="164">
        <v>0</v>
      </c>
      <c r="N292" s="208">
        <v>12000</v>
      </c>
      <c r="O292" s="884">
        <v>-12000</v>
      </c>
      <c r="P292" s="885">
        <f t="shared" si="24"/>
        <v>0</v>
      </c>
      <c r="Q292" s="167">
        <v>12000</v>
      </c>
      <c r="R292" s="1159">
        <v>0</v>
      </c>
      <c r="S292" s="1160">
        <v>0</v>
      </c>
      <c r="T292" s="161">
        <v>0</v>
      </c>
      <c r="U292" s="100">
        <v>0</v>
      </c>
      <c r="V292" s="1161">
        <v>0</v>
      </c>
      <c r="W292" s="300">
        <v>0</v>
      </c>
      <c r="X292" s="1113">
        <v>0</v>
      </c>
      <c r="Y292" s="512">
        <v>0</v>
      </c>
      <c r="Z292" s="165">
        <v>0</v>
      </c>
      <c r="AA292" s="71" t="s">
        <v>1147</v>
      </c>
      <c r="AB292" s="71" t="s">
        <v>13</v>
      </c>
      <c r="AC292" s="888" t="s">
        <v>257</v>
      </c>
      <c r="AD292" s="888" t="s">
        <v>119</v>
      </c>
      <c r="AE292" s="888" t="s">
        <v>119</v>
      </c>
      <c r="AF292" s="158" t="s">
        <v>128</v>
      </c>
      <c r="AG292" s="838" t="s">
        <v>388</v>
      </c>
    </row>
    <row r="293" spans="1:33" ht="30.75" outlineLevel="1" x14ac:dyDescent="0.25">
      <c r="A293" s="425" t="s">
        <v>142</v>
      </c>
      <c r="B293" s="386" t="s">
        <v>1024</v>
      </c>
      <c r="C293" s="5" t="s">
        <v>177</v>
      </c>
      <c r="D293" s="451" t="s">
        <v>85</v>
      </c>
      <c r="E293" s="451" t="s">
        <v>85</v>
      </c>
      <c r="F293" s="1162" t="s">
        <v>320</v>
      </c>
      <c r="G293" s="484">
        <f>1300+1600</f>
        <v>2900</v>
      </c>
      <c r="H293" s="48">
        <v>2900</v>
      </c>
      <c r="I293" s="2111">
        <v>0</v>
      </c>
      <c r="J293" s="452">
        <v>0</v>
      </c>
      <c r="K293" s="41">
        <v>0</v>
      </c>
      <c r="L293" s="41">
        <v>0</v>
      </c>
      <c r="M293" s="46">
        <v>0</v>
      </c>
      <c r="N293" s="485">
        <v>739.38887</v>
      </c>
      <c r="O293" s="285">
        <v>-739.38887</v>
      </c>
      <c r="P293" s="272">
        <f t="shared" si="24"/>
        <v>0</v>
      </c>
      <c r="Q293" s="454">
        <v>0</v>
      </c>
      <c r="R293" s="453">
        <v>0</v>
      </c>
      <c r="S293" s="455">
        <v>0</v>
      </c>
      <c r="T293" s="456">
        <v>0</v>
      </c>
      <c r="U293" s="457">
        <v>0</v>
      </c>
      <c r="V293" s="458">
        <v>0</v>
      </c>
      <c r="W293" s="392">
        <v>0</v>
      </c>
      <c r="X293" s="381">
        <v>0</v>
      </c>
      <c r="Y293" s="460">
        <v>0</v>
      </c>
      <c r="Z293" s="461">
        <v>0</v>
      </c>
      <c r="AA293" s="6" t="s">
        <v>1148</v>
      </c>
      <c r="AB293" s="5" t="s">
        <v>123</v>
      </c>
      <c r="AC293" s="509" t="s">
        <v>239</v>
      </c>
      <c r="AD293" s="509" t="s">
        <v>120</v>
      </c>
      <c r="AE293" s="509" t="s">
        <v>120</v>
      </c>
      <c r="AF293" s="510" t="s">
        <v>128</v>
      </c>
      <c r="AG293" s="511" t="s">
        <v>375</v>
      </c>
    </row>
    <row r="294" spans="1:33" ht="25.5" outlineLevel="1" x14ac:dyDescent="0.25">
      <c r="A294" s="1163" t="s">
        <v>143</v>
      </c>
      <c r="B294" s="1164" t="s">
        <v>1025</v>
      </c>
      <c r="C294" s="52" t="s">
        <v>177</v>
      </c>
      <c r="D294" s="1165" t="s">
        <v>230</v>
      </c>
      <c r="E294" s="1165" t="s">
        <v>230</v>
      </c>
      <c r="F294" s="1166" t="s">
        <v>566</v>
      </c>
      <c r="G294" s="1167">
        <f>29100.32579+3506</f>
        <v>32606.325789999999</v>
      </c>
      <c r="H294" s="1168">
        <v>555.74</v>
      </c>
      <c r="I294" s="2134">
        <v>0</v>
      </c>
      <c r="J294" s="1169">
        <v>0</v>
      </c>
      <c r="K294" s="1170">
        <v>3929.5575000000008</v>
      </c>
      <c r="L294" s="1170">
        <v>3834.4837000000002</v>
      </c>
      <c r="M294" s="1170">
        <v>5334.4838</v>
      </c>
      <c r="N294" s="1171">
        <v>13098.525</v>
      </c>
      <c r="O294" s="1172">
        <v>0</v>
      </c>
      <c r="P294" s="1173">
        <f t="shared" si="24"/>
        <v>13098.525</v>
      </c>
      <c r="Q294" s="1174">
        <v>9606.3257900000008</v>
      </c>
      <c r="R294" s="1175">
        <v>0</v>
      </c>
      <c r="S294" s="1176">
        <v>2336.4340000000002</v>
      </c>
      <c r="T294" s="1177">
        <v>7009.3010000000004</v>
      </c>
      <c r="U294" s="1178">
        <v>0</v>
      </c>
      <c r="V294" s="1179">
        <v>0</v>
      </c>
      <c r="W294" s="1180">
        <v>0</v>
      </c>
      <c r="X294" s="1181">
        <v>0</v>
      </c>
      <c r="Y294" s="1182">
        <v>0</v>
      </c>
      <c r="Z294" s="1183">
        <v>0</v>
      </c>
      <c r="AA294" s="52" t="s">
        <v>1149</v>
      </c>
      <c r="AB294" s="52" t="s">
        <v>11</v>
      </c>
      <c r="AC294" s="1184" t="s">
        <v>1150</v>
      </c>
      <c r="AD294" s="1184" t="s">
        <v>119</v>
      </c>
      <c r="AE294" s="1184" t="s">
        <v>119</v>
      </c>
      <c r="AF294" s="493" t="s">
        <v>128</v>
      </c>
      <c r="AG294" s="1185" t="s">
        <v>389</v>
      </c>
    </row>
    <row r="295" spans="1:33" ht="30" outlineLevel="1" x14ac:dyDescent="0.25">
      <c r="A295" s="1081" t="s">
        <v>144</v>
      </c>
      <c r="B295" s="1186" t="s">
        <v>112</v>
      </c>
      <c r="C295" s="405" t="s">
        <v>177</v>
      </c>
      <c r="D295" s="1187" t="s">
        <v>147</v>
      </c>
      <c r="E295" s="1187" t="s">
        <v>147</v>
      </c>
      <c r="F295" s="1188" t="s">
        <v>567</v>
      </c>
      <c r="G295" s="1189">
        <f>840-67.08155</f>
        <v>772.91845000000001</v>
      </c>
      <c r="H295" s="1086">
        <v>0</v>
      </c>
      <c r="I295" s="2131">
        <v>0</v>
      </c>
      <c r="J295" s="1190">
        <v>772.91845000000001</v>
      </c>
      <c r="K295" s="1191">
        <v>0</v>
      </c>
      <c r="L295" s="1191">
        <v>0</v>
      </c>
      <c r="M295" s="1192">
        <v>0</v>
      </c>
      <c r="N295" s="1090">
        <v>840</v>
      </c>
      <c r="O295" s="1091">
        <v>-67.081549999999993</v>
      </c>
      <c r="P295" s="540">
        <f t="shared" si="24"/>
        <v>772.91845000000001</v>
      </c>
      <c r="Q295" s="1193">
        <v>0</v>
      </c>
      <c r="R295" s="1194">
        <v>0</v>
      </c>
      <c r="S295" s="1195">
        <v>0</v>
      </c>
      <c r="T295" s="1196">
        <v>0</v>
      </c>
      <c r="U295" s="1197">
        <v>0</v>
      </c>
      <c r="V295" s="1198">
        <v>0</v>
      </c>
      <c r="W295" s="1199">
        <v>0</v>
      </c>
      <c r="X295" s="1100">
        <v>0</v>
      </c>
      <c r="Y295" s="1200">
        <v>0</v>
      </c>
      <c r="Z295" s="1201">
        <v>0</v>
      </c>
      <c r="AA295" s="405" t="s">
        <v>1151</v>
      </c>
      <c r="AB295" s="405" t="s">
        <v>259</v>
      </c>
      <c r="AC295" s="1102" t="s">
        <v>318</v>
      </c>
      <c r="AD295" s="1102" t="s">
        <v>120</v>
      </c>
      <c r="AE295" s="1102" t="s">
        <v>120</v>
      </c>
      <c r="AF295" s="1202" t="s">
        <v>128</v>
      </c>
      <c r="AG295" s="1203" t="s">
        <v>365</v>
      </c>
    </row>
    <row r="296" spans="1:33" s="406" customFormat="1" ht="26.25" outlineLevel="1" thickBot="1" x14ac:dyDescent="0.3">
      <c r="A296" s="697" t="s">
        <v>145</v>
      </c>
      <c r="B296" s="1204" t="s">
        <v>1026</v>
      </c>
      <c r="C296" s="24" t="s">
        <v>177</v>
      </c>
      <c r="D296" s="1125" t="s">
        <v>84</v>
      </c>
      <c r="E296" s="1125" t="s">
        <v>84</v>
      </c>
      <c r="F296" s="1205" t="s">
        <v>164</v>
      </c>
      <c r="G296" s="1128">
        <v>5696.0050300000003</v>
      </c>
      <c r="H296" s="1127">
        <v>3615.3130000000001</v>
      </c>
      <c r="I296" s="2112">
        <v>2080.6920300000002</v>
      </c>
      <c r="J296" s="463">
        <v>0</v>
      </c>
      <c r="K296" s="1206">
        <v>0</v>
      </c>
      <c r="L296" s="1206">
        <v>0</v>
      </c>
      <c r="M296" s="464">
        <v>0</v>
      </c>
      <c r="N296" s="230">
        <v>0</v>
      </c>
      <c r="O296" s="287">
        <v>0</v>
      </c>
      <c r="P296" s="269">
        <f t="shared" si="24"/>
        <v>0</v>
      </c>
      <c r="Q296" s="1142">
        <v>0</v>
      </c>
      <c r="R296" s="1143">
        <v>0</v>
      </c>
      <c r="S296" s="465">
        <v>0</v>
      </c>
      <c r="T296" s="466">
        <v>0</v>
      </c>
      <c r="U296" s="467">
        <v>0</v>
      </c>
      <c r="V296" s="468">
        <v>0</v>
      </c>
      <c r="W296" s="469">
        <v>0</v>
      </c>
      <c r="X296" s="1138">
        <v>0</v>
      </c>
      <c r="Y296" s="471">
        <v>0</v>
      </c>
      <c r="Z296" s="472">
        <v>0</v>
      </c>
      <c r="AA296" s="473" t="s">
        <v>109</v>
      </c>
      <c r="AB296" s="24" t="s">
        <v>123</v>
      </c>
      <c r="AC296" s="1140" t="s">
        <v>317</v>
      </c>
      <c r="AD296" s="1140" t="s">
        <v>120</v>
      </c>
      <c r="AE296" s="1140" t="s">
        <v>120</v>
      </c>
      <c r="AF296" s="507" t="s">
        <v>128</v>
      </c>
      <c r="AG296" s="1141" t="s">
        <v>364</v>
      </c>
    </row>
    <row r="297" spans="1:33" s="232" customFormat="1" ht="25.5" outlineLevel="1" x14ac:dyDescent="0.25">
      <c r="A297" s="962" t="s">
        <v>292</v>
      </c>
      <c r="B297" s="837" t="s">
        <v>112</v>
      </c>
      <c r="C297" s="1207" t="s">
        <v>307</v>
      </c>
      <c r="D297" s="1208" t="s">
        <v>293</v>
      </c>
      <c r="E297" s="1208" t="s">
        <v>293</v>
      </c>
      <c r="F297" s="1209" t="s">
        <v>294</v>
      </c>
      <c r="G297" s="1210">
        <v>55000</v>
      </c>
      <c r="H297" s="1211">
        <v>0</v>
      </c>
      <c r="I297" s="1212">
        <v>0</v>
      </c>
      <c r="J297" s="156">
        <v>0</v>
      </c>
      <c r="K297" s="157">
        <v>6900.0000000000018</v>
      </c>
      <c r="L297" s="157">
        <v>0</v>
      </c>
      <c r="M297" s="1109">
        <v>10000</v>
      </c>
      <c r="N297" s="208">
        <v>23000</v>
      </c>
      <c r="O297" s="884">
        <v>-6100</v>
      </c>
      <c r="P297" s="884">
        <f t="shared" si="24"/>
        <v>16900</v>
      </c>
      <c r="Q297" s="98">
        <v>38100</v>
      </c>
      <c r="R297" s="94">
        <v>0</v>
      </c>
      <c r="S297" s="1110">
        <v>0</v>
      </c>
      <c r="T297" s="155">
        <v>0</v>
      </c>
      <c r="U297" s="154">
        <v>0</v>
      </c>
      <c r="V297" s="1111">
        <v>55000</v>
      </c>
      <c r="W297" s="1112">
        <v>0</v>
      </c>
      <c r="X297" s="1113">
        <v>0</v>
      </c>
      <c r="Y297" s="1113">
        <v>23000</v>
      </c>
      <c r="Z297" s="1114">
        <v>32000</v>
      </c>
      <c r="AA297" s="235" t="s">
        <v>1152</v>
      </c>
      <c r="AB297" s="69" t="s">
        <v>11</v>
      </c>
      <c r="AC297" s="1213" t="s">
        <v>522</v>
      </c>
      <c r="AD297" s="1213" t="s">
        <v>119</v>
      </c>
      <c r="AE297" s="1213" t="s">
        <v>119</v>
      </c>
      <c r="AF297" s="280" t="s">
        <v>128</v>
      </c>
      <c r="AG297" s="964" t="s">
        <v>535</v>
      </c>
    </row>
    <row r="298" spans="1:33" s="232" customFormat="1" ht="25.5" outlineLevel="1" x14ac:dyDescent="0.25">
      <c r="A298" s="602" t="s">
        <v>295</v>
      </c>
      <c r="B298" s="599" t="s">
        <v>112</v>
      </c>
      <c r="C298" s="835" t="s">
        <v>307</v>
      </c>
      <c r="D298" s="1214" t="s">
        <v>231</v>
      </c>
      <c r="E298" s="1214" t="s">
        <v>231</v>
      </c>
      <c r="F298" s="1078" t="s">
        <v>296</v>
      </c>
      <c r="G298" s="1215">
        <v>15000</v>
      </c>
      <c r="H298" s="1147">
        <v>0</v>
      </c>
      <c r="I298" s="1148">
        <v>0</v>
      </c>
      <c r="J298" s="631">
        <v>2410.86</v>
      </c>
      <c r="K298" s="624">
        <v>0</v>
      </c>
      <c r="L298" s="624">
        <v>0</v>
      </c>
      <c r="M298" s="850">
        <v>9089.14</v>
      </c>
      <c r="N298" s="732">
        <v>11500</v>
      </c>
      <c r="O298" s="759">
        <v>0</v>
      </c>
      <c r="P298" s="345">
        <f t="shared" si="24"/>
        <v>11500</v>
      </c>
      <c r="Q298" s="1216">
        <v>3500</v>
      </c>
      <c r="R298" s="691">
        <v>0</v>
      </c>
      <c r="S298" s="1149">
        <v>0</v>
      </c>
      <c r="T298" s="1150">
        <v>0</v>
      </c>
      <c r="U298" s="1151">
        <v>0</v>
      </c>
      <c r="V298" s="1152">
        <v>15000</v>
      </c>
      <c r="W298" s="1153">
        <v>0</v>
      </c>
      <c r="X298" s="1154">
        <v>0</v>
      </c>
      <c r="Y298" s="1154">
        <v>11500</v>
      </c>
      <c r="Z298" s="1155">
        <v>3500</v>
      </c>
      <c r="AA298" s="722" t="s">
        <v>109</v>
      </c>
      <c r="AB298" s="25" t="s">
        <v>11</v>
      </c>
      <c r="AC298" s="857" t="s">
        <v>517</v>
      </c>
      <c r="AD298" s="857" t="s">
        <v>119</v>
      </c>
      <c r="AE298" s="857" t="s">
        <v>119</v>
      </c>
      <c r="AF298" s="367" t="s">
        <v>128</v>
      </c>
      <c r="AG298" s="1217" t="s">
        <v>362</v>
      </c>
    </row>
    <row r="299" spans="1:33" s="232" customFormat="1" ht="26.25" outlineLevel="1" thickBot="1" x14ac:dyDescent="0.3">
      <c r="A299" s="1218" t="s">
        <v>297</v>
      </c>
      <c r="B299" s="1219" t="s">
        <v>112</v>
      </c>
      <c r="C299" s="1220" t="s">
        <v>307</v>
      </c>
      <c r="D299" s="1221" t="s">
        <v>78</v>
      </c>
      <c r="E299" s="1221" t="s">
        <v>78</v>
      </c>
      <c r="F299" s="1222" t="s">
        <v>298</v>
      </c>
      <c r="G299" s="1223">
        <v>17000</v>
      </c>
      <c r="H299" s="1224">
        <v>0</v>
      </c>
      <c r="I299" s="1228">
        <v>0</v>
      </c>
      <c r="J299" s="1229">
        <v>0</v>
      </c>
      <c r="K299" s="332"/>
      <c r="L299" s="332">
        <v>0</v>
      </c>
      <c r="M299" s="1230">
        <v>5900</v>
      </c>
      <c r="N299" s="900">
        <v>17000</v>
      </c>
      <c r="O299" s="1231">
        <v>-11100</v>
      </c>
      <c r="P299" s="1231">
        <f t="shared" si="24"/>
        <v>5900</v>
      </c>
      <c r="Q299" s="1232">
        <v>11100</v>
      </c>
      <c r="R299" s="1233">
        <v>0</v>
      </c>
      <c r="S299" s="1234">
        <v>0</v>
      </c>
      <c r="T299" s="1235">
        <v>0</v>
      </c>
      <c r="U299" s="1236">
        <v>0</v>
      </c>
      <c r="V299" s="1225">
        <v>17000</v>
      </c>
      <c r="W299" s="1226">
        <v>0</v>
      </c>
      <c r="X299" s="1237">
        <v>0</v>
      </c>
      <c r="Y299" s="1237">
        <v>17000</v>
      </c>
      <c r="Z299" s="1227">
        <v>0</v>
      </c>
      <c r="AA299" s="267" t="s">
        <v>1153</v>
      </c>
      <c r="AB299" s="1238" t="s">
        <v>13</v>
      </c>
      <c r="AC299" s="1213" t="s">
        <v>517</v>
      </c>
      <c r="AD299" s="907" t="s">
        <v>119</v>
      </c>
      <c r="AE299" s="907" t="s">
        <v>119</v>
      </c>
      <c r="AF299" s="174" t="s">
        <v>128</v>
      </c>
      <c r="AG299" s="1239" t="s">
        <v>380</v>
      </c>
    </row>
    <row r="300" spans="1:33" s="3" customFormat="1" ht="26.25" outlineLevel="1" thickBot="1" x14ac:dyDescent="0.25">
      <c r="A300" s="1241" t="s">
        <v>330</v>
      </c>
      <c r="B300" s="1241" t="s">
        <v>1027</v>
      </c>
      <c r="C300" s="414" t="s">
        <v>340</v>
      </c>
      <c r="D300" s="407" t="s">
        <v>103</v>
      </c>
      <c r="E300" s="407" t="s">
        <v>103</v>
      </c>
      <c r="F300" s="1242" t="s">
        <v>331</v>
      </c>
      <c r="G300" s="1243">
        <f xml:space="preserve"> 5750 - 237.472</f>
        <v>5512.5280000000002</v>
      </c>
      <c r="H300" s="409">
        <v>0</v>
      </c>
      <c r="I300" s="408">
        <v>5512.5280000000002</v>
      </c>
      <c r="J300" s="497">
        <v>0</v>
      </c>
      <c r="K300" s="498">
        <v>0</v>
      </c>
      <c r="L300" s="404">
        <v>0</v>
      </c>
      <c r="M300" s="500">
        <v>0</v>
      </c>
      <c r="N300" s="542">
        <v>237.47200000000001</v>
      </c>
      <c r="O300" s="403">
        <v>-237.47200000000001</v>
      </c>
      <c r="P300" s="417">
        <f t="shared" si="24"/>
        <v>0</v>
      </c>
      <c r="Q300" s="409">
        <v>0</v>
      </c>
      <c r="R300" s="408">
        <v>0</v>
      </c>
      <c r="S300" s="410">
        <v>0</v>
      </c>
      <c r="T300" s="404">
        <v>0</v>
      </c>
      <c r="U300" s="1244">
        <v>0</v>
      </c>
      <c r="V300" s="410">
        <v>0</v>
      </c>
      <c r="W300" s="404">
        <v>0</v>
      </c>
      <c r="X300" s="411">
        <v>0</v>
      </c>
      <c r="Y300" s="411">
        <v>0</v>
      </c>
      <c r="Z300" s="412">
        <v>0</v>
      </c>
      <c r="AA300" s="501" t="s">
        <v>1154</v>
      </c>
      <c r="AB300" s="414" t="s">
        <v>123</v>
      </c>
      <c r="AC300" s="415" t="s">
        <v>239</v>
      </c>
      <c r="AD300" s="1245" t="s">
        <v>120</v>
      </c>
      <c r="AE300" s="1245" t="s">
        <v>120</v>
      </c>
      <c r="AF300" s="1246">
        <v>1</v>
      </c>
      <c r="AG300" s="1247" t="s">
        <v>373</v>
      </c>
    </row>
    <row r="301" spans="1:33" s="3" customFormat="1" ht="25.5" outlineLevel="1" x14ac:dyDescent="0.2">
      <c r="A301" s="7" t="s">
        <v>341</v>
      </c>
      <c r="B301" s="7" t="s">
        <v>1028</v>
      </c>
      <c r="C301" s="1248" t="s">
        <v>385</v>
      </c>
      <c r="D301" s="1249" t="s">
        <v>82</v>
      </c>
      <c r="E301" s="1249" t="s">
        <v>82</v>
      </c>
      <c r="F301" s="1250" t="s">
        <v>342</v>
      </c>
      <c r="G301" s="1251">
        <f xml:space="preserve"> 5700 - 360.827</f>
        <v>5339.1729999999998</v>
      </c>
      <c r="H301" s="1252">
        <v>2246.2950000000001</v>
      </c>
      <c r="I301" s="1259">
        <v>3092.8780000000002</v>
      </c>
      <c r="J301" s="1255">
        <v>0</v>
      </c>
      <c r="K301" s="1256">
        <v>0</v>
      </c>
      <c r="L301" s="1257">
        <v>0</v>
      </c>
      <c r="M301" s="1258">
        <v>0</v>
      </c>
      <c r="N301" s="746">
        <v>0</v>
      </c>
      <c r="O301" s="285">
        <v>0</v>
      </c>
      <c r="P301" s="352">
        <f t="shared" si="24"/>
        <v>0</v>
      </c>
      <c r="Q301" s="1252">
        <v>0</v>
      </c>
      <c r="R301" s="1259">
        <v>0</v>
      </c>
      <c r="S301" s="1253">
        <v>0</v>
      </c>
      <c r="T301" s="1254">
        <v>0</v>
      </c>
      <c r="U301" s="1260">
        <v>0</v>
      </c>
      <c r="V301" s="380">
        <v>0</v>
      </c>
      <c r="W301" s="1254">
        <v>0</v>
      </c>
      <c r="X301" s="1261">
        <v>0</v>
      </c>
      <c r="Y301" s="1261">
        <v>0</v>
      </c>
      <c r="Z301" s="1262">
        <v>0</v>
      </c>
      <c r="AA301" s="1263" t="s">
        <v>109</v>
      </c>
      <c r="AB301" s="47" t="s">
        <v>123</v>
      </c>
      <c r="AC301" s="523" t="s">
        <v>301</v>
      </c>
      <c r="AD301" s="1263" t="s">
        <v>120</v>
      </c>
      <c r="AE301" s="1263" t="s">
        <v>120</v>
      </c>
      <c r="AF301" s="1264">
        <v>1</v>
      </c>
      <c r="AG301" s="680" t="s">
        <v>381</v>
      </c>
    </row>
    <row r="302" spans="1:33" s="3" customFormat="1" ht="25.5" outlineLevel="1" x14ac:dyDescent="0.2">
      <c r="A302" s="1265" t="s">
        <v>343</v>
      </c>
      <c r="B302" s="1265" t="s">
        <v>1029</v>
      </c>
      <c r="C302" s="1266" t="s">
        <v>385</v>
      </c>
      <c r="D302" s="451" t="s">
        <v>150</v>
      </c>
      <c r="E302" s="451" t="s">
        <v>150</v>
      </c>
      <c r="F302" s="1267" t="s">
        <v>344</v>
      </c>
      <c r="G302" s="1268">
        <f xml:space="preserve"> 4000 - 1700 -13.50905</f>
        <v>2286.4909499999999</v>
      </c>
      <c r="H302" s="1269">
        <v>0</v>
      </c>
      <c r="I302" s="1274">
        <v>2286.4909499999999</v>
      </c>
      <c r="J302" s="1275">
        <v>0</v>
      </c>
      <c r="K302" s="1271">
        <v>0</v>
      </c>
      <c r="L302" s="1271">
        <v>0</v>
      </c>
      <c r="M302" s="1276">
        <v>0</v>
      </c>
      <c r="N302" s="747">
        <v>0</v>
      </c>
      <c r="O302" s="782">
        <v>0</v>
      </c>
      <c r="P302" s="757">
        <f t="shared" si="24"/>
        <v>0</v>
      </c>
      <c r="Q302" s="1269">
        <v>0</v>
      </c>
      <c r="R302" s="1274">
        <v>0</v>
      </c>
      <c r="S302" s="1270">
        <v>0</v>
      </c>
      <c r="T302" s="1271">
        <v>0</v>
      </c>
      <c r="U302" s="1273">
        <v>0</v>
      </c>
      <c r="V302" s="458">
        <v>0</v>
      </c>
      <c r="W302" s="1271">
        <v>0</v>
      </c>
      <c r="X302" s="1277">
        <v>0</v>
      </c>
      <c r="Y302" s="1277">
        <v>0</v>
      </c>
      <c r="Z302" s="1272">
        <v>0</v>
      </c>
      <c r="AA302" s="1278" t="s">
        <v>109</v>
      </c>
      <c r="AB302" s="1279" t="s">
        <v>123</v>
      </c>
      <c r="AC302" s="1280" t="s">
        <v>301</v>
      </c>
      <c r="AD302" s="1281" t="s">
        <v>120</v>
      </c>
      <c r="AE302" s="1281" t="s">
        <v>120</v>
      </c>
      <c r="AF302" s="1279">
        <v>1</v>
      </c>
      <c r="AG302" s="426" t="s">
        <v>388</v>
      </c>
    </row>
    <row r="303" spans="1:33" s="3" customFormat="1" ht="25.5" outlineLevel="1" x14ac:dyDescent="0.2">
      <c r="A303" s="1282" t="s">
        <v>345</v>
      </c>
      <c r="B303" s="1282" t="s">
        <v>1030</v>
      </c>
      <c r="C303" s="1283" t="s">
        <v>385</v>
      </c>
      <c r="D303" s="1284" t="s">
        <v>150</v>
      </c>
      <c r="E303" s="1284" t="s">
        <v>150</v>
      </c>
      <c r="F303" s="1285" t="s">
        <v>346</v>
      </c>
      <c r="G303" s="1286">
        <f xml:space="preserve"> 3000-10</f>
        <v>2990</v>
      </c>
      <c r="H303" s="1287">
        <v>0</v>
      </c>
      <c r="I303" s="1292">
        <v>2990</v>
      </c>
      <c r="J303" s="1293">
        <v>0</v>
      </c>
      <c r="K303" s="1294">
        <v>0</v>
      </c>
      <c r="L303" s="1289">
        <v>0</v>
      </c>
      <c r="M303" s="1295">
        <v>0</v>
      </c>
      <c r="N303" s="1296">
        <v>10</v>
      </c>
      <c r="O303" s="1297">
        <v>-10</v>
      </c>
      <c r="P303" s="1298">
        <f t="shared" si="24"/>
        <v>0</v>
      </c>
      <c r="Q303" s="1287">
        <v>0</v>
      </c>
      <c r="R303" s="1292">
        <v>0</v>
      </c>
      <c r="S303" s="1288">
        <v>0</v>
      </c>
      <c r="T303" s="1289">
        <v>0</v>
      </c>
      <c r="U303" s="1291">
        <v>0</v>
      </c>
      <c r="V303" s="1299">
        <v>0</v>
      </c>
      <c r="W303" s="1289">
        <v>0</v>
      </c>
      <c r="X303" s="1300">
        <v>0</v>
      </c>
      <c r="Y303" s="1300">
        <v>0</v>
      </c>
      <c r="Z303" s="1290">
        <v>0</v>
      </c>
      <c r="AA303" s="1301" t="s">
        <v>1155</v>
      </c>
      <c r="AB303" s="1303" t="s">
        <v>123</v>
      </c>
      <c r="AC303" s="1304" t="s">
        <v>239</v>
      </c>
      <c r="AD303" s="1305" t="s">
        <v>120</v>
      </c>
      <c r="AE303" s="1305" t="s">
        <v>120</v>
      </c>
      <c r="AF303" s="1303">
        <v>1</v>
      </c>
      <c r="AG303" s="538" t="s">
        <v>388</v>
      </c>
    </row>
    <row r="304" spans="1:33" s="3" customFormat="1" ht="26.25" outlineLevel="1" thickBot="1" x14ac:dyDescent="0.25">
      <c r="A304" s="1307" t="s">
        <v>347</v>
      </c>
      <c r="B304" s="1307" t="s">
        <v>1031</v>
      </c>
      <c r="C304" s="577" t="s">
        <v>385</v>
      </c>
      <c r="D304" s="1308" t="s">
        <v>150</v>
      </c>
      <c r="E304" s="1308" t="s">
        <v>150</v>
      </c>
      <c r="F304" s="1309" t="s">
        <v>348</v>
      </c>
      <c r="G304" s="1310">
        <f xml:space="preserve"> 1000 - 101.4222</f>
        <v>898.57780000000002</v>
      </c>
      <c r="H304" s="1311">
        <v>0</v>
      </c>
      <c r="I304" s="1316">
        <v>776.47080000000005</v>
      </c>
      <c r="J304" s="1317">
        <v>122.107</v>
      </c>
      <c r="K304" s="1318">
        <v>0</v>
      </c>
      <c r="L304" s="1313">
        <v>0</v>
      </c>
      <c r="M304" s="1319">
        <v>0</v>
      </c>
      <c r="N304" s="1320">
        <v>223.5292</v>
      </c>
      <c r="O304" s="1321">
        <v>-101.4222</v>
      </c>
      <c r="P304" s="578">
        <f t="shared" si="24"/>
        <v>122.107</v>
      </c>
      <c r="Q304" s="1311">
        <v>0</v>
      </c>
      <c r="R304" s="1316">
        <v>0</v>
      </c>
      <c r="S304" s="1312">
        <v>0</v>
      </c>
      <c r="T304" s="1313">
        <v>0</v>
      </c>
      <c r="U304" s="1314">
        <v>0</v>
      </c>
      <c r="V304" s="1312">
        <v>0</v>
      </c>
      <c r="W304" s="1313">
        <v>0</v>
      </c>
      <c r="X304" s="1322">
        <v>0</v>
      </c>
      <c r="Y304" s="1322">
        <v>0</v>
      </c>
      <c r="Z304" s="1314">
        <v>0</v>
      </c>
      <c r="AA304" s="1323" t="s">
        <v>1156</v>
      </c>
      <c r="AB304" s="577" t="s">
        <v>309</v>
      </c>
      <c r="AC304" s="1324" t="s">
        <v>318</v>
      </c>
      <c r="AD304" s="1325" t="s">
        <v>120</v>
      </c>
      <c r="AE304" s="1325" t="s">
        <v>120</v>
      </c>
      <c r="AF304" s="1326">
        <v>1</v>
      </c>
      <c r="AG304" s="1046" t="s">
        <v>388</v>
      </c>
    </row>
    <row r="305" spans="1:33" s="3" customFormat="1" ht="30.75" outlineLevel="1" thickBot="1" x14ac:dyDescent="0.25">
      <c r="A305" s="909" t="s">
        <v>504</v>
      </c>
      <c r="B305" s="909" t="s">
        <v>112</v>
      </c>
      <c r="C305" s="347" t="s">
        <v>534</v>
      </c>
      <c r="D305" s="1327" t="s">
        <v>77</v>
      </c>
      <c r="E305" s="1327" t="s">
        <v>77</v>
      </c>
      <c r="F305" s="1328" t="s">
        <v>1157</v>
      </c>
      <c r="G305" s="1329">
        <v>200000</v>
      </c>
      <c r="H305" s="1330">
        <v>0</v>
      </c>
      <c r="I305" s="1334">
        <v>0</v>
      </c>
      <c r="J305" s="916">
        <v>0</v>
      </c>
      <c r="K305" s="917">
        <v>2000</v>
      </c>
      <c r="L305" s="917">
        <v>0</v>
      </c>
      <c r="M305" s="919">
        <v>63874.999999999993</v>
      </c>
      <c r="N305" s="914">
        <v>91250</v>
      </c>
      <c r="O305" s="915">
        <v>-25375</v>
      </c>
      <c r="P305" s="915">
        <f t="shared" si="24"/>
        <v>65875</v>
      </c>
      <c r="Q305" s="1335">
        <v>134125</v>
      </c>
      <c r="R305" s="1336">
        <v>0</v>
      </c>
      <c r="S305" s="1337">
        <v>0</v>
      </c>
      <c r="T305" s="1338">
        <v>0</v>
      </c>
      <c r="U305" s="1339">
        <v>0</v>
      </c>
      <c r="V305" s="1331">
        <v>168045</v>
      </c>
      <c r="W305" s="1332">
        <v>0</v>
      </c>
      <c r="X305" s="1340">
        <v>0</v>
      </c>
      <c r="Y305" s="1340">
        <v>86522.5</v>
      </c>
      <c r="Z305" s="1333">
        <v>81522.5</v>
      </c>
      <c r="AA305" s="347" t="s">
        <v>1158</v>
      </c>
      <c r="AB305" s="1341" t="s">
        <v>11</v>
      </c>
      <c r="AC305" s="921" t="s">
        <v>821</v>
      </c>
      <c r="AD305" s="1342" t="s">
        <v>119</v>
      </c>
      <c r="AE305" s="1342" t="s">
        <v>119</v>
      </c>
      <c r="AF305" s="1341">
        <v>2</v>
      </c>
      <c r="AG305" s="911" t="s">
        <v>364</v>
      </c>
    </row>
    <row r="306" spans="1:33" s="3" customFormat="1" ht="25.5" outlineLevel="1" x14ac:dyDescent="0.2">
      <c r="A306" s="23" t="s">
        <v>528</v>
      </c>
      <c r="B306" s="23" t="s">
        <v>112</v>
      </c>
      <c r="C306" s="6" t="s">
        <v>563</v>
      </c>
      <c r="D306" s="1249" t="s">
        <v>230</v>
      </c>
      <c r="E306" s="1249" t="s">
        <v>230</v>
      </c>
      <c r="F306" s="1343" t="s">
        <v>529</v>
      </c>
      <c r="G306" s="1344">
        <v>0</v>
      </c>
      <c r="H306" s="1345">
        <v>0</v>
      </c>
      <c r="I306" s="1411">
        <v>0</v>
      </c>
      <c r="J306" s="241">
        <v>0</v>
      </c>
      <c r="K306" s="237">
        <v>0</v>
      </c>
      <c r="L306" s="237">
        <v>0</v>
      </c>
      <c r="M306" s="105">
        <v>0</v>
      </c>
      <c r="N306" s="485">
        <v>3506</v>
      </c>
      <c r="O306" s="285">
        <v>-3506</v>
      </c>
      <c r="P306" s="273">
        <f t="shared" si="24"/>
        <v>0</v>
      </c>
      <c r="Q306" s="1121">
        <v>0</v>
      </c>
      <c r="R306" s="1122">
        <v>0</v>
      </c>
      <c r="S306" s="389">
        <v>0</v>
      </c>
      <c r="T306" s="390">
        <v>0</v>
      </c>
      <c r="U306" s="1123">
        <v>0</v>
      </c>
      <c r="V306" s="380">
        <v>0</v>
      </c>
      <c r="W306" s="459">
        <v>0</v>
      </c>
      <c r="X306" s="381">
        <v>0</v>
      </c>
      <c r="Y306" s="381">
        <v>0</v>
      </c>
      <c r="Z306" s="393">
        <v>0</v>
      </c>
      <c r="AA306" s="6" t="s">
        <v>1159</v>
      </c>
      <c r="AB306" s="47" t="s">
        <v>121</v>
      </c>
      <c r="AC306" s="523" t="s">
        <v>239</v>
      </c>
      <c r="AD306" s="1263" t="s">
        <v>120</v>
      </c>
      <c r="AE306" s="1263" t="s">
        <v>120</v>
      </c>
      <c r="AF306" s="47">
        <v>1</v>
      </c>
      <c r="AG306" s="8" t="s">
        <v>389</v>
      </c>
    </row>
    <row r="307" spans="1:33" s="3" customFormat="1" ht="30.75" outlineLevel="1" thickBot="1" x14ac:dyDescent="0.25">
      <c r="A307" s="474" t="s">
        <v>530</v>
      </c>
      <c r="B307" s="474" t="s">
        <v>1032</v>
      </c>
      <c r="C307" s="24" t="s">
        <v>563</v>
      </c>
      <c r="D307" s="462" t="s">
        <v>531</v>
      </c>
      <c r="E307" s="462" t="s">
        <v>531</v>
      </c>
      <c r="F307" s="698" t="s">
        <v>532</v>
      </c>
      <c r="G307" s="486">
        <v>966.79</v>
      </c>
      <c r="H307" s="1142">
        <v>0</v>
      </c>
      <c r="I307" s="1143">
        <v>766.79</v>
      </c>
      <c r="J307" s="556">
        <v>0</v>
      </c>
      <c r="K307" s="518">
        <v>0</v>
      </c>
      <c r="L307" s="518">
        <v>0</v>
      </c>
      <c r="M307" s="702">
        <v>0</v>
      </c>
      <c r="N307" s="203">
        <v>0</v>
      </c>
      <c r="O307" s="284">
        <v>0</v>
      </c>
      <c r="P307" s="269">
        <f t="shared" si="24"/>
        <v>0</v>
      </c>
      <c r="Q307" s="487">
        <v>0</v>
      </c>
      <c r="R307" s="1346">
        <v>0</v>
      </c>
      <c r="S307" s="465">
        <v>0</v>
      </c>
      <c r="T307" s="466">
        <v>0</v>
      </c>
      <c r="U307" s="467">
        <v>200</v>
      </c>
      <c r="V307" s="468">
        <v>0</v>
      </c>
      <c r="W307" s="469">
        <v>0</v>
      </c>
      <c r="X307" s="471">
        <v>0</v>
      </c>
      <c r="Y307" s="471">
        <v>0</v>
      </c>
      <c r="Z307" s="472">
        <v>0</v>
      </c>
      <c r="AA307" s="24" t="s">
        <v>109</v>
      </c>
      <c r="AB307" s="24" t="s">
        <v>123</v>
      </c>
      <c r="AC307" s="1140" t="s">
        <v>233</v>
      </c>
      <c r="AD307" s="1347" t="s">
        <v>120</v>
      </c>
      <c r="AE307" s="1347" t="s">
        <v>120</v>
      </c>
      <c r="AF307" s="1144">
        <v>1</v>
      </c>
      <c r="AG307" s="508" t="s">
        <v>362</v>
      </c>
    </row>
    <row r="308" spans="1:33" s="3" customFormat="1" ht="25.5" outlineLevel="1" x14ac:dyDescent="0.2">
      <c r="A308" s="602" t="s">
        <v>538</v>
      </c>
      <c r="B308" s="602" t="s">
        <v>1106</v>
      </c>
      <c r="C308" s="33" t="s">
        <v>564</v>
      </c>
      <c r="D308" s="1214" t="s">
        <v>79</v>
      </c>
      <c r="E308" s="1214" t="s">
        <v>79</v>
      </c>
      <c r="F308" s="1078" t="s">
        <v>539</v>
      </c>
      <c r="G308" s="1215">
        <v>3000</v>
      </c>
      <c r="H308" s="1147">
        <v>0</v>
      </c>
      <c r="I308" s="2140">
        <v>974.05</v>
      </c>
      <c r="J308" s="852">
        <v>0</v>
      </c>
      <c r="K308" s="950">
        <v>15.95</v>
      </c>
      <c r="L308" s="950">
        <v>0</v>
      </c>
      <c r="M308" s="626"/>
      <c r="N308" s="732">
        <v>15.950000000000045</v>
      </c>
      <c r="O308" s="759">
        <v>0</v>
      </c>
      <c r="P308" s="345">
        <f t="shared" si="24"/>
        <v>15.950000000000045</v>
      </c>
      <c r="Q308" s="1216">
        <v>0</v>
      </c>
      <c r="R308" s="691">
        <v>0</v>
      </c>
      <c r="S308" s="1149">
        <v>2010</v>
      </c>
      <c r="T308" s="1150">
        <v>0</v>
      </c>
      <c r="U308" s="1151">
        <v>0</v>
      </c>
      <c r="V308" s="1152">
        <v>0</v>
      </c>
      <c r="W308" s="1153">
        <v>0</v>
      </c>
      <c r="X308" s="1154">
        <v>0</v>
      </c>
      <c r="Y308" s="1154">
        <v>0</v>
      </c>
      <c r="Z308" s="1155">
        <v>0</v>
      </c>
      <c r="AA308" s="33" t="s">
        <v>533</v>
      </c>
      <c r="AB308" s="25" t="s">
        <v>16</v>
      </c>
      <c r="AC308" s="857" t="s">
        <v>299</v>
      </c>
      <c r="AD308" s="1348" t="s">
        <v>120</v>
      </c>
      <c r="AE308" s="1348" t="s">
        <v>120</v>
      </c>
      <c r="AF308" s="25">
        <v>1</v>
      </c>
      <c r="AG308" s="368" t="s">
        <v>367</v>
      </c>
    </row>
    <row r="309" spans="1:33" s="3" customFormat="1" ht="25.5" outlineLevel="1" x14ac:dyDescent="0.2">
      <c r="A309" s="1349" t="s">
        <v>540</v>
      </c>
      <c r="B309" s="1349" t="s">
        <v>1033</v>
      </c>
      <c r="C309" s="405" t="s">
        <v>564</v>
      </c>
      <c r="D309" s="1350" t="s">
        <v>150</v>
      </c>
      <c r="E309" s="1350" t="s">
        <v>150</v>
      </c>
      <c r="F309" s="1351" t="s">
        <v>541</v>
      </c>
      <c r="G309" s="1352">
        <f xml:space="preserve"> 1700 - 156.5149</f>
        <v>1543.4850999999999</v>
      </c>
      <c r="H309" s="1193">
        <v>0</v>
      </c>
      <c r="I309" s="1193">
        <v>564.08100000000002</v>
      </c>
      <c r="J309" s="489">
        <v>979.40409999999997</v>
      </c>
      <c r="K309" s="337">
        <v>0</v>
      </c>
      <c r="L309" s="337">
        <v>0</v>
      </c>
      <c r="M309" s="257">
        <v>0</v>
      </c>
      <c r="N309" s="1355">
        <v>1135.9190000000001</v>
      </c>
      <c r="O309" s="1356">
        <v>-156.51490000000001</v>
      </c>
      <c r="P309" s="540">
        <f t="shared" si="24"/>
        <v>979.40410000000008</v>
      </c>
      <c r="Q309" s="1357">
        <v>0</v>
      </c>
      <c r="R309" s="1358">
        <v>0</v>
      </c>
      <c r="S309" s="1195">
        <v>0</v>
      </c>
      <c r="T309" s="1196">
        <v>0</v>
      </c>
      <c r="U309" s="1197">
        <v>0</v>
      </c>
      <c r="V309" s="1198">
        <v>0</v>
      </c>
      <c r="W309" s="696">
        <v>0</v>
      </c>
      <c r="X309" s="685">
        <v>0</v>
      </c>
      <c r="Y309" s="685">
        <v>0</v>
      </c>
      <c r="Z309" s="687">
        <v>0</v>
      </c>
      <c r="AA309" s="405" t="s">
        <v>1160</v>
      </c>
      <c r="AB309" s="405" t="s">
        <v>309</v>
      </c>
      <c r="AC309" s="1102" t="s">
        <v>318</v>
      </c>
      <c r="AD309" s="1359" t="s">
        <v>120</v>
      </c>
      <c r="AE309" s="1359" t="s">
        <v>120</v>
      </c>
      <c r="AF309" s="488">
        <v>1</v>
      </c>
      <c r="AG309" s="1360" t="s">
        <v>388</v>
      </c>
    </row>
    <row r="310" spans="1:33" s="3" customFormat="1" ht="25.5" outlineLevel="1" x14ac:dyDescent="0.2">
      <c r="A310" s="603" t="s">
        <v>568</v>
      </c>
      <c r="B310" s="603" t="s">
        <v>1034</v>
      </c>
      <c r="C310" s="35" t="s">
        <v>864</v>
      </c>
      <c r="D310" s="1361" t="s">
        <v>569</v>
      </c>
      <c r="E310" s="1361" t="s">
        <v>569</v>
      </c>
      <c r="F310" s="1362" t="s">
        <v>570</v>
      </c>
      <c r="G310" s="1363">
        <v>4000</v>
      </c>
      <c r="H310" s="1364">
        <v>0</v>
      </c>
      <c r="I310" s="1364">
        <v>1867.3027200000001</v>
      </c>
      <c r="J310" s="489">
        <v>639.80918399999996</v>
      </c>
      <c r="K310" s="337">
        <v>1492.8880959999999</v>
      </c>
      <c r="L310" s="489">
        <v>0</v>
      </c>
      <c r="M310" s="257"/>
      <c r="N310" s="735">
        <v>2132.6972799999999</v>
      </c>
      <c r="O310" s="761">
        <v>0</v>
      </c>
      <c r="P310" s="346">
        <f t="shared" si="24"/>
        <v>2132.6972799999999</v>
      </c>
      <c r="Q310" s="689">
        <v>0</v>
      </c>
      <c r="R310" s="1367">
        <v>0</v>
      </c>
      <c r="S310" s="694">
        <v>0</v>
      </c>
      <c r="T310" s="1057">
        <f>R310+S310</f>
        <v>0</v>
      </c>
      <c r="U310" s="684">
        <v>0</v>
      </c>
      <c r="V310" s="1353">
        <v>0</v>
      </c>
      <c r="W310" s="696">
        <v>0</v>
      </c>
      <c r="X310" s="685">
        <v>0</v>
      </c>
      <c r="Y310" s="685">
        <v>0</v>
      </c>
      <c r="Z310" s="687">
        <v>0</v>
      </c>
      <c r="AA310" s="35" t="s">
        <v>542</v>
      </c>
      <c r="AB310" s="42" t="s">
        <v>16</v>
      </c>
      <c r="AC310" s="853" t="s">
        <v>239</v>
      </c>
      <c r="AD310" s="1368" t="s">
        <v>120</v>
      </c>
      <c r="AE310" s="1368" t="s">
        <v>120</v>
      </c>
      <c r="AF310" s="42">
        <v>1</v>
      </c>
      <c r="AG310" s="259" t="s">
        <v>372</v>
      </c>
    </row>
    <row r="311" spans="1:33" s="585" customFormat="1" ht="25.5" outlineLevel="1" x14ac:dyDescent="0.2">
      <c r="A311" s="17" t="s">
        <v>571</v>
      </c>
      <c r="B311" s="17" t="s">
        <v>1035</v>
      </c>
      <c r="C311" s="5" t="s">
        <v>864</v>
      </c>
      <c r="D311" s="427" t="s">
        <v>572</v>
      </c>
      <c r="E311" s="427" t="s">
        <v>572</v>
      </c>
      <c r="F311" s="1369" t="s">
        <v>573</v>
      </c>
      <c r="G311" s="652">
        <f xml:space="preserve"> 4100-282.702</f>
        <v>3817.2979999999998</v>
      </c>
      <c r="H311" s="454">
        <v>0</v>
      </c>
      <c r="I311" s="454">
        <v>3817.2979999999998</v>
      </c>
      <c r="J311" s="434">
        <v>0</v>
      </c>
      <c r="K311" s="430">
        <v>0</v>
      </c>
      <c r="L311" s="430">
        <v>0</v>
      </c>
      <c r="M311" s="431">
        <v>0</v>
      </c>
      <c r="N311" s="524">
        <v>0</v>
      </c>
      <c r="O311" s="286">
        <v>0</v>
      </c>
      <c r="P311" s="272">
        <f t="shared" si="24"/>
        <v>0</v>
      </c>
      <c r="Q311" s="1370">
        <v>0</v>
      </c>
      <c r="R311" s="1371">
        <v>0</v>
      </c>
      <c r="S311" s="455">
        <v>0</v>
      </c>
      <c r="T311" s="456">
        <v>0</v>
      </c>
      <c r="U311" s="457">
        <v>0</v>
      </c>
      <c r="V311" s="458">
        <v>0</v>
      </c>
      <c r="W311" s="392">
        <v>0</v>
      </c>
      <c r="X311" s="460">
        <v>0</v>
      </c>
      <c r="Y311" s="460">
        <v>0</v>
      </c>
      <c r="Z311" s="653">
        <v>0</v>
      </c>
      <c r="AA311" s="47" t="s">
        <v>109</v>
      </c>
      <c r="AB311" s="5" t="s">
        <v>123</v>
      </c>
      <c r="AC311" s="509" t="s">
        <v>233</v>
      </c>
      <c r="AD311" s="1278" t="s">
        <v>120</v>
      </c>
      <c r="AE311" s="1278" t="s">
        <v>120</v>
      </c>
      <c r="AF311" s="44">
        <v>1</v>
      </c>
      <c r="AG311" s="426" t="s">
        <v>371</v>
      </c>
    </row>
    <row r="312" spans="1:33" s="3" customFormat="1" ht="25.5" outlineLevel="1" x14ac:dyDescent="0.2">
      <c r="A312" s="1373" t="s">
        <v>574</v>
      </c>
      <c r="B312" s="1373" t="s">
        <v>1104</v>
      </c>
      <c r="C312" s="531" t="s">
        <v>864</v>
      </c>
      <c r="D312" s="532" t="s">
        <v>81</v>
      </c>
      <c r="E312" s="532" t="s">
        <v>81</v>
      </c>
      <c r="F312" s="1374" t="s">
        <v>575</v>
      </c>
      <c r="G312" s="1375">
        <f xml:space="preserve"> 2600-4.66275</f>
        <v>2595.33725</v>
      </c>
      <c r="H312" s="1376">
        <v>0</v>
      </c>
      <c r="I312" s="1376">
        <v>2595.33725</v>
      </c>
      <c r="J312" s="561">
        <v>0</v>
      </c>
      <c r="K312" s="562">
        <v>0</v>
      </c>
      <c r="L312" s="562">
        <v>0</v>
      </c>
      <c r="M312" s="563">
        <v>0</v>
      </c>
      <c r="N312" s="1380">
        <v>4.66275</v>
      </c>
      <c r="O312" s="1381">
        <v>-4.66275</v>
      </c>
      <c r="P312" s="534">
        <v>0</v>
      </c>
      <c r="Q312" s="1382">
        <v>0</v>
      </c>
      <c r="R312" s="1383">
        <v>0</v>
      </c>
      <c r="S312" s="1384">
        <v>0</v>
      </c>
      <c r="T312" s="1385">
        <v>0</v>
      </c>
      <c r="U312" s="1386">
        <v>0</v>
      </c>
      <c r="V312" s="1299">
        <v>0</v>
      </c>
      <c r="W312" s="1377">
        <v>0</v>
      </c>
      <c r="X312" s="1387">
        <v>0</v>
      </c>
      <c r="Y312" s="1387">
        <v>0</v>
      </c>
      <c r="Z312" s="1379">
        <v>0</v>
      </c>
      <c r="AA312" s="1388" t="s">
        <v>1161</v>
      </c>
      <c r="AB312" s="1388" t="s">
        <v>123</v>
      </c>
      <c r="AC312" s="1389" t="s">
        <v>239</v>
      </c>
      <c r="AD312" s="1390" t="s">
        <v>120</v>
      </c>
      <c r="AE312" s="1390" t="s">
        <v>120</v>
      </c>
      <c r="AF312" s="1388">
        <v>1</v>
      </c>
      <c r="AG312" s="538" t="s">
        <v>371</v>
      </c>
    </row>
    <row r="313" spans="1:33" s="3" customFormat="1" ht="25.5" outlineLevel="1" x14ac:dyDescent="0.2">
      <c r="A313" s="1373" t="s">
        <v>576</v>
      </c>
      <c r="B313" s="1373" t="s">
        <v>1036</v>
      </c>
      <c r="C313" s="531" t="s">
        <v>864</v>
      </c>
      <c r="D313" s="1392" t="s">
        <v>103</v>
      </c>
      <c r="E313" s="1392" t="s">
        <v>103</v>
      </c>
      <c r="F313" s="1393" t="s">
        <v>577</v>
      </c>
      <c r="G313" s="1394">
        <f xml:space="preserve"> 5500 - 57.742</f>
        <v>5442.2579999999998</v>
      </c>
      <c r="H313" s="1376">
        <v>0</v>
      </c>
      <c r="I313" s="1376">
        <v>5442.2579999999998</v>
      </c>
      <c r="J313" s="561">
        <v>0</v>
      </c>
      <c r="K313" s="562">
        <v>0</v>
      </c>
      <c r="L313" s="562">
        <v>0</v>
      </c>
      <c r="M313" s="563">
        <v>0</v>
      </c>
      <c r="N313" s="1380">
        <v>57.741999999999997</v>
      </c>
      <c r="O313" s="1381">
        <v>-57.741999999999997</v>
      </c>
      <c r="P313" s="534">
        <f t="shared" si="24"/>
        <v>0</v>
      </c>
      <c r="Q313" s="1382">
        <v>0</v>
      </c>
      <c r="R313" s="1383">
        <v>0</v>
      </c>
      <c r="S313" s="1384">
        <v>0</v>
      </c>
      <c r="T313" s="1385">
        <v>0</v>
      </c>
      <c r="U313" s="1386">
        <v>0</v>
      </c>
      <c r="V313" s="1299">
        <v>0</v>
      </c>
      <c r="W313" s="1377">
        <v>0</v>
      </c>
      <c r="X313" s="1387">
        <v>0</v>
      </c>
      <c r="Y313" s="1387">
        <v>0</v>
      </c>
      <c r="Z313" s="1379">
        <v>0</v>
      </c>
      <c r="AA313" s="1388" t="s">
        <v>1162</v>
      </c>
      <c r="AB313" s="1388" t="s">
        <v>123</v>
      </c>
      <c r="AC313" s="1389" t="s">
        <v>239</v>
      </c>
      <c r="AD313" s="1390" t="s">
        <v>120</v>
      </c>
      <c r="AE313" s="1390" t="s">
        <v>120</v>
      </c>
      <c r="AF313" s="1388">
        <v>1</v>
      </c>
      <c r="AG313" s="538" t="s">
        <v>373</v>
      </c>
    </row>
    <row r="314" spans="1:33" s="3" customFormat="1" ht="25.5" outlineLevel="1" x14ac:dyDescent="0.2">
      <c r="A314" s="1349" t="s">
        <v>578</v>
      </c>
      <c r="B314" s="1349" t="s">
        <v>1037</v>
      </c>
      <c r="C314" s="405" t="s">
        <v>864</v>
      </c>
      <c r="D314" s="1350" t="s">
        <v>579</v>
      </c>
      <c r="E314" s="1350" t="s">
        <v>579</v>
      </c>
      <c r="F314" s="1351" t="s">
        <v>580</v>
      </c>
      <c r="G314" s="1352">
        <f xml:space="preserve"> 2300 - 2.645</f>
        <v>2297.355</v>
      </c>
      <c r="H314" s="1193">
        <v>0</v>
      </c>
      <c r="I314" s="1193">
        <v>1151.46372</v>
      </c>
      <c r="J314" s="2138">
        <f>1145.89124+0.00004</f>
        <v>1145.8912799999998</v>
      </c>
      <c r="K314" s="1395">
        <v>0</v>
      </c>
      <c r="L314" s="1395">
        <v>0</v>
      </c>
      <c r="M314" s="1396">
        <v>0</v>
      </c>
      <c r="N314" s="1355">
        <v>1148.53628</v>
      </c>
      <c r="O314" s="1356">
        <v>-2.645</v>
      </c>
      <c r="P314" s="540">
        <f t="shared" si="24"/>
        <v>1145.8912800000001</v>
      </c>
      <c r="Q314" s="1357">
        <v>0</v>
      </c>
      <c r="R314" s="1358">
        <v>0</v>
      </c>
      <c r="S314" s="1195">
        <v>0</v>
      </c>
      <c r="T314" s="1196">
        <v>0</v>
      </c>
      <c r="U314" s="1197">
        <v>0</v>
      </c>
      <c r="V314" s="1198">
        <v>0</v>
      </c>
      <c r="W314" s="1199">
        <v>0</v>
      </c>
      <c r="X314" s="1200">
        <v>0</v>
      </c>
      <c r="Y314" s="1200">
        <v>0</v>
      </c>
      <c r="Z314" s="1354">
        <v>0</v>
      </c>
      <c r="AA314" s="405" t="s">
        <v>1163</v>
      </c>
      <c r="AB314" s="405" t="s">
        <v>309</v>
      </c>
      <c r="AC314" s="1102" t="s">
        <v>318</v>
      </c>
      <c r="AD314" s="1359" t="s">
        <v>120</v>
      </c>
      <c r="AE314" s="1359" t="s">
        <v>120</v>
      </c>
      <c r="AF314" s="488">
        <v>1</v>
      </c>
      <c r="AG314" s="1360" t="s">
        <v>377</v>
      </c>
    </row>
    <row r="315" spans="1:33" s="583" customFormat="1" ht="25.5" outlineLevel="1" x14ac:dyDescent="0.2">
      <c r="A315" s="17" t="s">
        <v>581</v>
      </c>
      <c r="B315" s="17" t="s">
        <v>1038</v>
      </c>
      <c r="C315" s="5" t="s">
        <v>864</v>
      </c>
      <c r="D315" s="427" t="s">
        <v>579</v>
      </c>
      <c r="E315" s="427" t="s">
        <v>579</v>
      </c>
      <c r="F315" s="1369" t="s">
        <v>582</v>
      </c>
      <c r="G315" s="652">
        <f>300-2.6251</f>
        <v>297.37490000000003</v>
      </c>
      <c r="H315" s="454">
        <v>0</v>
      </c>
      <c r="I315" s="454">
        <v>297.37490000000003</v>
      </c>
      <c r="J315" s="434">
        <v>0</v>
      </c>
      <c r="K315" s="430">
        <v>0</v>
      </c>
      <c r="L315" s="430">
        <v>0</v>
      </c>
      <c r="M315" s="431">
        <v>0</v>
      </c>
      <c r="N315" s="524">
        <v>0</v>
      </c>
      <c r="O315" s="286">
        <v>0</v>
      </c>
      <c r="P315" s="272">
        <f t="shared" si="24"/>
        <v>0</v>
      </c>
      <c r="Q315" s="1370">
        <v>0</v>
      </c>
      <c r="R315" s="1371">
        <v>0</v>
      </c>
      <c r="S315" s="455">
        <v>0</v>
      </c>
      <c r="T315" s="456">
        <v>0</v>
      </c>
      <c r="U315" s="457">
        <v>0</v>
      </c>
      <c r="V315" s="458">
        <v>0</v>
      </c>
      <c r="W315" s="392">
        <v>0</v>
      </c>
      <c r="X315" s="460">
        <v>0</v>
      </c>
      <c r="Y315" s="460">
        <v>0</v>
      </c>
      <c r="Z315" s="653">
        <v>0</v>
      </c>
      <c r="AA315" s="44" t="s">
        <v>109</v>
      </c>
      <c r="AB315" s="5" t="s">
        <v>123</v>
      </c>
      <c r="AC315" s="509" t="s">
        <v>239</v>
      </c>
      <c r="AD315" s="1278" t="s">
        <v>120</v>
      </c>
      <c r="AE315" s="1278" t="s">
        <v>120</v>
      </c>
      <c r="AF315" s="44">
        <v>1</v>
      </c>
      <c r="AG315" s="426" t="s">
        <v>377</v>
      </c>
    </row>
    <row r="316" spans="1:33" s="3" customFormat="1" ht="25.5" outlineLevel="1" x14ac:dyDescent="0.2">
      <c r="A316" s="603" t="s">
        <v>583</v>
      </c>
      <c r="B316" s="603" t="s">
        <v>1110</v>
      </c>
      <c r="C316" s="35" t="s">
        <v>864</v>
      </c>
      <c r="D316" s="1361" t="s">
        <v>531</v>
      </c>
      <c r="E316" s="1361" t="s">
        <v>531</v>
      </c>
      <c r="F316" s="1362" t="s">
        <v>584</v>
      </c>
      <c r="G316" s="1363">
        <v>2200</v>
      </c>
      <c r="H316" s="1364">
        <v>0</v>
      </c>
      <c r="I316" s="1364">
        <v>626.8768</v>
      </c>
      <c r="J316" s="489">
        <v>0</v>
      </c>
      <c r="K316" s="337">
        <v>471.93696</v>
      </c>
      <c r="L316" s="337">
        <v>0</v>
      </c>
      <c r="M316" s="257">
        <v>1101.18624</v>
      </c>
      <c r="N316" s="735">
        <v>1573.1232</v>
      </c>
      <c r="O316" s="761">
        <v>0</v>
      </c>
      <c r="P316" s="346">
        <f t="shared" si="24"/>
        <v>1573.1232</v>
      </c>
      <c r="Q316" s="689">
        <v>0</v>
      </c>
      <c r="R316" s="1367">
        <v>0</v>
      </c>
      <c r="S316" s="694">
        <v>0</v>
      </c>
      <c r="T316" s="682">
        <v>0</v>
      </c>
      <c r="U316" s="684">
        <v>0</v>
      </c>
      <c r="V316" s="1353">
        <v>0</v>
      </c>
      <c r="W316" s="696">
        <v>0</v>
      </c>
      <c r="X316" s="685">
        <v>0</v>
      </c>
      <c r="Y316" s="685">
        <v>0</v>
      </c>
      <c r="Z316" s="1365">
        <v>0</v>
      </c>
      <c r="AA316" s="42" t="s">
        <v>109</v>
      </c>
      <c r="AB316" s="42" t="s">
        <v>16</v>
      </c>
      <c r="AC316" s="853" t="s">
        <v>303</v>
      </c>
      <c r="AD316" s="1368" t="s">
        <v>119</v>
      </c>
      <c r="AE316" s="1368" t="s">
        <v>119</v>
      </c>
      <c r="AF316" s="42">
        <v>1</v>
      </c>
      <c r="AG316" s="259" t="s">
        <v>362</v>
      </c>
    </row>
    <row r="317" spans="1:33" s="3" customFormat="1" ht="30" outlineLevel="1" x14ac:dyDescent="0.2">
      <c r="A317" s="603" t="s">
        <v>585</v>
      </c>
      <c r="B317" s="603" t="s">
        <v>1109</v>
      </c>
      <c r="C317" s="35" t="s">
        <v>864</v>
      </c>
      <c r="D317" s="1361" t="s">
        <v>531</v>
      </c>
      <c r="E317" s="1361" t="s">
        <v>531</v>
      </c>
      <c r="F317" s="1362" t="s">
        <v>586</v>
      </c>
      <c r="G317" s="1363">
        <v>1100</v>
      </c>
      <c r="H317" s="1364">
        <v>0</v>
      </c>
      <c r="I317" s="1364">
        <v>732.59078</v>
      </c>
      <c r="J317" s="489">
        <v>0</v>
      </c>
      <c r="K317" s="337">
        <v>367.40922</v>
      </c>
      <c r="L317" s="337">
        <v>0</v>
      </c>
      <c r="M317" s="257">
        <v>0</v>
      </c>
      <c r="N317" s="735">
        <v>367.40922</v>
      </c>
      <c r="O317" s="761">
        <v>0</v>
      </c>
      <c r="P317" s="346">
        <f t="shared" si="24"/>
        <v>367.40922</v>
      </c>
      <c r="Q317" s="689">
        <v>0</v>
      </c>
      <c r="R317" s="1367">
        <v>0</v>
      </c>
      <c r="S317" s="694">
        <v>0</v>
      </c>
      <c r="T317" s="682">
        <v>0</v>
      </c>
      <c r="U317" s="684">
        <v>0</v>
      </c>
      <c r="V317" s="1353">
        <v>0</v>
      </c>
      <c r="W317" s="696">
        <v>0</v>
      </c>
      <c r="X317" s="685">
        <v>0</v>
      </c>
      <c r="Y317" s="685">
        <v>0</v>
      </c>
      <c r="Z317" s="1365">
        <v>0</v>
      </c>
      <c r="AA317" s="42" t="s">
        <v>109</v>
      </c>
      <c r="AB317" s="42" t="s">
        <v>16</v>
      </c>
      <c r="AC317" s="853" t="s">
        <v>325</v>
      </c>
      <c r="AD317" s="1368" t="s">
        <v>119</v>
      </c>
      <c r="AE317" s="1368" t="s">
        <v>119</v>
      </c>
      <c r="AF317" s="42">
        <v>1</v>
      </c>
      <c r="AG317" s="259" t="s">
        <v>362</v>
      </c>
    </row>
    <row r="318" spans="1:33" s="3" customFormat="1" ht="25.5" outlineLevel="1" x14ac:dyDescent="0.2">
      <c r="A318" s="17" t="s">
        <v>587</v>
      </c>
      <c r="B318" s="17" t="s">
        <v>1039</v>
      </c>
      <c r="C318" s="5" t="s">
        <v>864</v>
      </c>
      <c r="D318" s="427" t="s">
        <v>531</v>
      </c>
      <c r="E318" s="427" t="s">
        <v>531</v>
      </c>
      <c r="F318" s="1369" t="s">
        <v>803</v>
      </c>
      <c r="G318" s="652">
        <f>280-0.0463</f>
        <v>279.95370000000003</v>
      </c>
      <c r="H318" s="454">
        <v>0</v>
      </c>
      <c r="I318" s="454">
        <v>279.95370000000003</v>
      </c>
      <c r="J318" s="434">
        <v>0</v>
      </c>
      <c r="K318" s="1458">
        <v>0</v>
      </c>
      <c r="L318" s="430">
        <v>0</v>
      </c>
      <c r="M318" s="567">
        <v>0</v>
      </c>
      <c r="N318" s="524">
        <v>4.6300000000000001E-2</v>
      </c>
      <c r="O318" s="286">
        <v>-4.6300000000000001E-2</v>
      </c>
      <c r="P318" s="272">
        <f t="shared" si="24"/>
        <v>0</v>
      </c>
      <c r="Q318" s="1370">
        <v>0</v>
      </c>
      <c r="R318" s="1371">
        <v>0</v>
      </c>
      <c r="S318" s="455">
        <v>0</v>
      </c>
      <c r="T318" s="456">
        <v>0</v>
      </c>
      <c r="U318" s="457">
        <v>0</v>
      </c>
      <c r="V318" s="458">
        <v>0</v>
      </c>
      <c r="W318" s="392">
        <v>0</v>
      </c>
      <c r="X318" s="460">
        <v>0</v>
      </c>
      <c r="Y318" s="460">
        <v>0</v>
      </c>
      <c r="Z318" s="653">
        <v>0</v>
      </c>
      <c r="AA318" s="44" t="s">
        <v>109</v>
      </c>
      <c r="AB318" s="44" t="s">
        <v>123</v>
      </c>
      <c r="AC318" s="509" t="s">
        <v>233</v>
      </c>
      <c r="AD318" s="1278" t="s">
        <v>120</v>
      </c>
      <c r="AE318" s="1278" t="s">
        <v>120</v>
      </c>
      <c r="AF318" s="44">
        <v>1</v>
      </c>
      <c r="AG318" s="426" t="s">
        <v>362</v>
      </c>
    </row>
    <row r="319" spans="1:33" s="3" customFormat="1" ht="25.5" outlineLevel="1" x14ac:dyDescent="0.2">
      <c r="A319" s="1373" t="s">
        <v>588</v>
      </c>
      <c r="B319" s="1373" t="s">
        <v>1040</v>
      </c>
      <c r="C319" s="531" t="s">
        <v>864</v>
      </c>
      <c r="D319" s="532" t="s">
        <v>531</v>
      </c>
      <c r="E319" s="532" t="s">
        <v>531</v>
      </c>
      <c r="F319" s="1374" t="s">
        <v>589</v>
      </c>
      <c r="G319" s="1375">
        <f xml:space="preserve"> 100 - 0.64664</f>
        <v>99.353359999999995</v>
      </c>
      <c r="H319" s="1376">
        <v>0</v>
      </c>
      <c r="I319" s="1376">
        <v>99.353359999999995</v>
      </c>
      <c r="J319" s="434">
        <v>0</v>
      </c>
      <c r="K319" s="430">
        <v>0</v>
      </c>
      <c r="L319" s="430">
        <v>0</v>
      </c>
      <c r="M319" s="567">
        <v>0</v>
      </c>
      <c r="N319" s="1380">
        <v>0.64663999999999999</v>
      </c>
      <c r="O319" s="1381">
        <v>-0.64663999999999999</v>
      </c>
      <c r="P319" s="534">
        <f t="shared" si="24"/>
        <v>0</v>
      </c>
      <c r="Q319" s="1382">
        <v>0</v>
      </c>
      <c r="R319" s="1383">
        <v>0</v>
      </c>
      <c r="S319" s="1384">
        <v>0</v>
      </c>
      <c r="T319" s="1385">
        <v>0</v>
      </c>
      <c r="U319" s="1386">
        <v>0</v>
      </c>
      <c r="V319" s="1299">
        <v>0</v>
      </c>
      <c r="W319" s="392">
        <v>0</v>
      </c>
      <c r="X319" s="460">
        <v>0</v>
      </c>
      <c r="Y319" s="460">
        <v>0</v>
      </c>
      <c r="Z319" s="653">
        <v>0</v>
      </c>
      <c r="AA319" s="1388" t="s">
        <v>1164</v>
      </c>
      <c r="AB319" s="1388" t="s">
        <v>123</v>
      </c>
      <c r="AC319" s="1389" t="s">
        <v>233</v>
      </c>
      <c r="AD319" s="1390" t="s">
        <v>120</v>
      </c>
      <c r="AE319" s="1390" t="s">
        <v>120</v>
      </c>
      <c r="AF319" s="1388">
        <v>1</v>
      </c>
      <c r="AG319" s="538" t="s">
        <v>362</v>
      </c>
    </row>
    <row r="320" spans="1:33" s="3" customFormat="1" ht="25.5" outlineLevel="1" x14ac:dyDescent="0.2">
      <c r="A320" s="603" t="s">
        <v>590</v>
      </c>
      <c r="B320" s="603" t="s">
        <v>1108</v>
      </c>
      <c r="C320" s="35" t="s">
        <v>864</v>
      </c>
      <c r="D320" s="1361" t="s">
        <v>531</v>
      </c>
      <c r="E320" s="1361" t="s">
        <v>531</v>
      </c>
      <c r="F320" s="1362" t="s">
        <v>591</v>
      </c>
      <c r="G320" s="1363">
        <v>2500</v>
      </c>
      <c r="H320" s="1364">
        <v>0</v>
      </c>
      <c r="I320" s="1364">
        <v>194.20500000000001</v>
      </c>
      <c r="J320" s="489">
        <v>0</v>
      </c>
      <c r="K320" s="337">
        <v>691.73850000000016</v>
      </c>
      <c r="L320" s="337">
        <v>1614.0564999999999</v>
      </c>
      <c r="M320" s="257"/>
      <c r="N320" s="735">
        <v>2305.7950000000001</v>
      </c>
      <c r="O320" s="761">
        <v>0</v>
      </c>
      <c r="P320" s="346">
        <f t="shared" si="24"/>
        <v>2305.7950000000001</v>
      </c>
      <c r="Q320" s="689">
        <v>0</v>
      </c>
      <c r="R320" s="1367">
        <v>0</v>
      </c>
      <c r="S320" s="694">
        <v>0</v>
      </c>
      <c r="T320" s="682">
        <v>0</v>
      </c>
      <c r="U320" s="684">
        <v>0</v>
      </c>
      <c r="V320" s="1353">
        <v>0</v>
      </c>
      <c r="W320" s="696">
        <v>0</v>
      </c>
      <c r="X320" s="685">
        <v>0</v>
      </c>
      <c r="Y320" s="685">
        <v>0</v>
      </c>
      <c r="Z320" s="1365">
        <v>0</v>
      </c>
      <c r="AA320" s="42" t="s">
        <v>109</v>
      </c>
      <c r="AB320" s="42" t="s">
        <v>16</v>
      </c>
      <c r="AC320" s="853" t="s">
        <v>234</v>
      </c>
      <c r="AD320" s="1368" t="s">
        <v>120</v>
      </c>
      <c r="AE320" s="1368" t="s">
        <v>120</v>
      </c>
      <c r="AF320" s="42">
        <v>1</v>
      </c>
      <c r="AG320" s="259" t="s">
        <v>362</v>
      </c>
    </row>
    <row r="321" spans="1:33" s="3" customFormat="1" ht="25.5" outlineLevel="1" x14ac:dyDescent="0.2">
      <c r="A321" s="603" t="s">
        <v>592</v>
      </c>
      <c r="B321" s="603" t="s">
        <v>112</v>
      </c>
      <c r="C321" s="35" t="s">
        <v>864</v>
      </c>
      <c r="D321" s="1361" t="s">
        <v>593</v>
      </c>
      <c r="E321" s="1361" t="s">
        <v>593</v>
      </c>
      <c r="F321" s="1362" t="s">
        <v>594</v>
      </c>
      <c r="G321" s="1363">
        <v>1000</v>
      </c>
      <c r="H321" s="1364">
        <v>0</v>
      </c>
      <c r="I321" s="1364">
        <v>0</v>
      </c>
      <c r="J321" s="489">
        <v>0</v>
      </c>
      <c r="K321" s="337">
        <v>1000</v>
      </c>
      <c r="L321" s="337">
        <v>0</v>
      </c>
      <c r="M321" s="257">
        <v>0</v>
      </c>
      <c r="N321" s="735">
        <v>1000</v>
      </c>
      <c r="O321" s="761">
        <v>0</v>
      </c>
      <c r="P321" s="346">
        <f t="shared" si="24"/>
        <v>1000</v>
      </c>
      <c r="Q321" s="689">
        <v>0</v>
      </c>
      <c r="R321" s="1367">
        <v>0</v>
      </c>
      <c r="S321" s="694">
        <v>0</v>
      </c>
      <c r="T321" s="682">
        <v>0</v>
      </c>
      <c r="U321" s="684">
        <v>0</v>
      </c>
      <c r="V321" s="1353">
        <v>0</v>
      </c>
      <c r="W321" s="696">
        <v>0</v>
      </c>
      <c r="X321" s="685">
        <v>0</v>
      </c>
      <c r="Y321" s="685">
        <v>0</v>
      </c>
      <c r="Z321" s="1365">
        <v>0</v>
      </c>
      <c r="AA321" s="42" t="s">
        <v>109</v>
      </c>
      <c r="AB321" s="42" t="s">
        <v>11</v>
      </c>
      <c r="AC321" s="853" t="s">
        <v>485</v>
      </c>
      <c r="AD321" s="1368" t="s">
        <v>119</v>
      </c>
      <c r="AE321" s="1368" t="s">
        <v>119</v>
      </c>
      <c r="AF321" s="42">
        <v>1</v>
      </c>
      <c r="AG321" s="259" t="s">
        <v>377</v>
      </c>
    </row>
    <row r="322" spans="1:33" s="3" customFormat="1" ht="25.5" outlineLevel="1" x14ac:dyDescent="0.2">
      <c r="A322" s="1349" t="s">
        <v>595</v>
      </c>
      <c r="B322" s="1349" t="s">
        <v>112</v>
      </c>
      <c r="C322" s="405" t="s">
        <v>864</v>
      </c>
      <c r="D322" s="1350" t="s">
        <v>150</v>
      </c>
      <c r="E322" s="1350" t="s">
        <v>150</v>
      </c>
      <c r="F322" s="1351" t="s">
        <v>596</v>
      </c>
      <c r="G322" s="1352">
        <f xml:space="preserve"> 680 - 159.53544</f>
        <v>520.46456000000001</v>
      </c>
      <c r="H322" s="1193">
        <v>0</v>
      </c>
      <c r="I322" s="1193">
        <v>0</v>
      </c>
      <c r="J322" s="489">
        <v>520.46456000000001</v>
      </c>
      <c r="K322" s="337">
        <v>0</v>
      </c>
      <c r="L322" s="337">
        <v>0</v>
      </c>
      <c r="M322" s="1055">
        <v>0</v>
      </c>
      <c r="N322" s="1355">
        <v>680</v>
      </c>
      <c r="O322" s="1356">
        <v>-159.53543999999999</v>
      </c>
      <c r="P322" s="540">
        <f t="shared" si="24"/>
        <v>520.46456000000001</v>
      </c>
      <c r="Q322" s="1357">
        <v>0</v>
      </c>
      <c r="R322" s="1358">
        <v>0</v>
      </c>
      <c r="S322" s="1195">
        <v>0</v>
      </c>
      <c r="T322" s="1196">
        <v>0</v>
      </c>
      <c r="U322" s="1197">
        <v>0</v>
      </c>
      <c r="V322" s="1198">
        <v>0</v>
      </c>
      <c r="W322" s="696">
        <v>0</v>
      </c>
      <c r="X322" s="685">
        <v>0</v>
      </c>
      <c r="Y322" s="685">
        <v>0</v>
      </c>
      <c r="Z322" s="1365">
        <v>0</v>
      </c>
      <c r="AA322" s="488" t="s">
        <v>1165</v>
      </c>
      <c r="AB322" s="405" t="s">
        <v>309</v>
      </c>
      <c r="AC322" s="1102" t="s">
        <v>318</v>
      </c>
      <c r="AD322" s="1359" t="s">
        <v>120</v>
      </c>
      <c r="AE322" s="1359" t="s">
        <v>120</v>
      </c>
      <c r="AF322" s="488">
        <v>1</v>
      </c>
      <c r="AG322" s="1360" t="s">
        <v>388</v>
      </c>
    </row>
    <row r="323" spans="1:33" s="3" customFormat="1" ht="25.5" outlineLevel="1" x14ac:dyDescent="0.2">
      <c r="A323" s="603" t="s">
        <v>597</v>
      </c>
      <c r="B323" s="603" t="s">
        <v>1041</v>
      </c>
      <c r="C323" s="35" t="s">
        <v>864</v>
      </c>
      <c r="D323" s="1361" t="s">
        <v>598</v>
      </c>
      <c r="E323" s="1361" t="s">
        <v>598</v>
      </c>
      <c r="F323" s="1362" t="s">
        <v>599</v>
      </c>
      <c r="G323" s="1363">
        <v>1600</v>
      </c>
      <c r="H323" s="1364">
        <v>0</v>
      </c>
      <c r="I323" s="1364">
        <v>877.04174999999998</v>
      </c>
      <c r="J323" s="489">
        <v>722.95825000000002</v>
      </c>
      <c r="K323" s="337">
        <v>0</v>
      </c>
      <c r="L323" s="337">
        <v>0</v>
      </c>
      <c r="M323" s="257">
        <v>0</v>
      </c>
      <c r="N323" s="735">
        <v>722.95825000000002</v>
      </c>
      <c r="O323" s="761">
        <v>0</v>
      </c>
      <c r="P323" s="346">
        <f t="shared" si="24"/>
        <v>722.95825000000002</v>
      </c>
      <c r="Q323" s="689">
        <v>0</v>
      </c>
      <c r="R323" s="1367">
        <v>0</v>
      </c>
      <c r="S323" s="694">
        <v>0</v>
      </c>
      <c r="T323" s="682">
        <v>0</v>
      </c>
      <c r="U323" s="684">
        <v>0</v>
      </c>
      <c r="V323" s="1353">
        <v>0</v>
      </c>
      <c r="W323" s="696">
        <v>0</v>
      </c>
      <c r="X323" s="685">
        <v>0</v>
      </c>
      <c r="Y323" s="685">
        <v>0</v>
      </c>
      <c r="Z323" s="687">
        <v>0</v>
      </c>
      <c r="AA323" s="35" t="s">
        <v>1166</v>
      </c>
      <c r="AB323" s="35" t="s">
        <v>309</v>
      </c>
      <c r="AC323" s="853" t="s">
        <v>318</v>
      </c>
      <c r="AD323" s="1368" t="s">
        <v>120</v>
      </c>
      <c r="AE323" s="1368" t="s">
        <v>120</v>
      </c>
      <c r="AF323" s="42">
        <v>1</v>
      </c>
      <c r="AG323" s="368" t="s">
        <v>535</v>
      </c>
    </row>
    <row r="324" spans="1:33" s="3" customFormat="1" ht="25.5" outlineLevel="1" x14ac:dyDescent="0.2">
      <c r="A324" s="603" t="s">
        <v>600</v>
      </c>
      <c r="B324" s="603" t="s">
        <v>112</v>
      </c>
      <c r="C324" s="35" t="s">
        <v>864</v>
      </c>
      <c r="D324" s="1361" t="s">
        <v>598</v>
      </c>
      <c r="E324" s="1361" t="s">
        <v>598</v>
      </c>
      <c r="F324" s="1362" t="s">
        <v>601</v>
      </c>
      <c r="G324" s="1363">
        <v>700</v>
      </c>
      <c r="H324" s="1364">
        <v>0</v>
      </c>
      <c r="I324" s="1364">
        <v>0</v>
      </c>
      <c r="J324" s="489">
        <v>700</v>
      </c>
      <c r="K324" s="337">
        <v>0</v>
      </c>
      <c r="L324" s="337">
        <v>0</v>
      </c>
      <c r="M324" s="257">
        <v>0</v>
      </c>
      <c r="N324" s="735">
        <v>700</v>
      </c>
      <c r="O324" s="761">
        <v>0</v>
      </c>
      <c r="P324" s="346">
        <f t="shared" si="24"/>
        <v>700</v>
      </c>
      <c r="Q324" s="689">
        <v>0</v>
      </c>
      <c r="R324" s="1367">
        <v>0</v>
      </c>
      <c r="S324" s="694">
        <v>0</v>
      </c>
      <c r="T324" s="682">
        <v>0</v>
      </c>
      <c r="U324" s="684">
        <v>0</v>
      </c>
      <c r="V324" s="1353">
        <v>0</v>
      </c>
      <c r="W324" s="696">
        <v>0</v>
      </c>
      <c r="X324" s="685">
        <v>0</v>
      </c>
      <c r="Y324" s="685">
        <v>0</v>
      </c>
      <c r="Z324" s="1365">
        <v>0</v>
      </c>
      <c r="AA324" s="35" t="s">
        <v>1167</v>
      </c>
      <c r="AB324" s="35" t="s">
        <v>309</v>
      </c>
      <c r="AC324" s="853" t="s">
        <v>318</v>
      </c>
      <c r="AD324" s="1368" t="s">
        <v>120</v>
      </c>
      <c r="AE324" s="1368" t="s">
        <v>120</v>
      </c>
      <c r="AF324" s="42">
        <v>1</v>
      </c>
      <c r="AG324" s="368" t="s">
        <v>535</v>
      </c>
    </row>
    <row r="325" spans="1:33" s="3" customFormat="1" ht="30" outlineLevel="1" x14ac:dyDescent="0.2">
      <c r="A325" s="1373" t="s">
        <v>602</v>
      </c>
      <c r="B325" s="1373" t="s">
        <v>1042</v>
      </c>
      <c r="C325" s="531" t="s">
        <v>864</v>
      </c>
      <c r="D325" s="532" t="s">
        <v>598</v>
      </c>
      <c r="E325" s="532" t="s">
        <v>598</v>
      </c>
      <c r="F325" s="1374" t="s">
        <v>603</v>
      </c>
      <c r="G325" s="1375">
        <f xml:space="preserve"> 150 - 6.608</f>
        <v>143.392</v>
      </c>
      <c r="H325" s="1376">
        <v>0</v>
      </c>
      <c r="I325" s="1376">
        <v>143.392</v>
      </c>
      <c r="J325" s="561">
        <v>0</v>
      </c>
      <c r="K325" s="562">
        <v>0</v>
      </c>
      <c r="L325" s="562">
        <v>0</v>
      </c>
      <c r="M325" s="563">
        <v>0</v>
      </c>
      <c r="N325" s="1380">
        <v>6.6079999999999997</v>
      </c>
      <c r="O325" s="1381">
        <v>-6.6079999999999997</v>
      </c>
      <c r="P325" s="534">
        <f t="shared" si="24"/>
        <v>0</v>
      </c>
      <c r="Q325" s="1382">
        <v>0</v>
      </c>
      <c r="R325" s="1383">
        <v>0</v>
      </c>
      <c r="S325" s="1384">
        <v>0</v>
      </c>
      <c r="T325" s="1385">
        <v>0</v>
      </c>
      <c r="U325" s="1386">
        <v>0</v>
      </c>
      <c r="V325" s="1299">
        <v>0</v>
      </c>
      <c r="W325" s="1377">
        <v>0</v>
      </c>
      <c r="X325" s="1387">
        <v>0</v>
      </c>
      <c r="Y325" s="1387">
        <v>0</v>
      </c>
      <c r="Z325" s="1379">
        <v>0</v>
      </c>
      <c r="AA325" s="1388" t="s">
        <v>1168</v>
      </c>
      <c r="AB325" s="1388" t="s">
        <v>123</v>
      </c>
      <c r="AC325" s="1389" t="s">
        <v>233</v>
      </c>
      <c r="AD325" s="1390" t="s">
        <v>120</v>
      </c>
      <c r="AE325" s="1390" t="s">
        <v>120</v>
      </c>
      <c r="AF325" s="1388">
        <v>1</v>
      </c>
      <c r="AG325" s="544" t="s">
        <v>535</v>
      </c>
    </row>
    <row r="326" spans="1:33" s="3" customFormat="1" ht="25.5" outlineLevel="1" x14ac:dyDescent="0.2">
      <c r="A326" s="1349" t="s">
        <v>604</v>
      </c>
      <c r="B326" s="1349" t="s">
        <v>112</v>
      </c>
      <c r="C326" s="405" t="s">
        <v>864</v>
      </c>
      <c r="D326" s="1350" t="s">
        <v>605</v>
      </c>
      <c r="E326" s="1350" t="s">
        <v>605</v>
      </c>
      <c r="F326" s="1351" t="s">
        <v>606</v>
      </c>
      <c r="G326" s="1352">
        <f xml:space="preserve"> 340 - 3.38889</f>
        <v>336.61111</v>
      </c>
      <c r="H326" s="1193">
        <v>0</v>
      </c>
      <c r="I326" s="1193">
        <v>0</v>
      </c>
      <c r="J326" s="2138">
        <v>336.61111</v>
      </c>
      <c r="K326" s="1395">
        <v>0</v>
      </c>
      <c r="L326" s="1395">
        <v>0</v>
      </c>
      <c r="M326" s="1396">
        <v>0</v>
      </c>
      <c r="N326" s="1355">
        <v>340</v>
      </c>
      <c r="O326" s="1356">
        <v>-3.38889</v>
      </c>
      <c r="P326" s="540">
        <f t="shared" si="24"/>
        <v>336.61111</v>
      </c>
      <c r="Q326" s="1357">
        <v>0</v>
      </c>
      <c r="R326" s="1358">
        <v>0</v>
      </c>
      <c r="S326" s="1195">
        <v>0</v>
      </c>
      <c r="T326" s="1196">
        <v>0</v>
      </c>
      <c r="U326" s="1197">
        <v>0</v>
      </c>
      <c r="V326" s="1198">
        <v>0</v>
      </c>
      <c r="W326" s="1199">
        <v>0</v>
      </c>
      <c r="X326" s="1200">
        <v>0</v>
      </c>
      <c r="Y326" s="1200">
        <v>0</v>
      </c>
      <c r="Z326" s="1354">
        <v>0</v>
      </c>
      <c r="AA326" s="488" t="s">
        <v>1169</v>
      </c>
      <c r="AB326" s="405" t="s">
        <v>309</v>
      </c>
      <c r="AC326" s="1102" t="s">
        <v>318</v>
      </c>
      <c r="AD326" s="1359" t="s">
        <v>120</v>
      </c>
      <c r="AE326" s="1359" t="s">
        <v>120</v>
      </c>
      <c r="AF326" s="488">
        <v>1</v>
      </c>
      <c r="AG326" s="1397" t="s">
        <v>378</v>
      </c>
    </row>
    <row r="327" spans="1:33" s="3" customFormat="1" ht="25.5" outlineLevel="1" x14ac:dyDescent="0.2">
      <c r="A327" s="603" t="s">
        <v>607</v>
      </c>
      <c r="B327" s="603" t="s">
        <v>112</v>
      </c>
      <c r="C327" s="35" t="s">
        <v>864</v>
      </c>
      <c r="D327" s="1361" t="s">
        <v>605</v>
      </c>
      <c r="E327" s="1361" t="s">
        <v>605</v>
      </c>
      <c r="F327" s="1362" t="s">
        <v>608</v>
      </c>
      <c r="G327" s="1363">
        <v>518</v>
      </c>
      <c r="H327" s="1364">
        <v>0</v>
      </c>
      <c r="I327" s="1364">
        <v>0</v>
      </c>
      <c r="J327" s="489">
        <v>518</v>
      </c>
      <c r="K327" s="337">
        <v>0</v>
      </c>
      <c r="L327" s="337">
        <v>0</v>
      </c>
      <c r="M327" s="1055">
        <v>0</v>
      </c>
      <c r="N327" s="735">
        <v>518</v>
      </c>
      <c r="O327" s="761">
        <v>0</v>
      </c>
      <c r="P327" s="346">
        <f t="shared" si="24"/>
        <v>518</v>
      </c>
      <c r="Q327" s="689">
        <v>0</v>
      </c>
      <c r="R327" s="1367">
        <v>0</v>
      </c>
      <c r="S327" s="694">
        <v>0</v>
      </c>
      <c r="T327" s="682">
        <v>0</v>
      </c>
      <c r="U327" s="684">
        <v>0</v>
      </c>
      <c r="V327" s="1353">
        <v>0</v>
      </c>
      <c r="W327" s="696">
        <v>0</v>
      </c>
      <c r="X327" s="685">
        <v>0</v>
      </c>
      <c r="Y327" s="685">
        <v>0</v>
      </c>
      <c r="Z327" s="1365">
        <v>0</v>
      </c>
      <c r="AA327" s="42" t="s">
        <v>109</v>
      </c>
      <c r="AB327" s="35" t="s">
        <v>309</v>
      </c>
      <c r="AC327" s="853" t="s">
        <v>318</v>
      </c>
      <c r="AD327" s="1368" t="s">
        <v>120</v>
      </c>
      <c r="AE327" s="1368" t="s">
        <v>120</v>
      </c>
      <c r="AF327" s="42">
        <v>1</v>
      </c>
      <c r="AG327" s="368" t="s">
        <v>378</v>
      </c>
    </row>
    <row r="328" spans="1:33" s="3" customFormat="1" ht="25.5" outlineLevel="1" x14ac:dyDescent="0.2">
      <c r="A328" s="603" t="s">
        <v>609</v>
      </c>
      <c r="B328" s="603" t="s">
        <v>112</v>
      </c>
      <c r="C328" s="35" t="s">
        <v>864</v>
      </c>
      <c r="D328" s="1361" t="s">
        <v>605</v>
      </c>
      <c r="E328" s="1361" t="s">
        <v>605</v>
      </c>
      <c r="F328" s="1362" t="s">
        <v>610</v>
      </c>
      <c r="G328" s="1363">
        <v>847</v>
      </c>
      <c r="H328" s="1364">
        <v>0</v>
      </c>
      <c r="I328" s="1364">
        <v>0</v>
      </c>
      <c r="J328" s="489">
        <v>847</v>
      </c>
      <c r="K328" s="337">
        <v>0</v>
      </c>
      <c r="L328" s="337">
        <v>0</v>
      </c>
      <c r="M328" s="257">
        <v>0</v>
      </c>
      <c r="N328" s="735">
        <v>847</v>
      </c>
      <c r="O328" s="761">
        <v>0</v>
      </c>
      <c r="P328" s="346">
        <f t="shared" si="24"/>
        <v>847</v>
      </c>
      <c r="Q328" s="689">
        <v>0</v>
      </c>
      <c r="R328" s="1367">
        <v>0</v>
      </c>
      <c r="S328" s="694">
        <v>0</v>
      </c>
      <c r="T328" s="682">
        <v>0</v>
      </c>
      <c r="U328" s="684">
        <v>0</v>
      </c>
      <c r="V328" s="1353">
        <v>0</v>
      </c>
      <c r="W328" s="696">
        <v>0</v>
      </c>
      <c r="X328" s="685">
        <v>0</v>
      </c>
      <c r="Y328" s="685">
        <v>0</v>
      </c>
      <c r="Z328" s="1365">
        <v>0</v>
      </c>
      <c r="AA328" s="42" t="s">
        <v>109</v>
      </c>
      <c r="AB328" s="35" t="s">
        <v>309</v>
      </c>
      <c r="AC328" s="853" t="s">
        <v>318</v>
      </c>
      <c r="AD328" s="1368" t="s">
        <v>120</v>
      </c>
      <c r="AE328" s="1368" t="s">
        <v>120</v>
      </c>
      <c r="AF328" s="42">
        <v>1</v>
      </c>
      <c r="AG328" s="259" t="s">
        <v>378</v>
      </c>
    </row>
    <row r="329" spans="1:33" s="3" customFormat="1" ht="30" outlineLevel="1" x14ac:dyDescent="0.2">
      <c r="A329" s="1373" t="s">
        <v>611</v>
      </c>
      <c r="B329" s="1373" t="s">
        <v>1105</v>
      </c>
      <c r="C329" s="531" t="s">
        <v>864</v>
      </c>
      <c r="D329" s="532" t="s">
        <v>78</v>
      </c>
      <c r="E329" s="532" t="s">
        <v>78</v>
      </c>
      <c r="F329" s="1374" t="s">
        <v>612</v>
      </c>
      <c r="G329" s="1375">
        <f xml:space="preserve"> 3400 - 1003.169</f>
        <v>2396.8310000000001</v>
      </c>
      <c r="H329" s="1376">
        <v>0</v>
      </c>
      <c r="I329" s="1376">
        <v>2396.8310000000001</v>
      </c>
      <c r="J329" s="561">
        <v>0</v>
      </c>
      <c r="K329" s="562">
        <v>0</v>
      </c>
      <c r="L329" s="562">
        <v>0</v>
      </c>
      <c r="M329" s="563">
        <v>0</v>
      </c>
      <c r="N329" s="1380">
        <v>1003.169</v>
      </c>
      <c r="O329" s="1381">
        <v>-1003.169</v>
      </c>
      <c r="P329" s="534">
        <f t="shared" si="24"/>
        <v>0</v>
      </c>
      <c r="Q329" s="1382">
        <v>0</v>
      </c>
      <c r="R329" s="1383">
        <v>0</v>
      </c>
      <c r="S329" s="1384">
        <v>0</v>
      </c>
      <c r="T329" s="1385">
        <v>0</v>
      </c>
      <c r="U329" s="1386">
        <v>0</v>
      </c>
      <c r="V329" s="1299">
        <v>0</v>
      </c>
      <c r="W329" s="1377">
        <v>0</v>
      </c>
      <c r="X329" s="1387">
        <v>0</v>
      </c>
      <c r="Y329" s="1387">
        <v>0</v>
      </c>
      <c r="Z329" s="1379">
        <v>0</v>
      </c>
      <c r="AA329" s="531" t="s">
        <v>1170</v>
      </c>
      <c r="AB329" s="1388" t="s">
        <v>123</v>
      </c>
      <c r="AC329" s="1389" t="s">
        <v>239</v>
      </c>
      <c r="AD329" s="1390" t="s">
        <v>120</v>
      </c>
      <c r="AE329" s="1390" t="s">
        <v>120</v>
      </c>
      <c r="AF329" s="1388">
        <v>2</v>
      </c>
      <c r="AG329" s="538" t="s">
        <v>380</v>
      </c>
    </row>
    <row r="330" spans="1:33" s="3" customFormat="1" ht="25.5" outlineLevel="1" x14ac:dyDescent="0.2">
      <c r="A330" s="603" t="s">
        <v>613</v>
      </c>
      <c r="B330" s="603" t="s">
        <v>1103</v>
      </c>
      <c r="C330" s="35" t="s">
        <v>864</v>
      </c>
      <c r="D330" s="1361" t="s">
        <v>82</v>
      </c>
      <c r="E330" s="1361" t="s">
        <v>82</v>
      </c>
      <c r="F330" s="1362" t="s">
        <v>619</v>
      </c>
      <c r="G330" s="1363">
        <v>2000</v>
      </c>
      <c r="H330" s="1364">
        <v>0</v>
      </c>
      <c r="I330" s="1364">
        <v>1000</v>
      </c>
      <c r="J330" s="489">
        <v>1000</v>
      </c>
      <c r="K330" s="337">
        <v>0</v>
      </c>
      <c r="L330" s="337">
        <v>0</v>
      </c>
      <c r="M330" s="257">
        <v>0</v>
      </c>
      <c r="N330" s="735">
        <v>1000</v>
      </c>
      <c r="O330" s="761">
        <v>0</v>
      </c>
      <c r="P330" s="346">
        <f t="shared" si="24"/>
        <v>1000</v>
      </c>
      <c r="Q330" s="689">
        <v>0</v>
      </c>
      <c r="R330" s="1367">
        <v>0</v>
      </c>
      <c r="S330" s="694">
        <v>0</v>
      </c>
      <c r="T330" s="682">
        <v>0</v>
      </c>
      <c r="U330" s="684">
        <v>0</v>
      </c>
      <c r="V330" s="1353">
        <v>0</v>
      </c>
      <c r="W330" s="696">
        <v>0</v>
      </c>
      <c r="X330" s="685">
        <v>0</v>
      </c>
      <c r="Y330" s="685">
        <v>0</v>
      </c>
      <c r="Z330" s="1365">
        <v>0</v>
      </c>
      <c r="AA330" s="35" t="s">
        <v>109</v>
      </c>
      <c r="AB330" s="42" t="s">
        <v>16</v>
      </c>
      <c r="AC330" s="853" t="s">
        <v>522</v>
      </c>
      <c r="AD330" s="1368" t="s">
        <v>120</v>
      </c>
      <c r="AE330" s="1368" t="s">
        <v>120</v>
      </c>
      <c r="AF330" s="42">
        <v>1</v>
      </c>
      <c r="AG330" s="259" t="s">
        <v>381</v>
      </c>
    </row>
    <row r="331" spans="1:33" s="3" customFormat="1" ht="25.5" outlineLevel="1" x14ac:dyDescent="0.2">
      <c r="A331" s="603" t="s">
        <v>614</v>
      </c>
      <c r="B331" s="603" t="s">
        <v>112</v>
      </c>
      <c r="C331" s="35" t="s">
        <v>864</v>
      </c>
      <c r="D331" s="1361" t="s">
        <v>83</v>
      </c>
      <c r="E331" s="1361" t="s">
        <v>83</v>
      </c>
      <c r="F331" s="1399" t="s">
        <v>615</v>
      </c>
      <c r="G331" s="1363">
        <v>1300</v>
      </c>
      <c r="H331" s="1364">
        <v>0</v>
      </c>
      <c r="I331" s="1364">
        <v>0</v>
      </c>
      <c r="J331" s="489">
        <v>0</v>
      </c>
      <c r="K331" s="337">
        <v>1300</v>
      </c>
      <c r="L331" s="337">
        <v>0</v>
      </c>
      <c r="M331" s="257">
        <v>0</v>
      </c>
      <c r="N331" s="735">
        <v>1300</v>
      </c>
      <c r="O331" s="777">
        <v>0</v>
      </c>
      <c r="P331" s="483">
        <f t="shared" si="24"/>
        <v>1300</v>
      </c>
      <c r="Q331" s="689">
        <v>0</v>
      </c>
      <c r="R331" s="1367">
        <v>0</v>
      </c>
      <c r="S331" s="694">
        <v>0</v>
      </c>
      <c r="T331" s="682">
        <v>0</v>
      </c>
      <c r="U331" s="684">
        <v>0</v>
      </c>
      <c r="V331" s="1353">
        <v>0</v>
      </c>
      <c r="W331" s="696">
        <v>0</v>
      </c>
      <c r="X331" s="685">
        <v>0</v>
      </c>
      <c r="Y331" s="685">
        <v>0</v>
      </c>
      <c r="Z331" s="1365">
        <v>0</v>
      </c>
      <c r="AA331" s="35" t="s">
        <v>109</v>
      </c>
      <c r="AB331" s="42" t="s">
        <v>16</v>
      </c>
      <c r="AC331" s="853" t="s">
        <v>493</v>
      </c>
      <c r="AD331" s="1368" t="s">
        <v>120</v>
      </c>
      <c r="AE331" s="1368" t="s">
        <v>120</v>
      </c>
      <c r="AF331" s="42">
        <v>1</v>
      </c>
      <c r="AG331" s="259" t="s">
        <v>368</v>
      </c>
    </row>
    <row r="332" spans="1:33" s="3" customFormat="1" ht="25.5" outlineLevel="1" x14ac:dyDescent="0.2">
      <c r="A332" s="1349" t="s">
        <v>616</v>
      </c>
      <c r="B332" s="1349" t="s">
        <v>112</v>
      </c>
      <c r="C332" s="405" t="s">
        <v>864</v>
      </c>
      <c r="D332" s="1350" t="s">
        <v>83</v>
      </c>
      <c r="E332" s="1350" t="s">
        <v>83</v>
      </c>
      <c r="F332" s="1351" t="s">
        <v>617</v>
      </c>
      <c r="G332" s="1352">
        <f xml:space="preserve"> 1300 - 164.513</f>
        <v>1135.4870000000001</v>
      </c>
      <c r="H332" s="1193">
        <v>0</v>
      </c>
      <c r="I332" s="1193">
        <v>0</v>
      </c>
      <c r="J332" s="2138">
        <v>1135.4870000000001</v>
      </c>
      <c r="K332" s="1395">
        <v>0</v>
      </c>
      <c r="L332" s="1395">
        <v>0</v>
      </c>
      <c r="M332" s="1396">
        <v>0</v>
      </c>
      <c r="N332" s="1355">
        <v>1300</v>
      </c>
      <c r="O332" s="1400">
        <v>-164.51300000000001</v>
      </c>
      <c r="P332" s="1401">
        <f t="shared" si="24"/>
        <v>1135.4870000000001</v>
      </c>
      <c r="Q332" s="1357">
        <v>0</v>
      </c>
      <c r="R332" s="1358">
        <v>0</v>
      </c>
      <c r="S332" s="1195">
        <v>0</v>
      </c>
      <c r="T332" s="1196">
        <v>0</v>
      </c>
      <c r="U332" s="1197">
        <v>0</v>
      </c>
      <c r="V332" s="1198">
        <v>0</v>
      </c>
      <c r="W332" s="1199">
        <v>0</v>
      </c>
      <c r="X332" s="1200">
        <v>0</v>
      </c>
      <c r="Y332" s="1200">
        <v>0</v>
      </c>
      <c r="Z332" s="1354">
        <v>0</v>
      </c>
      <c r="AA332" s="405" t="s">
        <v>1171</v>
      </c>
      <c r="AB332" s="405" t="s">
        <v>309</v>
      </c>
      <c r="AC332" s="1102" t="s">
        <v>318</v>
      </c>
      <c r="AD332" s="1359" t="s">
        <v>120</v>
      </c>
      <c r="AE332" s="1359" t="s">
        <v>120</v>
      </c>
      <c r="AF332" s="488">
        <v>1</v>
      </c>
      <c r="AG332" s="1360" t="s">
        <v>368</v>
      </c>
    </row>
    <row r="333" spans="1:33" s="3" customFormat="1" ht="26.25" outlineLevel="1" thickBot="1" x14ac:dyDescent="0.25">
      <c r="A333" s="1307" t="s">
        <v>618</v>
      </c>
      <c r="B333" s="1307" t="s">
        <v>112</v>
      </c>
      <c r="C333" s="577" t="s">
        <v>864</v>
      </c>
      <c r="D333" s="1402" t="s">
        <v>83</v>
      </c>
      <c r="E333" s="1402" t="s">
        <v>83</v>
      </c>
      <c r="F333" s="1309" t="s">
        <v>804</v>
      </c>
      <c r="G333" s="1310">
        <f xml:space="preserve"> 700 - 140.21315</f>
        <v>559.78684999999996</v>
      </c>
      <c r="H333" s="1311">
        <v>0</v>
      </c>
      <c r="I333" s="1311">
        <v>0</v>
      </c>
      <c r="J333" s="2139">
        <v>559.78684999999996</v>
      </c>
      <c r="K333" s="1318">
        <v>0</v>
      </c>
      <c r="L333" s="1318">
        <v>0</v>
      </c>
      <c r="M333" s="1319">
        <v>0</v>
      </c>
      <c r="N333" s="1320">
        <v>700</v>
      </c>
      <c r="O333" s="1403">
        <v>-140.21315000000001</v>
      </c>
      <c r="P333" s="1404">
        <f t="shared" si="24"/>
        <v>559.78684999999996</v>
      </c>
      <c r="Q333" s="1405">
        <v>0</v>
      </c>
      <c r="R333" s="1406">
        <v>0</v>
      </c>
      <c r="S333" s="1407">
        <v>0</v>
      </c>
      <c r="T333" s="1408">
        <v>0</v>
      </c>
      <c r="U333" s="1409">
        <v>0</v>
      </c>
      <c r="V333" s="1312">
        <v>0</v>
      </c>
      <c r="W333" s="1313">
        <v>0</v>
      </c>
      <c r="X333" s="1322">
        <v>0</v>
      </c>
      <c r="Y333" s="1322">
        <v>0</v>
      </c>
      <c r="Z333" s="1315">
        <v>0</v>
      </c>
      <c r="AA333" s="577" t="s">
        <v>1172</v>
      </c>
      <c r="AB333" s="577" t="s">
        <v>309</v>
      </c>
      <c r="AC333" s="1324" t="s">
        <v>318</v>
      </c>
      <c r="AD333" s="1325" t="s">
        <v>120</v>
      </c>
      <c r="AE333" s="1325" t="s">
        <v>120</v>
      </c>
      <c r="AF333" s="1326">
        <v>1</v>
      </c>
      <c r="AG333" s="1046" t="s">
        <v>368</v>
      </c>
    </row>
    <row r="334" spans="1:33" s="3" customFormat="1" ht="25.5" outlineLevel="1" x14ac:dyDescent="0.2">
      <c r="A334" s="7" t="s">
        <v>805</v>
      </c>
      <c r="B334" s="7" t="s">
        <v>1107</v>
      </c>
      <c r="C334" s="1248" t="s">
        <v>878</v>
      </c>
      <c r="D334" s="1249" t="s">
        <v>572</v>
      </c>
      <c r="E334" s="1249" t="s">
        <v>572</v>
      </c>
      <c r="F334" s="1410" t="s">
        <v>820</v>
      </c>
      <c r="G334" s="1251">
        <v>750</v>
      </c>
      <c r="H334" s="1345">
        <v>0</v>
      </c>
      <c r="I334" s="1411">
        <v>283</v>
      </c>
      <c r="J334" s="241">
        <v>0</v>
      </c>
      <c r="K334" s="237">
        <v>0</v>
      </c>
      <c r="L334" s="237">
        <v>0</v>
      </c>
      <c r="M334" s="1258">
        <v>0</v>
      </c>
      <c r="N334" s="746">
        <v>0</v>
      </c>
      <c r="O334" s="1412">
        <v>0</v>
      </c>
      <c r="P334" s="1413">
        <f t="shared" si="24"/>
        <v>0</v>
      </c>
      <c r="Q334" s="1121">
        <v>0</v>
      </c>
      <c r="R334" s="1122">
        <v>0</v>
      </c>
      <c r="S334" s="389">
        <v>0</v>
      </c>
      <c r="T334" s="390">
        <v>0</v>
      </c>
      <c r="U334" s="1123">
        <v>467</v>
      </c>
      <c r="V334" s="380">
        <v>0</v>
      </c>
      <c r="W334" s="459">
        <v>0</v>
      </c>
      <c r="X334" s="381">
        <v>0</v>
      </c>
      <c r="Y334" s="381">
        <v>0</v>
      </c>
      <c r="Z334" s="379">
        <v>0</v>
      </c>
      <c r="AA334" s="6" t="s">
        <v>806</v>
      </c>
      <c r="AB334" s="47" t="s">
        <v>123</v>
      </c>
      <c r="AC334" s="523" t="s">
        <v>233</v>
      </c>
      <c r="AD334" s="1263" t="s">
        <v>120</v>
      </c>
      <c r="AE334" s="1263" t="s">
        <v>120</v>
      </c>
      <c r="AF334" s="1264">
        <v>1</v>
      </c>
      <c r="AG334" s="8" t="s">
        <v>371</v>
      </c>
    </row>
    <row r="335" spans="1:33" s="3" customFormat="1" ht="25.5" outlineLevel="1" x14ac:dyDescent="0.2">
      <c r="A335" s="1414" t="s">
        <v>807</v>
      </c>
      <c r="B335" s="1414" t="s">
        <v>112</v>
      </c>
      <c r="C335" s="654" t="s">
        <v>878</v>
      </c>
      <c r="D335" s="1415" t="s">
        <v>808</v>
      </c>
      <c r="E335" s="1415" t="s">
        <v>808</v>
      </c>
      <c r="F335" s="4" t="s">
        <v>809</v>
      </c>
      <c r="G335" s="1416">
        <v>10000</v>
      </c>
      <c r="H335" s="1364">
        <v>0</v>
      </c>
      <c r="I335" s="1366">
        <v>0</v>
      </c>
      <c r="J335" s="605">
        <v>0</v>
      </c>
      <c r="K335" s="337"/>
      <c r="L335" s="337">
        <v>3000</v>
      </c>
      <c r="M335" s="1417">
        <v>7000</v>
      </c>
      <c r="N335" s="745">
        <v>10000</v>
      </c>
      <c r="O335" s="783">
        <v>0</v>
      </c>
      <c r="P335" s="346">
        <f t="shared" si="24"/>
        <v>10000</v>
      </c>
      <c r="Q335" s="689">
        <v>0</v>
      </c>
      <c r="R335" s="1367">
        <v>0</v>
      </c>
      <c r="S335" s="694">
        <v>0</v>
      </c>
      <c r="T335" s="682">
        <v>0</v>
      </c>
      <c r="U335" s="684">
        <v>0</v>
      </c>
      <c r="V335" s="1353">
        <v>0</v>
      </c>
      <c r="W335" s="696">
        <v>0</v>
      </c>
      <c r="X335" s="685">
        <v>0</v>
      </c>
      <c r="Y335" s="685">
        <v>0</v>
      </c>
      <c r="Z335" s="1365">
        <v>0</v>
      </c>
      <c r="AA335" s="35" t="s">
        <v>810</v>
      </c>
      <c r="AB335" s="42" t="s">
        <v>11</v>
      </c>
      <c r="AC335" s="853" t="s">
        <v>299</v>
      </c>
      <c r="AD335" s="1368" t="s">
        <v>119</v>
      </c>
      <c r="AE335" s="1368" t="s">
        <v>119</v>
      </c>
      <c r="AF335" s="401">
        <v>1</v>
      </c>
      <c r="AG335" s="259" t="s">
        <v>377</v>
      </c>
    </row>
    <row r="336" spans="1:33" s="3" customFormat="1" ht="25.5" outlineLevel="1" x14ac:dyDescent="0.2">
      <c r="A336" s="603" t="s">
        <v>811</v>
      </c>
      <c r="B336" s="1414" t="s">
        <v>112</v>
      </c>
      <c r="C336" s="654" t="s">
        <v>878</v>
      </c>
      <c r="D336" s="1415" t="s">
        <v>808</v>
      </c>
      <c r="E336" s="1415" t="s">
        <v>808</v>
      </c>
      <c r="F336" s="1418" t="s">
        <v>812</v>
      </c>
      <c r="G336" s="1416">
        <v>12000</v>
      </c>
      <c r="H336" s="1364">
        <v>0</v>
      </c>
      <c r="I336" s="1366">
        <v>0</v>
      </c>
      <c r="J336" s="605">
        <v>0</v>
      </c>
      <c r="K336" s="337"/>
      <c r="L336" s="337">
        <v>3600</v>
      </c>
      <c r="M336" s="1417">
        <v>8400</v>
      </c>
      <c r="N336" s="745">
        <v>12000</v>
      </c>
      <c r="O336" s="783">
        <v>0</v>
      </c>
      <c r="P336" s="346">
        <f t="shared" si="24"/>
        <v>12000</v>
      </c>
      <c r="Q336" s="689">
        <v>0</v>
      </c>
      <c r="R336" s="1367">
        <v>0</v>
      </c>
      <c r="S336" s="694">
        <v>0</v>
      </c>
      <c r="T336" s="682">
        <v>0</v>
      </c>
      <c r="U336" s="684">
        <v>0</v>
      </c>
      <c r="V336" s="1353">
        <v>0</v>
      </c>
      <c r="W336" s="696">
        <v>0</v>
      </c>
      <c r="X336" s="685">
        <v>0</v>
      </c>
      <c r="Y336" s="685">
        <v>0</v>
      </c>
      <c r="Z336" s="1365">
        <v>0</v>
      </c>
      <c r="AA336" s="35" t="s">
        <v>813</v>
      </c>
      <c r="AB336" s="42" t="s">
        <v>11</v>
      </c>
      <c r="AC336" s="853" t="s">
        <v>299</v>
      </c>
      <c r="AD336" s="1368" t="s">
        <v>119</v>
      </c>
      <c r="AE336" s="1368" t="s">
        <v>119</v>
      </c>
      <c r="AF336" s="401">
        <v>1</v>
      </c>
      <c r="AG336" s="259" t="s">
        <v>377</v>
      </c>
    </row>
    <row r="337" spans="1:33" s="3" customFormat="1" ht="25.5" outlineLevel="1" x14ac:dyDescent="0.2">
      <c r="A337" s="603" t="s">
        <v>814</v>
      </c>
      <c r="B337" s="603" t="s">
        <v>112</v>
      </c>
      <c r="C337" s="35" t="s">
        <v>878</v>
      </c>
      <c r="D337" s="1361" t="s">
        <v>808</v>
      </c>
      <c r="E337" s="1361" t="s">
        <v>808</v>
      </c>
      <c r="F337" s="1362" t="s">
        <v>815</v>
      </c>
      <c r="G337" s="1363">
        <v>40000</v>
      </c>
      <c r="H337" s="1364">
        <v>0</v>
      </c>
      <c r="I337" s="1366">
        <v>0</v>
      </c>
      <c r="J337" s="605">
        <v>0</v>
      </c>
      <c r="K337" s="337">
        <v>0</v>
      </c>
      <c r="L337" s="337">
        <v>4500</v>
      </c>
      <c r="M337" s="256">
        <v>10500</v>
      </c>
      <c r="N337" s="735">
        <v>15000</v>
      </c>
      <c r="O337" s="777">
        <v>0</v>
      </c>
      <c r="P337" s="346">
        <f t="shared" si="24"/>
        <v>15000</v>
      </c>
      <c r="Q337" s="689">
        <v>25000</v>
      </c>
      <c r="R337" s="1367">
        <v>0</v>
      </c>
      <c r="S337" s="694">
        <v>0</v>
      </c>
      <c r="T337" s="682">
        <v>0</v>
      </c>
      <c r="U337" s="684">
        <v>0</v>
      </c>
      <c r="V337" s="1353">
        <v>0</v>
      </c>
      <c r="W337" s="696">
        <v>0</v>
      </c>
      <c r="X337" s="685">
        <v>0</v>
      </c>
      <c r="Y337" s="696">
        <v>0</v>
      </c>
      <c r="Z337" s="1419">
        <v>0</v>
      </c>
      <c r="AA337" s="377" t="s">
        <v>816</v>
      </c>
      <c r="AB337" s="42" t="s">
        <v>13</v>
      </c>
      <c r="AC337" s="853" t="s">
        <v>325</v>
      </c>
      <c r="AD337" s="1368" t="s">
        <v>119</v>
      </c>
      <c r="AE337" s="1368" t="s">
        <v>119</v>
      </c>
      <c r="AF337" s="1420">
        <v>1</v>
      </c>
      <c r="AG337" s="259" t="s">
        <v>377</v>
      </c>
    </row>
    <row r="338" spans="1:33" s="3" customFormat="1" ht="25.5" outlineLevel="1" x14ac:dyDescent="0.2">
      <c r="A338" s="603" t="s">
        <v>817</v>
      </c>
      <c r="B338" s="603" t="s">
        <v>112</v>
      </c>
      <c r="C338" s="35" t="s">
        <v>878</v>
      </c>
      <c r="D338" s="1361" t="s">
        <v>818</v>
      </c>
      <c r="E338" s="1361" t="s">
        <v>819</v>
      </c>
      <c r="F338" s="1362" t="s">
        <v>812</v>
      </c>
      <c r="G338" s="1363">
        <v>5000</v>
      </c>
      <c r="H338" s="1364">
        <v>0</v>
      </c>
      <c r="I338" s="1366">
        <v>0</v>
      </c>
      <c r="J338" s="605">
        <v>0</v>
      </c>
      <c r="K338" s="337">
        <v>1500</v>
      </c>
      <c r="L338" s="337">
        <v>0</v>
      </c>
      <c r="M338" s="256">
        <v>3500</v>
      </c>
      <c r="N338" s="735">
        <v>5000</v>
      </c>
      <c r="O338" s="777">
        <v>0</v>
      </c>
      <c r="P338" s="346">
        <f t="shared" si="24"/>
        <v>5000</v>
      </c>
      <c r="Q338" s="689">
        <v>0</v>
      </c>
      <c r="R338" s="1367">
        <v>0</v>
      </c>
      <c r="S338" s="694">
        <v>0</v>
      </c>
      <c r="T338" s="682">
        <v>0</v>
      </c>
      <c r="U338" s="684">
        <v>0</v>
      </c>
      <c r="V338" s="1353">
        <v>0</v>
      </c>
      <c r="W338" s="696">
        <v>0</v>
      </c>
      <c r="X338" s="685">
        <v>0</v>
      </c>
      <c r="Y338" s="696">
        <v>0</v>
      </c>
      <c r="Z338" s="1419">
        <v>0</v>
      </c>
      <c r="AA338" s="35" t="s">
        <v>813</v>
      </c>
      <c r="AB338" s="42" t="s">
        <v>13</v>
      </c>
      <c r="AC338" s="853" t="s">
        <v>522</v>
      </c>
      <c r="AD338" s="1368" t="s">
        <v>119</v>
      </c>
      <c r="AE338" s="1368" t="s">
        <v>119</v>
      </c>
      <c r="AF338" s="1420">
        <v>1</v>
      </c>
      <c r="AG338" s="259" t="s">
        <v>375</v>
      </c>
    </row>
    <row r="339" spans="1:33" s="3" customFormat="1" ht="25.5" outlineLevel="1" x14ac:dyDescent="0.2">
      <c r="A339" s="1421" t="s">
        <v>1173</v>
      </c>
      <c r="B339" s="1421" t="s">
        <v>112</v>
      </c>
      <c r="C339" s="61"/>
      <c r="D339" s="1422" t="s">
        <v>150</v>
      </c>
      <c r="E339" s="1422" t="s">
        <v>150</v>
      </c>
      <c r="F339" s="1423" t="s">
        <v>812</v>
      </c>
      <c r="G339" s="1424">
        <v>12000</v>
      </c>
      <c r="H339" s="1425">
        <v>0</v>
      </c>
      <c r="I339" s="1430">
        <v>0</v>
      </c>
      <c r="J339" s="1431">
        <v>0</v>
      </c>
      <c r="K339" s="1432"/>
      <c r="L339" s="1432">
        <v>4000</v>
      </c>
      <c r="M339" s="176">
        <v>2000</v>
      </c>
      <c r="N339" s="1398">
        <v>0</v>
      </c>
      <c r="O339" s="1433">
        <v>6000</v>
      </c>
      <c r="P339" s="1434">
        <f t="shared" si="24"/>
        <v>6000</v>
      </c>
      <c r="Q339" s="103">
        <v>6000</v>
      </c>
      <c r="R339" s="335">
        <v>0</v>
      </c>
      <c r="S339" s="1437">
        <v>0</v>
      </c>
      <c r="T339" s="1438">
        <v>0</v>
      </c>
      <c r="U339" s="102">
        <v>0</v>
      </c>
      <c r="V339" s="1426">
        <v>0</v>
      </c>
      <c r="W339" s="1427">
        <v>0</v>
      </c>
      <c r="X339" s="1439">
        <v>0</v>
      </c>
      <c r="Y339" s="1427">
        <v>0</v>
      </c>
      <c r="Z339" s="1428">
        <v>0</v>
      </c>
      <c r="AA339" s="61" t="s">
        <v>813</v>
      </c>
      <c r="AB339" s="395" t="s">
        <v>13</v>
      </c>
      <c r="AC339" s="1440" t="s">
        <v>485</v>
      </c>
      <c r="AD339" s="1441" t="s">
        <v>119</v>
      </c>
      <c r="AE339" s="1441" t="s">
        <v>119</v>
      </c>
      <c r="AF339" s="1442">
        <v>1</v>
      </c>
      <c r="AG339" s="1443" t="s">
        <v>388</v>
      </c>
    </row>
    <row r="340" spans="1:33" s="3" customFormat="1" ht="30" outlineLevel="1" x14ac:dyDescent="0.2">
      <c r="A340" s="1421" t="s">
        <v>1174</v>
      </c>
      <c r="B340" s="1421" t="s">
        <v>112</v>
      </c>
      <c r="C340" s="61"/>
      <c r="D340" s="1422" t="s">
        <v>84</v>
      </c>
      <c r="E340" s="1422" t="s">
        <v>84</v>
      </c>
      <c r="F340" s="1423" t="s">
        <v>1175</v>
      </c>
      <c r="G340" s="1424">
        <v>600</v>
      </c>
      <c r="H340" s="1425">
        <v>0</v>
      </c>
      <c r="I340" s="1430">
        <v>0</v>
      </c>
      <c r="J340" s="1431">
        <v>600</v>
      </c>
      <c r="K340" s="1432">
        <v>0</v>
      </c>
      <c r="L340" s="1432">
        <v>0</v>
      </c>
      <c r="M340" s="176">
        <v>0</v>
      </c>
      <c r="N340" s="1398">
        <v>0</v>
      </c>
      <c r="O340" s="1433">
        <v>600</v>
      </c>
      <c r="P340" s="1434">
        <f t="shared" si="24"/>
        <v>600</v>
      </c>
      <c r="Q340" s="103">
        <v>0</v>
      </c>
      <c r="R340" s="335">
        <v>0</v>
      </c>
      <c r="S340" s="1437">
        <v>0</v>
      </c>
      <c r="T340" s="1438">
        <v>0</v>
      </c>
      <c r="U340" s="102">
        <v>0</v>
      </c>
      <c r="V340" s="1426">
        <v>0</v>
      </c>
      <c r="W340" s="1427">
        <v>0</v>
      </c>
      <c r="X340" s="1439">
        <v>0</v>
      </c>
      <c r="Y340" s="1427">
        <v>0</v>
      </c>
      <c r="Z340" s="1428">
        <v>0</v>
      </c>
      <c r="AA340" s="61" t="s">
        <v>813</v>
      </c>
      <c r="AB340" s="395" t="s">
        <v>16</v>
      </c>
      <c r="AC340" s="1440" t="s">
        <v>325</v>
      </c>
      <c r="AD340" s="1441" t="s">
        <v>120</v>
      </c>
      <c r="AE340" s="1441" t="s">
        <v>120</v>
      </c>
      <c r="AF340" s="1442">
        <v>1</v>
      </c>
      <c r="AG340" s="1443" t="s">
        <v>378</v>
      </c>
    </row>
    <row r="341" spans="1:33" s="3" customFormat="1" ht="30" outlineLevel="1" x14ac:dyDescent="0.2">
      <c r="A341" s="1421" t="s">
        <v>1176</v>
      </c>
      <c r="B341" s="1421" t="s">
        <v>112</v>
      </c>
      <c r="C341" s="61"/>
      <c r="D341" s="1422" t="s">
        <v>83</v>
      </c>
      <c r="E341" s="1422" t="s">
        <v>83</v>
      </c>
      <c r="F341" s="1423" t="s">
        <v>1177</v>
      </c>
      <c r="G341" s="1424">
        <v>5000</v>
      </c>
      <c r="H341" s="1425">
        <v>0</v>
      </c>
      <c r="I341" s="1446">
        <v>0</v>
      </c>
      <c r="J341" s="1447">
        <v>0</v>
      </c>
      <c r="K341" s="1432">
        <v>0</v>
      </c>
      <c r="L341" s="1432">
        <v>2500</v>
      </c>
      <c r="M341" s="176">
        <v>2500</v>
      </c>
      <c r="N341" s="1398">
        <v>0</v>
      </c>
      <c r="O341" s="1433">
        <v>5000</v>
      </c>
      <c r="P341" s="1434">
        <f t="shared" si="24"/>
        <v>5000</v>
      </c>
      <c r="Q341" s="103">
        <v>0</v>
      </c>
      <c r="R341" s="335">
        <v>0</v>
      </c>
      <c r="S341" s="1448">
        <v>0</v>
      </c>
      <c r="T341" s="334">
        <v>0</v>
      </c>
      <c r="U341" s="102">
        <v>0</v>
      </c>
      <c r="V341" s="1444">
        <v>0</v>
      </c>
      <c r="W341" s="1445">
        <v>0</v>
      </c>
      <c r="X341" s="1449">
        <v>0</v>
      </c>
      <c r="Y341" s="1445">
        <v>0</v>
      </c>
      <c r="Z341" s="1450">
        <v>0</v>
      </c>
      <c r="AA341" s="61" t="s">
        <v>1178</v>
      </c>
      <c r="AB341" s="395" t="s">
        <v>13</v>
      </c>
      <c r="AC341" s="1440" t="s">
        <v>493</v>
      </c>
      <c r="AD341" s="1441" t="s">
        <v>119</v>
      </c>
      <c r="AE341" s="1441" t="s">
        <v>119</v>
      </c>
      <c r="AF341" s="1442">
        <v>1</v>
      </c>
      <c r="AG341" s="1443" t="s">
        <v>368</v>
      </c>
    </row>
    <row r="342" spans="1:33" s="3" customFormat="1" outlineLevel="1" x14ac:dyDescent="0.2">
      <c r="A342" s="1421" t="s">
        <v>1179</v>
      </c>
      <c r="B342" s="1421" t="s">
        <v>112</v>
      </c>
      <c r="C342" s="61"/>
      <c r="D342" s="1422" t="s">
        <v>83</v>
      </c>
      <c r="E342" s="1422" t="s">
        <v>83</v>
      </c>
      <c r="F342" s="1423" t="s">
        <v>1180</v>
      </c>
      <c r="G342" s="1424">
        <v>1000</v>
      </c>
      <c r="H342" s="1425">
        <v>0</v>
      </c>
      <c r="I342" s="1446">
        <v>0</v>
      </c>
      <c r="J342" s="1447">
        <v>0</v>
      </c>
      <c r="K342" s="1432">
        <v>1000</v>
      </c>
      <c r="L342" s="1432">
        <v>0</v>
      </c>
      <c r="M342" s="176">
        <v>0</v>
      </c>
      <c r="N342" s="1398">
        <v>0</v>
      </c>
      <c r="O342" s="1433">
        <v>1000</v>
      </c>
      <c r="P342" s="1434">
        <f t="shared" si="24"/>
        <v>1000</v>
      </c>
      <c r="Q342" s="103">
        <v>0</v>
      </c>
      <c r="R342" s="335">
        <v>0</v>
      </c>
      <c r="S342" s="1448">
        <v>0</v>
      </c>
      <c r="T342" s="334">
        <v>0</v>
      </c>
      <c r="U342" s="102">
        <v>0</v>
      </c>
      <c r="V342" s="1444">
        <v>0</v>
      </c>
      <c r="W342" s="1445">
        <v>0</v>
      </c>
      <c r="X342" s="1449">
        <v>0</v>
      </c>
      <c r="Y342" s="1445">
        <v>0</v>
      </c>
      <c r="Z342" s="1450">
        <v>0</v>
      </c>
      <c r="AA342" s="61" t="s">
        <v>1181</v>
      </c>
      <c r="AB342" s="395" t="s">
        <v>13</v>
      </c>
      <c r="AC342" s="1440" t="s">
        <v>493</v>
      </c>
      <c r="AD342" s="1441" t="s">
        <v>119</v>
      </c>
      <c r="AE342" s="1441" t="s">
        <v>119</v>
      </c>
      <c r="AF342" s="1442">
        <v>1</v>
      </c>
      <c r="AG342" s="1443" t="s">
        <v>368</v>
      </c>
    </row>
    <row r="343" spans="1:33" s="3" customFormat="1" ht="30" outlineLevel="1" x14ac:dyDescent="0.2">
      <c r="A343" s="1421" t="s">
        <v>1182</v>
      </c>
      <c r="B343" s="1421" t="s">
        <v>112</v>
      </c>
      <c r="C343" s="61"/>
      <c r="D343" s="1422" t="s">
        <v>593</v>
      </c>
      <c r="E343" s="1422" t="s">
        <v>593</v>
      </c>
      <c r="F343" s="1423" t="s">
        <v>1177</v>
      </c>
      <c r="G343" s="1424">
        <v>3500</v>
      </c>
      <c r="H343" s="1425">
        <v>0</v>
      </c>
      <c r="I343" s="1446">
        <v>0</v>
      </c>
      <c r="J343" s="1447">
        <v>0</v>
      </c>
      <c r="K343" s="1432">
        <v>0</v>
      </c>
      <c r="L343" s="1432">
        <v>1000</v>
      </c>
      <c r="M343" s="176">
        <v>2500</v>
      </c>
      <c r="N343" s="1398">
        <v>0</v>
      </c>
      <c r="O343" s="1433">
        <v>3500</v>
      </c>
      <c r="P343" s="1434">
        <f t="shared" si="24"/>
        <v>3500</v>
      </c>
      <c r="Q343" s="103">
        <v>0</v>
      </c>
      <c r="R343" s="335">
        <v>0</v>
      </c>
      <c r="S343" s="1448">
        <v>0</v>
      </c>
      <c r="T343" s="334">
        <v>0</v>
      </c>
      <c r="U343" s="102">
        <v>0</v>
      </c>
      <c r="V343" s="1444">
        <v>0</v>
      </c>
      <c r="W343" s="1445">
        <v>0</v>
      </c>
      <c r="X343" s="1449">
        <v>0</v>
      </c>
      <c r="Y343" s="1445">
        <v>0</v>
      </c>
      <c r="Z343" s="1450">
        <v>0</v>
      </c>
      <c r="AA343" s="61" t="s">
        <v>1178</v>
      </c>
      <c r="AB343" s="395" t="s">
        <v>13</v>
      </c>
      <c r="AC343" s="1440" t="s">
        <v>325</v>
      </c>
      <c r="AD343" s="1441" t="s">
        <v>119</v>
      </c>
      <c r="AE343" s="1441" t="s">
        <v>119</v>
      </c>
      <c r="AF343" s="1442">
        <v>1</v>
      </c>
      <c r="AG343" s="1443" t="s">
        <v>377</v>
      </c>
    </row>
    <row r="344" spans="1:33" s="3" customFormat="1" outlineLevel="1" x14ac:dyDescent="0.2">
      <c r="A344" s="1421" t="s">
        <v>1183</v>
      </c>
      <c r="B344" s="1421" t="s">
        <v>112</v>
      </c>
      <c r="C344" s="61"/>
      <c r="D344" s="1422" t="s">
        <v>593</v>
      </c>
      <c r="E344" s="1422" t="s">
        <v>593</v>
      </c>
      <c r="F344" s="1423" t="s">
        <v>1184</v>
      </c>
      <c r="G344" s="1424">
        <v>1050</v>
      </c>
      <c r="H344" s="1425">
        <v>0</v>
      </c>
      <c r="I344" s="1446">
        <v>0</v>
      </c>
      <c r="J344" s="1447">
        <v>0</v>
      </c>
      <c r="K344" s="1432">
        <v>0</v>
      </c>
      <c r="L344" s="1432">
        <v>1050</v>
      </c>
      <c r="M344" s="176">
        <v>0</v>
      </c>
      <c r="N344" s="1398">
        <v>0</v>
      </c>
      <c r="O344" s="1433">
        <v>1050</v>
      </c>
      <c r="P344" s="1434">
        <f t="shared" si="24"/>
        <v>1050</v>
      </c>
      <c r="Q344" s="103">
        <v>0</v>
      </c>
      <c r="R344" s="335">
        <v>0</v>
      </c>
      <c r="S344" s="1448">
        <v>0</v>
      </c>
      <c r="T344" s="334">
        <v>0</v>
      </c>
      <c r="U344" s="102">
        <v>0</v>
      </c>
      <c r="V344" s="1444">
        <v>0</v>
      </c>
      <c r="W344" s="1445">
        <v>0</v>
      </c>
      <c r="X344" s="1449">
        <v>0</v>
      </c>
      <c r="Y344" s="1445">
        <v>0</v>
      </c>
      <c r="Z344" s="1450">
        <v>0</v>
      </c>
      <c r="AA344" s="61" t="s">
        <v>1185</v>
      </c>
      <c r="AB344" s="395" t="s">
        <v>13</v>
      </c>
      <c r="AC344" s="1440" t="s">
        <v>325</v>
      </c>
      <c r="AD344" s="1441" t="s">
        <v>119</v>
      </c>
      <c r="AE344" s="1441" t="s">
        <v>119</v>
      </c>
      <c r="AF344" s="1442">
        <v>1</v>
      </c>
      <c r="AG344" s="1443" t="s">
        <v>377</v>
      </c>
    </row>
    <row r="345" spans="1:33" s="3" customFormat="1" outlineLevel="1" x14ac:dyDescent="0.2">
      <c r="A345" s="1421" t="s">
        <v>1186</v>
      </c>
      <c r="B345" s="1421" t="s">
        <v>112</v>
      </c>
      <c r="C345" s="61"/>
      <c r="D345" s="1422" t="s">
        <v>593</v>
      </c>
      <c r="E345" s="1422" t="s">
        <v>593</v>
      </c>
      <c r="F345" s="1423" t="s">
        <v>1187</v>
      </c>
      <c r="G345" s="1424">
        <v>800</v>
      </c>
      <c r="H345" s="1425">
        <v>0</v>
      </c>
      <c r="I345" s="1446">
        <v>0</v>
      </c>
      <c r="J345" s="1447">
        <v>0</v>
      </c>
      <c r="K345" s="1432">
        <v>0</v>
      </c>
      <c r="L345" s="1432">
        <v>800</v>
      </c>
      <c r="M345" s="176">
        <v>0</v>
      </c>
      <c r="N345" s="1398">
        <v>0</v>
      </c>
      <c r="O345" s="1433">
        <v>800</v>
      </c>
      <c r="P345" s="1434">
        <f t="shared" si="24"/>
        <v>800</v>
      </c>
      <c r="Q345" s="103">
        <v>0</v>
      </c>
      <c r="R345" s="335">
        <v>0</v>
      </c>
      <c r="S345" s="1448">
        <v>0</v>
      </c>
      <c r="T345" s="334">
        <v>0</v>
      </c>
      <c r="U345" s="102">
        <v>0</v>
      </c>
      <c r="V345" s="1444">
        <v>0</v>
      </c>
      <c r="W345" s="1445">
        <v>0</v>
      </c>
      <c r="X345" s="1449">
        <v>0</v>
      </c>
      <c r="Y345" s="1445">
        <v>0</v>
      </c>
      <c r="Z345" s="1450">
        <v>0</v>
      </c>
      <c r="AA345" s="61" t="s">
        <v>1188</v>
      </c>
      <c r="AB345" s="395" t="s">
        <v>13</v>
      </c>
      <c r="AC345" s="1440" t="s">
        <v>325</v>
      </c>
      <c r="AD345" s="1441" t="s">
        <v>119</v>
      </c>
      <c r="AE345" s="1441" t="s">
        <v>119</v>
      </c>
      <c r="AF345" s="1442">
        <v>1</v>
      </c>
      <c r="AG345" s="1443" t="s">
        <v>377</v>
      </c>
    </row>
    <row r="346" spans="1:33" s="3" customFormat="1" outlineLevel="1" x14ac:dyDescent="0.2">
      <c r="A346" s="1421" t="s">
        <v>1189</v>
      </c>
      <c r="B346" s="1421" t="s">
        <v>112</v>
      </c>
      <c r="C346" s="61"/>
      <c r="D346" s="1422" t="s">
        <v>103</v>
      </c>
      <c r="E346" s="1422" t="s">
        <v>103</v>
      </c>
      <c r="F346" s="1423" t="s">
        <v>1190</v>
      </c>
      <c r="G346" s="1424">
        <v>1150</v>
      </c>
      <c r="H346" s="1425">
        <v>0</v>
      </c>
      <c r="I346" s="1430">
        <v>0</v>
      </c>
      <c r="J346" s="1431">
        <v>0</v>
      </c>
      <c r="K346" s="1432">
        <v>0</v>
      </c>
      <c r="L346" s="1432">
        <v>1150</v>
      </c>
      <c r="M346" s="176">
        <v>0</v>
      </c>
      <c r="N346" s="1398">
        <v>0</v>
      </c>
      <c r="O346" s="1433">
        <v>1150</v>
      </c>
      <c r="P346" s="1434">
        <f t="shared" si="24"/>
        <v>1150</v>
      </c>
      <c r="Q346" s="103">
        <v>0</v>
      </c>
      <c r="R346" s="335">
        <v>0</v>
      </c>
      <c r="S346" s="1448">
        <v>0</v>
      </c>
      <c r="T346" s="334">
        <v>0</v>
      </c>
      <c r="U346" s="102">
        <v>0</v>
      </c>
      <c r="V346" s="1444">
        <v>0</v>
      </c>
      <c r="W346" s="1445">
        <v>0</v>
      </c>
      <c r="X346" s="1449">
        <v>0</v>
      </c>
      <c r="Y346" s="1445">
        <v>0</v>
      </c>
      <c r="Z346" s="1450">
        <v>0</v>
      </c>
      <c r="AA346" s="130" t="s">
        <v>1191</v>
      </c>
      <c r="AB346" s="395" t="s">
        <v>13</v>
      </c>
      <c r="AC346" s="1440" t="s">
        <v>325</v>
      </c>
      <c r="AD346" s="1441" t="s">
        <v>119</v>
      </c>
      <c r="AE346" s="1441" t="s">
        <v>119</v>
      </c>
      <c r="AF346" s="1442">
        <v>1</v>
      </c>
      <c r="AG346" s="1443" t="s">
        <v>373</v>
      </c>
    </row>
    <row r="347" spans="1:33" s="3" customFormat="1" outlineLevel="1" x14ac:dyDescent="0.2">
      <c r="A347" s="1421" t="s">
        <v>1192</v>
      </c>
      <c r="B347" s="1421" t="s">
        <v>112</v>
      </c>
      <c r="C347" s="61"/>
      <c r="D347" s="1422" t="s">
        <v>1224</v>
      </c>
      <c r="E347" s="1422" t="s">
        <v>1224</v>
      </c>
      <c r="F347" s="1423" t="s">
        <v>1193</v>
      </c>
      <c r="G347" s="1424">
        <v>600</v>
      </c>
      <c r="H347" s="1425">
        <v>0</v>
      </c>
      <c r="I347" s="1430">
        <v>0</v>
      </c>
      <c r="J347" s="1431">
        <v>0</v>
      </c>
      <c r="K347" s="1432">
        <v>0</v>
      </c>
      <c r="L347" s="1432">
        <v>600</v>
      </c>
      <c r="M347" s="176">
        <v>0</v>
      </c>
      <c r="N347" s="1398">
        <v>0</v>
      </c>
      <c r="O347" s="1433">
        <v>600</v>
      </c>
      <c r="P347" s="1434">
        <f t="shared" si="24"/>
        <v>600</v>
      </c>
      <c r="Q347" s="103">
        <v>0</v>
      </c>
      <c r="R347" s="335">
        <v>0</v>
      </c>
      <c r="S347" s="1437">
        <v>0</v>
      </c>
      <c r="T347" s="1438">
        <v>0</v>
      </c>
      <c r="U347" s="102">
        <v>0</v>
      </c>
      <c r="V347" s="1426">
        <v>0</v>
      </c>
      <c r="W347" s="1427">
        <v>0</v>
      </c>
      <c r="X347" s="1439">
        <v>0</v>
      </c>
      <c r="Y347" s="1427">
        <v>0</v>
      </c>
      <c r="Z347" s="1428">
        <v>0</v>
      </c>
      <c r="AA347" s="130" t="s">
        <v>1194</v>
      </c>
      <c r="AB347" s="395" t="s">
        <v>13</v>
      </c>
      <c r="AC347" s="1440" t="s">
        <v>493</v>
      </c>
      <c r="AD347" s="1441" t="s">
        <v>119</v>
      </c>
      <c r="AE347" s="1441" t="s">
        <v>119</v>
      </c>
      <c r="AF347" s="1442">
        <v>1</v>
      </c>
      <c r="AG347" s="1443" t="s">
        <v>380</v>
      </c>
    </row>
    <row r="348" spans="1:33" s="3" customFormat="1" outlineLevel="1" x14ac:dyDescent="0.2">
      <c r="A348" s="1421" t="s">
        <v>1195</v>
      </c>
      <c r="B348" s="1421" t="s">
        <v>112</v>
      </c>
      <c r="C348" s="61"/>
      <c r="D348" s="1422" t="s">
        <v>1224</v>
      </c>
      <c r="E348" s="1422" t="s">
        <v>1224</v>
      </c>
      <c r="F348" s="1423" t="s">
        <v>1196</v>
      </c>
      <c r="G348" s="1424">
        <v>2000</v>
      </c>
      <c r="H348" s="1425">
        <v>0</v>
      </c>
      <c r="I348" s="1430">
        <v>0</v>
      </c>
      <c r="J348" s="1431">
        <v>0</v>
      </c>
      <c r="K348" s="1432">
        <v>0</v>
      </c>
      <c r="L348" s="1432">
        <v>1000</v>
      </c>
      <c r="M348" s="176">
        <v>1000</v>
      </c>
      <c r="N348" s="1398">
        <v>0</v>
      </c>
      <c r="O348" s="1433">
        <v>2000</v>
      </c>
      <c r="P348" s="1434">
        <f t="shared" si="24"/>
        <v>2000</v>
      </c>
      <c r="Q348" s="103">
        <v>0</v>
      </c>
      <c r="R348" s="335">
        <v>0</v>
      </c>
      <c r="S348" s="1437">
        <v>0</v>
      </c>
      <c r="T348" s="1438">
        <v>0</v>
      </c>
      <c r="U348" s="102">
        <v>0</v>
      </c>
      <c r="V348" s="1426">
        <v>0</v>
      </c>
      <c r="W348" s="1427">
        <v>0</v>
      </c>
      <c r="X348" s="1439">
        <v>0</v>
      </c>
      <c r="Y348" s="1427">
        <v>0</v>
      </c>
      <c r="Z348" s="1428">
        <v>0</v>
      </c>
      <c r="AA348" s="130" t="s">
        <v>1197</v>
      </c>
      <c r="AB348" s="395" t="s">
        <v>13</v>
      </c>
      <c r="AC348" s="1440" t="s">
        <v>485</v>
      </c>
      <c r="AD348" s="1441" t="s">
        <v>119</v>
      </c>
      <c r="AE348" s="1441" t="s">
        <v>119</v>
      </c>
      <c r="AF348" s="1442">
        <v>1</v>
      </c>
      <c r="AG348" s="1443" t="s">
        <v>380</v>
      </c>
    </row>
    <row r="349" spans="1:33" s="3" customFormat="1" outlineLevel="1" x14ac:dyDescent="0.2">
      <c r="A349" s="1421" t="s">
        <v>1198</v>
      </c>
      <c r="B349" s="1421" t="s">
        <v>112</v>
      </c>
      <c r="C349" s="61"/>
      <c r="D349" s="1422" t="s">
        <v>1224</v>
      </c>
      <c r="E349" s="1422" t="s">
        <v>1224</v>
      </c>
      <c r="F349" s="1423" t="s">
        <v>1199</v>
      </c>
      <c r="G349" s="1424">
        <v>5000</v>
      </c>
      <c r="H349" s="1425">
        <v>0</v>
      </c>
      <c r="I349" s="1430">
        <v>0</v>
      </c>
      <c r="J349" s="1431">
        <v>0</v>
      </c>
      <c r="K349" s="1432">
        <v>0</v>
      </c>
      <c r="L349" s="1432">
        <v>1000</v>
      </c>
      <c r="M349" s="176">
        <v>1000</v>
      </c>
      <c r="N349" s="1398">
        <v>0</v>
      </c>
      <c r="O349" s="1433">
        <v>2000</v>
      </c>
      <c r="P349" s="1434">
        <f t="shared" si="24"/>
        <v>2000</v>
      </c>
      <c r="Q349" s="103">
        <v>3000</v>
      </c>
      <c r="R349" s="335">
        <v>0</v>
      </c>
      <c r="S349" s="1437">
        <v>0</v>
      </c>
      <c r="T349" s="1438">
        <v>0</v>
      </c>
      <c r="U349" s="102">
        <v>0</v>
      </c>
      <c r="V349" s="1426">
        <v>0</v>
      </c>
      <c r="W349" s="1427">
        <v>0</v>
      </c>
      <c r="X349" s="1439">
        <v>0</v>
      </c>
      <c r="Y349" s="1427">
        <v>0</v>
      </c>
      <c r="Z349" s="1428">
        <v>0</v>
      </c>
      <c r="AA349" s="130" t="s">
        <v>1200</v>
      </c>
      <c r="AB349" s="395" t="s">
        <v>13</v>
      </c>
      <c r="AC349" s="1440" t="s">
        <v>299</v>
      </c>
      <c r="AD349" s="1441" t="s">
        <v>119</v>
      </c>
      <c r="AE349" s="1441" t="s">
        <v>119</v>
      </c>
      <c r="AF349" s="1442">
        <v>1</v>
      </c>
      <c r="AG349" s="1443" t="s">
        <v>380</v>
      </c>
    </row>
    <row r="350" spans="1:33" s="3" customFormat="1" outlineLevel="1" x14ac:dyDescent="0.2">
      <c r="A350" s="1421" t="s">
        <v>1201</v>
      </c>
      <c r="B350" s="1421" t="s">
        <v>112</v>
      </c>
      <c r="C350" s="61"/>
      <c r="D350" s="1422" t="s">
        <v>1224</v>
      </c>
      <c r="E350" s="1422" t="s">
        <v>1224</v>
      </c>
      <c r="F350" s="1423" t="s">
        <v>1202</v>
      </c>
      <c r="G350" s="1424">
        <v>600</v>
      </c>
      <c r="H350" s="1425">
        <v>0</v>
      </c>
      <c r="I350" s="1430">
        <v>0</v>
      </c>
      <c r="J350" s="1431">
        <v>0</v>
      </c>
      <c r="K350" s="1432">
        <v>600</v>
      </c>
      <c r="L350" s="1432">
        <v>0</v>
      </c>
      <c r="M350" s="176">
        <v>0</v>
      </c>
      <c r="N350" s="1398">
        <v>0</v>
      </c>
      <c r="O350" s="1433">
        <v>600</v>
      </c>
      <c r="P350" s="1434">
        <f t="shared" ref="P350:P359" si="25">N350+O350</f>
        <v>600</v>
      </c>
      <c r="Q350" s="103">
        <v>0</v>
      </c>
      <c r="R350" s="335">
        <v>0</v>
      </c>
      <c r="S350" s="1437">
        <v>0</v>
      </c>
      <c r="T350" s="1438">
        <v>0</v>
      </c>
      <c r="U350" s="102">
        <v>0</v>
      </c>
      <c r="V350" s="1426">
        <v>0</v>
      </c>
      <c r="W350" s="1427">
        <v>0</v>
      </c>
      <c r="X350" s="1439">
        <v>0</v>
      </c>
      <c r="Y350" s="1427">
        <v>0</v>
      </c>
      <c r="Z350" s="1428">
        <v>0</v>
      </c>
      <c r="AA350" s="130" t="s">
        <v>1203</v>
      </c>
      <c r="AB350" s="395" t="s">
        <v>13</v>
      </c>
      <c r="AC350" s="1440" t="s">
        <v>485</v>
      </c>
      <c r="AD350" s="1441" t="s">
        <v>119</v>
      </c>
      <c r="AE350" s="1441" t="s">
        <v>119</v>
      </c>
      <c r="AF350" s="1442">
        <v>1</v>
      </c>
      <c r="AG350" s="1443" t="s">
        <v>380</v>
      </c>
    </row>
    <row r="351" spans="1:33" s="3" customFormat="1" outlineLevel="1" x14ac:dyDescent="0.2">
      <c r="A351" s="1421" t="s">
        <v>1204</v>
      </c>
      <c r="B351" s="1421" t="s">
        <v>112</v>
      </c>
      <c r="C351" s="61"/>
      <c r="D351" s="1422" t="s">
        <v>103</v>
      </c>
      <c r="E351" s="1422" t="s">
        <v>103</v>
      </c>
      <c r="F351" s="1423" t="s">
        <v>1205</v>
      </c>
      <c r="G351" s="1424">
        <v>7050</v>
      </c>
      <c r="H351" s="1425">
        <v>0</v>
      </c>
      <c r="I351" s="1430">
        <v>0</v>
      </c>
      <c r="J351" s="1431">
        <v>0</v>
      </c>
      <c r="K351" s="1432"/>
      <c r="L351" s="1432">
        <v>3000</v>
      </c>
      <c r="M351" s="176">
        <v>4050</v>
      </c>
      <c r="N351" s="1398">
        <v>0</v>
      </c>
      <c r="O351" s="1433">
        <v>7050</v>
      </c>
      <c r="P351" s="1434">
        <f t="shared" si="25"/>
        <v>7050</v>
      </c>
      <c r="Q351" s="103">
        <v>0</v>
      </c>
      <c r="R351" s="335">
        <v>0</v>
      </c>
      <c r="S351" s="1437">
        <v>0</v>
      </c>
      <c r="T351" s="1438">
        <v>0</v>
      </c>
      <c r="U351" s="102">
        <v>0</v>
      </c>
      <c r="V351" s="1426">
        <v>0</v>
      </c>
      <c r="W351" s="1427">
        <v>0</v>
      </c>
      <c r="X351" s="1439">
        <v>0</v>
      </c>
      <c r="Y351" s="1427">
        <v>0</v>
      </c>
      <c r="Z351" s="1428">
        <v>0</v>
      </c>
      <c r="AA351" s="130" t="s">
        <v>1206</v>
      </c>
      <c r="AB351" s="395" t="s">
        <v>13</v>
      </c>
      <c r="AC351" s="1440" t="s">
        <v>493</v>
      </c>
      <c r="AD351" s="1441" t="s">
        <v>119</v>
      </c>
      <c r="AE351" s="1441" t="s">
        <v>119</v>
      </c>
      <c r="AF351" s="1442">
        <v>1</v>
      </c>
      <c r="AG351" s="1443" t="s">
        <v>373</v>
      </c>
    </row>
    <row r="352" spans="1:33" s="3" customFormat="1" outlineLevel="1" x14ac:dyDescent="0.2">
      <c r="A352" s="1421" t="s">
        <v>1207</v>
      </c>
      <c r="B352" s="1421" t="s">
        <v>112</v>
      </c>
      <c r="C352" s="61"/>
      <c r="D352" s="1422" t="s">
        <v>103</v>
      </c>
      <c r="E352" s="1422" t="s">
        <v>103</v>
      </c>
      <c r="F352" s="1423" t="s">
        <v>1208</v>
      </c>
      <c r="G352" s="1424">
        <v>550</v>
      </c>
      <c r="H352" s="1425">
        <v>0</v>
      </c>
      <c r="I352" s="1430">
        <v>0</v>
      </c>
      <c r="J352" s="1431">
        <v>0</v>
      </c>
      <c r="K352" s="1432">
        <v>550</v>
      </c>
      <c r="L352" s="1432">
        <v>0</v>
      </c>
      <c r="M352" s="176">
        <v>0</v>
      </c>
      <c r="N352" s="1398">
        <v>0</v>
      </c>
      <c r="O352" s="1433">
        <v>550</v>
      </c>
      <c r="P352" s="1434">
        <f t="shared" si="25"/>
        <v>550</v>
      </c>
      <c r="Q352" s="103">
        <v>0</v>
      </c>
      <c r="R352" s="335">
        <v>0</v>
      </c>
      <c r="S352" s="1437">
        <v>0</v>
      </c>
      <c r="T352" s="1438">
        <v>0</v>
      </c>
      <c r="U352" s="102">
        <v>0</v>
      </c>
      <c r="V352" s="1426">
        <v>0</v>
      </c>
      <c r="W352" s="1427">
        <v>0</v>
      </c>
      <c r="X352" s="1439">
        <v>0</v>
      </c>
      <c r="Y352" s="1427">
        <v>0</v>
      </c>
      <c r="Z352" s="1428">
        <v>0</v>
      </c>
      <c r="AA352" s="130" t="s">
        <v>1209</v>
      </c>
      <c r="AB352" s="395" t="s">
        <v>13</v>
      </c>
      <c r="AC352" s="1440" t="s">
        <v>522</v>
      </c>
      <c r="AD352" s="1441" t="s">
        <v>119</v>
      </c>
      <c r="AE352" s="1441" t="s">
        <v>119</v>
      </c>
      <c r="AF352" s="1442">
        <v>1</v>
      </c>
      <c r="AG352" s="1443" t="s">
        <v>373</v>
      </c>
    </row>
    <row r="353" spans="1:33" s="3" customFormat="1" outlineLevel="1" x14ac:dyDescent="0.2">
      <c r="A353" s="1421" t="s">
        <v>1210</v>
      </c>
      <c r="B353" s="1421" t="s">
        <v>112</v>
      </c>
      <c r="C353" s="61"/>
      <c r="D353" s="1422" t="s">
        <v>605</v>
      </c>
      <c r="E353" s="1422" t="s">
        <v>605</v>
      </c>
      <c r="F353" s="1423" t="s">
        <v>1211</v>
      </c>
      <c r="G353" s="1424">
        <v>10000</v>
      </c>
      <c r="H353" s="1425">
        <v>0</v>
      </c>
      <c r="I353" s="1430">
        <v>0</v>
      </c>
      <c r="J353" s="1431">
        <v>0</v>
      </c>
      <c r="K353" s="1432">
        <v>1000</v>
      </c>
      <c r="L353" s="1432">
        <v>4000</v>
      </c>
      <c r="M353" s="176">
        <v>5000</v>
      </c>
      <c r="N353" s="1398">
        <v>0</v>
      </c>
      <c r="O353" s="1433">
        <v>10000</v>
      </c>
      <c r="P353" s="1434">
        <f t="shared" si="25"/>
        <v>10000</v>
      </c>
      <c r="Q353" s="103">
        <v>0</v>
      </c>
      <c r="R353" s="335">
        <v>0</v>
      </c>
      <c r="S353" s="1437">
        <v>0</v>
      </c>
      <c r="T353" s="1438">
        <v>0</v>
      </c>
      <c r="U353" s="102">
        <v>0</v>
      </c>
      <c r="V353" s="1426">
        <v>0</v>
      </c>
      <c r="W353" s="1427">
        <v>0</v>
      </c>
      <c r="X353" s="1439">
        <v>0</v>
      </c>
      <c r="Y353" s="1427">
        <v>0</v>
      </c>
      <c r="Z353" s="1428">
        <v>0</v>
      </c>
      <c r="AA353" s="61" t="s">
        <v>813</v>
      </c>
      <c r="AB353" s="395" t="s">
        <v>13</v>
      </c>
      <c r="AC353" s="1440" t="s">
        <v>485</v>
      </c>
      <c r="AD353" s="1441" t="s">
        <v>119</v>
      </c>
      <c r="AE353" s="1441" t="s">
        <v>119</v>
      </c>
      <c r="AF353" s="1442">
        <v>1</v>
      </c>
      <c r="AG353" s="1443" t="s">
        <v>378</v>
      </c>
    </row>
    <row r="354" spans="1:33" s="3" customFormat="1" outlineLevel="1" x14ac:dyDescent="0.2">
      <c r="A354" s="1421" t="s">
        <v>1212</v>
      </c>
      <c r="B354" s="1421" t="s">
        <v>112</v>
      </c>
      <c r="C354" s="61"/>
      <c r="D354" s="1422" t="s">
        <v>1213</v>
      </c>
      <c r="E354" s="1422" t="s">
        <v>1213</v>
      </c>
      <c r="F354" s="1423" t="s">
        <v>1214</v>
      </c>
      <c r="G354" s="1424">
        <v>300</v>
      </c>
      <c r="H354" s="1425">
        <v>0</v>
      </c>
      <c r="I354" s="1430">
        <v>0</v>
      </c>
      <c r="J354" s="1431">
        <v>0</v>
      </c>
      <c r="K354" s="1432">
        <v>0</v>
      </c>
      <c r="L354" s="1432">
        <v>300</v>
      </c>
      <c r="M354" s="176">
        <v>0</v>
      </c>
      <c r="N354" s="1398">
        <v>0</v>
      </c>
      <c r="O354" s="1433">
        <v>300</v>
      </c>
      <c r="P354" s="1434">
        <f t="shared" si="25"/>
        <v>300</v>
      </c>
      <c r="Q354" s="103">
        <v>0</v>
      </c>
      <c r="R354" s="335">
        <v>0</v>
      </c>
      <c r="S354" s="1437">
        <v>0</v>
      </c>
      <c r="T354" s="1438">
        <v>0</v>
      </c>
      <c r="U354" s="102">
        <v>0</v>
      </c>
      <c r="V354" s="1426">
        <v>0</v>
      </c>
      <c r="W354" s="1427">
        <v>0</v>
      </c>
      <c r="X354" s="1439">
        <v>0</v>
      </c>
      <c r="Y354" s="1427">
        <v>0</v>
      </c>
      <c r="Z354" s="1428">
        <v>0</v>
      </c>
      <c r="AA354" s="61" t="s">
        <v>813</v>
      </c>
      <c r="AB354" s="395" t="s">
        <v>13</v>
      </c>
      <c r="AC354" s="1440" t="s">
        <v>485</v>
      </c>
      <c r="AD354" s="1441" t="s">
        <v>119</v>
      </c>
      <c r="AE354" s="1441" t="s">
        <v>119</v>
      </c>
      <c r="AF354" s="1442">
        <v>1</v>
      </c>
      <c r="AG354" s="1443" t="s">
        <v>368</v>
      </c>
    </row>
    <row r="355" spans="1:33" s="3" customFormat="1" outlineLevel="1" x14ac:dyDescent="0.2">
      <c r="A355" s="1421" t="s">
        <v>1215</v>
      </c>
      <c r="B355" s="1421" t="s">
        <v>112</v>
      </c>
      <c r="C355" s="61"/>
      <c r="D355" s="1422" t="s">
        <v>1216</v>
      </c>
      <c r="E355" s="1422" t="s">
        <v>1216</v>
      </c>
      <c r="F355" s="1423" t="s">
        <v>1217</v>
      </c>
      <c r="G355" s="1424">
        <v>1000</v>
      </c>
      <c r="H355" s="1425">
        <v>0</v>
      </c>
      <c r="I355" s="1430">
        <v>0</v>
      </c>
      <c r="J355" s="1431">
        <v>0</v>
      </c>
      <c r="K355" s="1432">
        <v>0</v>
      </c>
      <c r="L355" s="1432">
        <v>500</v>
      </c>
      <c r="M355" s="176">
        <v>500</v>
      </c>
      <c r="N355" s="1398">
        <v>0</v>
      </c>
      <c r="O355" s="1433">
        <v>1000</v>
      </c>
      <c r="P355" s="1434">
        <f t="shared" si="25"/>
        <v>1000</v>
      </c>
      <c r="Q355" s="103">
        <v>0</v>
      </c>
      <c r="R355" s="335">
        <v>0</v>
      </c>
      <c r="S355" s="1437">
        <v>0</v>
      </c>
      <c r="T355" s="1438">
        <v>0</v>
      </c>
      <c r="U355" s="102">
        <v>0</v>
      </c>
      <c r="V355" s="1426">
        <v>0</v>
      </c>
      <c r="W355" s="1427">
        <v>0</v>
      </c>
      <c r="X355" s="1439">
        <v>0</v>
      </c>
      <c r="Y355" s="1427">
        <v>0</v>
      </c>
      <c r="Z355" s="1428">
        <v>0</v>
      </c>
      <c r="AA355" s="61" t="s">
        <v>813</v>
      </c>
      <c r="AB355" s="395" t="s">
        <v>13</v>
      </c>
      <c r="AC355" s="1440" t="s">
        <v>485</v>
      </c>
      <c r="AD355" s="1441" t="s">
        <v>119</v>
      </c>
      <c r="AE355" s="1441" t="s">
        <v>119</v>
      </c>
      <c r="AF355" s="1442">
        <v>1</v>
      </c>
      <c r="AG355" s="1443" t="s">
        <v>375</v>
      </c>
    </row>
    <row r="356" spans="1:33" s="3" customFormat="1" outlineLevel="1" x14ac:dyDescent="0.2">
      <c r="A356" s="1421" t="s">
        <v>1218</v>
      </c>
      <c r="B356" s="1421" t="s">
        <v>112</v>
      </c>
      <c r="C356" s="61"/>
      <c r="D356" s="1422" t="s">
        <v>231</v>
      </c>
      <c r="E356" s="1422" t="s">
        <v>231</v>
      </c>
      <c r="F356" s="1423" t="s">
        <v>1219</v>
      </c>
      <c r="G356" s="1424">
        <v>5500</v>
      </c>
      <c r="H356" s="1425">
        <v>0</v>
      </c>
      <c r="I356" s="1430">
        <v>0</v>
      </c>
      <c r="J356" s="1431">
        <v>0</v>
      </c>
      <c r="K356" s="1432">
        <v>500</v>
      </c>
      <c r="L356" s="1432">
        <v>2500</v>
      </c>
      <c r="M356" s="176">
        <v>2500</v>
      </c>
      <c r="N356" s="1398">
        <v>0</v>
      </c>
      <c r="O356" s="1433">
        <v>5500</v>
      </c>
      <c r="P356" s="1434">
        <f t="shared" si="25"/>
        <v>5500</v>
      </c>
      <c r="Q356" s="103">
        <v>0</v>
      </c>
      <c r="R356" s="335">
        <v>0</v>
      </c>
      <c r="S356" s="1437">
        <v>0</v>
      </c>
      <c r="T356" s="1438">
        <v>0</v>
      </c>
      <c r="U356" s="102">
        <v>0</v>
      </c>
      <c r="V356" s="1426">
        <v>0</v>
      </c>
      <c r="W356" s="1427">
        <v>0</v>
      </c>
      <c r="X356" s="1439">
        <v>0</v>
      </c>
      <c r="Y356" s="1427">
        <v>0</v>
      </c>
      <c r="Z356" s="1428">
        <v>0</v>
      </c>
      <c r="AA356" s="61" t="s">
        <v>813</v>
      </c>
      <c r="AB356" s="395" t="s">
        <v>13</v>
      </c>
      <c r="AC356" s="1440" t="s">
        <v>485</v>
      </c>
      <c r="AD356" s="1441" t="s">
        <v>119</v>
      </c>
      <c r="AE356" s="1441" t="s">
        <v>119</v>
      </c>
      <c r="AF356" s="1442">
        <v>1</v>
      </c>
      <c r="AG356" s="1443" t="s">
        <v>362</v>
      </c>
    </row>
    <row r="357" spans="1:33" s="3" customFormat="1" outlineLevel="1" x14ac:dyDescent="0.2">
      <c r="A357" s="1421" t="s">
        <v>1220</v>
      </c>
      <c r="B357" s="1421" t="s">
        <v>112</v>
      </c>
      <c r="C357" s="61"/>
      <c r="D357" s="1422" t="s">
        <v>1221</v>
      </c>
      <c r="E357" s="1422" t="s">
        <v>1221</v>
      </c>
      <c r="F357" s="1423" t="s">
        <v>1219</v>
      </c>
      <c r="G357" s="1424">
        <v>3000</v>
      </c>
      <c r="H357" s="1425">
        <v>0</v>
      </c>
      <c r="I357" s="1430">
        <v>0</v>
      </c>
      <c r="J357" s="1431">
        <v>0</v>
      </c>
      <c r="K357" s="1432">
        <v>0</v>
      </c>
      <c r="L357" s="1432">
        <v>1000</v>
      </c>
      <c r="M357" s="176">
        <v>2000</v>
      </c>
      <c r="N357" s="1398">
        <v>0</v>
      </c>
      <c r="O357" s="1433">
        <v>3000</v>
      </c>
      <c r="P357" s="1434">
        <f t="shared" si="25"/>
        <v>3000</v>
      </c>
      <c r="Q357" s="103">
        <v>0</v>
      </c>
      <c r="R357" s="335">
        <v>0</v>
      </c>
      <c r="S357" s="1437">
        <v>0</v>
      </c>
      <c r="T357" s="1438">
        <v>0</v>
      </c>
      <c r="U357" s="102">
        <v>0</v>
      </c>
      <c r="V357" s="1426">
        <v>0</v>
      </c>
      <c r="W357" s="1427">
        <v>0</v>
      </c>
      <c r="X357" s="1439">
        <v>0</v>
      </c>
      <c r="Y357" s="1427">
        <v>0</v>
      </c>
      <c r="Z357" s="1428">
        <v>0</v>
      </c>
      <c r="AA357" s="61" t="s">
        <v>813</v>
      </c>
      <c r="AB357" s="395" t="s">
        <v>13</v>
      </c>
      <c r="AC357" s="1440" t="s">
        <v>485</v>
      </c>
      <c r="AD357" s="1441" t="s">
        <v>119</v>
      </c>
      <c r="AE357" s="1441" t="s">
        <v>119</v>
      </c>
      <c r="AF357" s="1442">
        <v>1</v>
      </c>
      <c r="AG357" s="1443" t="s">
        <v>370</v>
      </c>
    </row>
    <row r="358" spans="1:33" s="3" customFormat="1" ht="30" outlineLevel="1" x14ac:dyDescent="0.2">
      <c r="A358" s="1421" t="s">
        <v>1222</v>
      </c>
      <c r="B358" s="1421" t="s">
        <v>112</v>
      </c>
      <c r="C358" s="61"/>
      <c r="D358" s="1422" t="s">
        <v>77</v>
      </c>
      <c r="E358" s="1422" t="s">
        <v>77</v>
      </c>
      <c r="F358" s="1453" t="s">
        <v>1223</v>
      </c>
      <c r="G358" s="1424">
        <v>18000</v>
      </c>
      <c r="H358" s="1425">
        <v>0</v>
      </c>
      <c r="I358" s="1446">
        <v>0</v>
      </c>
      <c r="J358" s="1447">
        <v>0</v>
      </c>
      <c r="K358" s="1454">
        <v>0</v>
      </c>
      <c r="L358" s="1454">
        <v>5000</v>
      </c>
      <c r="M358" s="176">
        <v>5000</v>
      </c>
      <c r="N358" s="1398">
        <v>0</v>
      </c>
      <c r="O358" s="1433">
        <v>10000</v>
      </c>
      <c r="P358" s="1434">
        <f t="shared" si="25"/>
        <v>10000</v>
      </c>
      <c r="Q358" s="103">
        <v>8000</v>
      </c>
      <c r="R358" s="335">
        <v>0</v>
      </c>
      <c r="S358" s="1448">
        <v>0</v>
      </c>
      <c r="T358" s="334">
        <v>0</v>
      </c>
      <c r="U358" s="102">
        <v>0</v>
      </c>
      <c r="V358" s="1444">
        <v>0</v>
      </c>
      <c r="W358" s="1445">
        <v>0</v>
      </c>
      <c r="X358" s="1449">
        <v>0</v>
      </c>
      <c r="Y358" s="1445">
        <v>0</v>
      </c>
      <c r="Z358" s="1428">
        <v>0</v>
      </c>
      <c r="AA358" s="61" t="s">
        <v>813</v>
      </c>
      <c r="AB358" s="395" t="s">
        <v>13</v>
      </c>
      <c r="AC358" s="1440" t="s">
        <v>485</v>
      </c>
      <c r="AD358" s="1441" t="s">
        <v>119</v>
      </c>
      <c r="AE358" s="1441" t="s">
        <v>119</v>
      </c>
      <c r="AF358" s="1442">
        <v>1</v>
      </c>
      <c r="AG358" s="1443" t="s">
        <v>364</v>
      </c>
    </row>
    <row r="359" spans="1:33" s="321" customFormat="1" outlineLevel="1" x14ac:dyDescent="0.25">
      <c r="A359" s="1421" t="s">
        <v>1225</v>
      </c>
      <c r="B359" s="1421"/>
      <c r="C359" s="61"/>
      <c r="D359" s="1422" t="s">
        <v>1226</v>
      </c>
      <c r="E359" s="1422" t="s">
        <v>1227</v>
      </c>
      <c r="F359" s="1457" t="s">
        <v>1228</v>
      </c>
      <c r="G359" s="1424">
        <v>1300</v>
      </c>
      <c r="H359" s="1425">
        <v>0</v>
      </c>
      <c r="I359" s="1446">
        <v>0</v>
      </c>
      <c r="J359" s="1447">
        <v>0</v>
      </c>
      <c r="K359" s="1454">
        <v>1300</v>
      </c>
      <c r="L359" s="1454">
        <v>0</v>
      </c>
      <c r="M359" s="176">
        <v>0</v>
      </c>
      <c r="N359" s="1398">
        <v>0</v>
      </c>
      <c r="O359" s="1433">
        <v>1300</v>
      </c>
      <c r="P359" s="1434">
        <f t="shared" si="25"/>
        <v>1300</v>
      </c>
      <c r="Q359" s="1435">
        <v>0</v>
      </c>
      <c r="R359" s="1436">
        <v>0</v>
      </c>
      <c r="S359" s="1437">
        <v>0</v>
      </c>
      <c r="T359" s="1438">
        <v>0</v>
      </c>
      <c r="U359" s="102">
        <v>0</v>
      </c>
      <c r="V359" s="1426">
        <v>0</v>
      </c>
      <c r="W359" s="1427">
        <v>0</v>
      </c>
      <c r="X359" s="1439">
        <v>0</v>
      </c>
      <c r="Y359" s="1427">
        <v>0</v>
      </c>
      <c r="Z359" s="1428">
        <v>0</v>
      </c>
      <c r="AA359" s="61" t="s">
        <v>813</v>
      </c>
      <c r="AB359" s="395" t="s">
        <v>11</v>
      </c>
      <c r="AC359" s="1440" t="s">
        <v>325</v>
      </c>
      <c r="AD359" s="1441" t="s">
        <v>119</v>
      </c>
      <c r="AE359" s="1441" t="s">
        <v>119</v>
      </c>
      <c r="AF359" s="1442">
        <v>1</v>
      </c>
      <c r="AG359" s="1443" t="s">
        <v>377</v>
      </c>
    </row>
    <row r="360" spans="1:33" ht="15.75" outlineLevel="1" thickBot="1" x14ac:dyDescent="0.3">
      <c r="A360" s="33" t="s">
        <v>124</v>
      </c>
      <c r="B360" s="33" t="s">
        <v>124</v>
      </c>
      <c r="C360" s="33" t="s">
        <v>124</v>
      </c>
      <c r="D360" s="33" t="s">
        <v>124</v>
      </c>
      <c r="E360" s="33" t="s">
        <v>124</v>
      </c>
      <c r="F360" s="33" t="s">
        <v>124</v>
      </c>
      <c r="G360" s="33" t="s">
        <v>124</v>
      </c>
      <c r="H360" s="33" t="s">
        <v>124</v>
      </c>
      <c r="I360" s="621" t="s">
        <v>124</v>
      </c>
      <c r="J360" s="1455" t="s">
        <v>124</v>
      </c>
      <c r="K360" s="1456" t="s">
        <v>124</v>
      </c>
      <c r="L360" s="1456" t="s">
        <v>124</v>
      </c>
      <c r="M360" s="34" t="s">
        <v>124</v>
      </c>
      <c r="N360" s="1451" t="s">
        <v>124</v>
      </c>
      <c r="O360" s="1452" t="s">
        <v>124</v>
      </c>
      <c r="P360" s="1451" t="s">
        <v>124</v>
      </c>
      <c r="Q360" s="33" t="s">
        <v>124</v>
      </c>
      <c r="R360" s="33" t="s">
        <v>124</v>
      </c>
      <c r="S360" s="1455" t="s">
        <v>124</v>
      </c>
      <c r="T360" s="1456" t="s">
        <v>124</v>
      </c>
      <c r="U360" s="34" t="s">
        <v>124</v>
      </c>
      <c r="V360" s="1455" t="s">
        <v>124</v>
      </c>
      <c r="W360" s="1456" t="s">
        <v>124</v>
      </c>
      <c r="X360" s="1456" t="s">
        <v>124</v>
      </c>
      <c r="Y360" s="1456" t="s">
        <v>124</v>
      </c>
      <c r="Z360" s="34" t="s">
        <v>124</v>
      </c>
      <c r="AA360" s="33" t="s">
        <v>124</v>
      </c>
      <c r="AB360" s="139" t="s">
        <v>124</v>
      </c>
      <c r="AC360" s="582" t="s">
        <v>124</v>
      </c>
      <c r="AD360" s="582" t="s">
        <v>124</v>
      </c>
      <c r="AE360" s="582" t="s">
        <v>124</v>
      </c>
      <c r="AF360" s="139" t="s">
        <v>124</v>
      </c>
      <c r="AG360" s="139" t="s">
        <v>124</v>
      </c>
    </row>
    <row r="361" spans="1:33" s="322" customFormat="1" ht="39" thickBot="1" x14ac:dyDescent="0.3">
      <c r="A361" s="114" t="s">
        <v>109</v>
      </c>
      <c r="B361" s="302" t="s">
        <v>109</v>
      </c>
      <c r="C361" s="12" t="s">
        <v>109</v>
      </c>
      <c r="D361" s="336" t="s">
        <v>109</v>
      </c>
      <c r="E361" s="336" t="s">
        <v>109</v>
      </c>
      <c r="F361" s="127" t="s">
        <v>131</v>
      </c>
      <c r="G361" s="341">
        <f t="shared" ref="G361:Z361" si="26">SUM(G286:G360)</f>
        <v>581861.07884999993</v>
      </c>
      <c r="H361" s="341">
        <f t="shared" si="26"/>
        <v>13234.760749999999</v>
      </c>
      <c r="I361" s="341">
        <f t="shared" si="26"/>
        <v>45052.59700999999</v>
      </c>
      <c r="J361" s="341">
        <f t="shared" si="26"/>
        <v>15880.297783999999</v>
      </c>
      <c r="K361" s="341">
        <f t="shared" si="26"/>
        <v>27619.480276000002</v>
      </c>
      <c r="L361" s="341">
        <f t="shared" si="26"/>
        <v>45948.540200000003</v>
      </c>
      <c r="M361" s="341">
        <f t="shared" si="26"/>
        <v>156749.81004000001</v>
      </c>
      <c r="N361" s="341">
        <f t="shared" si="26"/>
        <v>254134.17798999997</v>
      </c>
      <c r="O361" s="341">
        <f t="shared" si="26"/>
        <v>-7936.0496900000144</v>
      </c>
      <c r="P361" s="341">
        <f t="shared" si="26"/>
        <v>246198.12829999998</v>
      </c>
      <c r="Q361" s="341">
        <f t="shared" si="26"/>
        <v>257431.32579</v>
      </c>
      <c r="R361" s="341">
        <f t="shared" si="26"/>
        <v>7000</v>
      </c>
      <c r="S361" s="341">
        <f t="shared" si="26"/>
        <v>4346.4340000000002</v>
      </c>
      <c r="T361" s="341">
        <f t="shared" si="26"/>
        <v>7009.3010000000004</v>
      </c>
      <c r="U361" s="341">
        <f t="shared" si="26"/>
        <v>1588.5320000000002</v>
      </c>
      <c r="V361" s="341">
        <f t="shared" si="26"/>
        <v>255045</v>
      </c>
      <c r="W361" s="341">
        <f t="shared" si="26"/>
        <v>0</v>
      </c>
      <c r="X361" s="341">
        <f t="shared" si="26"/>
        <v>0</v>
      </c>
      <c r="Y361" s="341">
        <f t="shared" si="26"/>
        <v>138022.5</v>
      </c>
      <c r="Z361" s="341">
        <f t="shared" si="26"/>
        <v>117022.5</v>
      </c>
      <c r="AA361" s="14" t="s">
        <v>1238</v>
      </c>
      <c r="AB361" s="12" t="s">
        <v>109</v>
      </c>
      <c r="AC361" s="261" t="s">
        <v>109</v>
      </c>
      <c r="AD361" s="77" t="s">
        <v>109</v>
      </c>
      <c r="AE361" s="50" t="s">
        <v>109</v>
      </c>
      <c r="AF361" s="50" t="s">
        <v>109</v>
      </c>
      <c r="AG361" s="336" t="s">
        <v>109</v>
      </c>
    </row>
    <row r="362" spans="1:33" ht="26.25" outlineLevel="1" thickBot="1" x14ac:dyDescent="0.3">
      <c r="A362" s="724" t="s">
        <v>470</v>
      </c>
      <c r="B362" s="941" t="s">
        <v>1043</v>
      </c>
      <c r="C362" s="369" t="s">
        <v>115</v>
      </c>
      <c r="D362" s="942" t="s">
        <v>9</v>
      </c>
      <c r="E362" s="942" t="s">
        <v>9</v>
      </c>
      <c r="F362" s="943" t="s">
        <v>86</v>
      </c>
      <c r="G362" s="676">
        <v>31100</v>
      </c>
      <c r="H362" s="676">
        <v>4655.6922799999993</v>
      </c>
      <c r="I362" s="2080">
        <v>199.42009999999999</v>
      </c>
      <c r="J362" s="656">
        <v>0</v>
      </c>
      <c r="K362" s="657">
        <v>3143.6662860000006</v>
      </c>
      <c r="L362" s="657">
        <v>0</v>
      </c>
      <c r="M362" s="944">
        <v>7335.2213340000008</v>
      </c>
      <c r="N362" s="734">
        <v>10478.887620000001</v>
      </c>
      <c r="O362" s="760">
        <v>0</v>
      </c>
      <c r="P362" s="270">
        <f>N362+O362</f>
        <v>10478.887620000001</v>
      </c>
      <c r="Q362" s="671">
        <f>4708+11058</f>
        <v>15766</v>
      </c>
      <c r="R362" s="669">
        <v>0</v>
      </c>
      <c r="S362" s="656">
        <v>0</v>
      </c>
      <c r="T362" s="657">
        <v>0</v>
      </c>
      <c r="U362" s="672">
        <v>0</v>
      </c>
      <c r="V362" s="945">
        <v>0</v>
      </c>
      <c r="W362" s="946">
        <v>0</v>
      </c>
      <c r="X362" s="946">
        <v>0</v>
      </c>
      <c r="Y362" s="946">
        <v>0</v>
      </c>
      <c r="Z362" s="947">
        <v>0</v>
      </c>
      <c r="AA362" s="370" t="s">
        <v>109</v>
      </c>
      <c r="AB362" s="369" t="s">
        <v>11</v>
      </c>
      <c r="AC362" s="371" t="s">
        <v>110</v>
      </c>
      <c r="AD362" s="371" t="s">
        <v>110</v>
      </c>
      <c r="AE362" s="371" t="s">
        <v>110</v>
      </c>
      <c r="AF362" s="371" t="s">
        <v>128</v>
      </c>
      <c r="AG362" s="942" t="s">
        <v>112</v>
      </c>
    </row>
    <row r="363" spans="1:33" s="316" customFormat="1" ht="45" outlineLevel="1" x14ac:dyDescent="0.25">
      <c r="A363" s="602" t="s">
        <v>471</v>
      </c>
      <c r="B363" s="599" t="s">
        <v>1044</v>
      </c>
      <c r="C363" s="33" t="s">
        <v>8</v>
      </c>
      <c r="D363" s="368" t="s">
        <v>9</v>
      </c>
      <c r="E363" s="368" t="s">
        <v>9</v>
      </c>
      <c r="F363" s="849" t="s">
        <v>10</v>
      </c>
      <c r="G363" s="622">
        <v>8253.6847199999993</v>
      </c>
      <c r="H363" s="622">
        <v>1989.24</v>
      </c>
      <c r="I363" s="182">
        <v>0</v>
      </c>
      <c r="J363" s="631">
        <v>0</v>
      </c>
      <c r="K363" s="949">
        <v>900.13341600000012</v>
      </c>
      <c r="L363" s="950">
        <v>0</v>
      </c>
      <c r="M363" s="850">
        <v>2100.3113040000003</v>
      </c>
      <c r="N363" s="732">
        <v>3000.4447200000004</v>
      </c>
      <c r="O363" s="759">
        <v>0</v>
      </c>
      <c r="P363" s="345">
        <f>N363+O363</f>
        <v>3000.4447200000004</v>
      </c>
      <c r="Q363" s="630">
        <f>2000+1264</f>
        <v>3264</v>
      </c>
      <c r="R363" s="648">
        <v>0</v>
      </c>
      <c r="S363" s="631">
        <v>0</v>
      </c>
      <c r="T363" s="624">
        <v>0</v>
      </c>
      <c r="U363" s="850">
        <v>0</v>
      </c>
      <c r="V363" s="851">
        <v>0</v>
      </c>
      <c r="W363" s="950">
        <v>0</v>
      </c>
      <c r="X363" s="852">
        <v>0</v>
      </c>
      <c r="Y363" s="852">
        <v>0</v>
      </c>
      <c r="Z363" s="626">
        <v>0</v>
      </c>
      <c r="AA363" s="398" t="s">
        <v>888</v>
      </c>
      <c r="AB363" s="33" t="s">
        <v>16</v>
      </c>
      <c r="AC363" s="10" t="s">
        <v>110</v>
      </c>
      <c r="AD363" s="375" t="s">
        <v>120</v>
      </c>
      <c r="AE363" s="375" t="s">
        <v>120</v>
      </c>
      <c r="AF363" s="375" t="s">
        <v>128</v>
      </c>
      <c r="AG363" s="368" t="s">
        <v>112</v>
      </c>
    </row>
    <row r="364" spans="1:33" ht="15.75" outlineLevel="1" thickBot="1" x14ac:dyDescent="0.3">
      <c r="A364" s="27" t="s">
        <v>124</v>
      </c>
      <c r="B364" s="28" t="s">
        <v>124</v>
      </c>
      <c r="C364" s="258" t="s">
        <v>124</v>
      </c>
      <c r="D364" s="339" t="s">
        <v>124</v>
      </c>
      <c r="E364" s="339" t="s">
        <v>124</v>
      </c>
      <c r="F364" s="65" t="s">
        <v>124</v>
      </c>
      <c r="G364" s="243" t="s">
        <v>124</v>
      </c>
      <c r="H364" s="242" t="s">
        <v>124</v>
      </c>
      <c r="I364" s="289"/>
      <c r="J364" s="195" t="s">
        <v>124</v>
      </c>
      <c r="K364" s="135" t="s">
        <v>124</v>
      </c>
      <c r="L364" s="136" t="s">
        <v>124</v>
      </c>
      <c r="M364" s="128" t="s">
        <v>124</v>
      </c>
      <c r="N364" s="737" t="s">
        <v>124</v>
      </c>
      <c r="O364" s="763" t="s">
        <v>124</v>
      </c>
      <c r="P364" s="346" t="s">
        <v>124</v>
      </c>
      <c r="Q364" s="68" t="s">
        <v>124</v>
      </c>
      <c r="R364" s="188" t="s">
        <v>124</v>
      </c>
      <c r="S364" s="187" t="s">
        <v>124</v>
      </c>
      <c r="T364" s="136" t="s">
        <v>124</v>
      </c>
      <c r="U364" s="134" t="s">
        <v>124</v>
      </c>
      <c r="V364" s="187" t="s">
        <v>124</v>
      </c>
      <c r="W364" s="136" t="s">
        <v>124</v>
      </c>
      <c r="X364" s="138" t="s">
        <v>124</v>
      </c>
      <c r="Y364" s="138" t="s">
        <v>124</v>
      </c>
      <c r="Z364" s="128" t="s">
        <v>124</v>
      </c>
      <c r="AA364" s="128" t="s">
        <v>124</v>
      </c>
      <c r="AB364" s="258" t="s">
        <v>124</v>
      </c>
      <c r="AC364" s="31" t="s">
        <v>124</v>
      </c>
      <c r="AD364" s="31" t="s">
        <v>124</v>
      </c>
      <c r="AE364" s="27" t="s">
        <v>124</v>
      </c>
      <c r="AF364" s="27" t="s">
        <v>124</v>
      </c>
      <c r="AG364" s="339" t="s">
        <v>124</v>
      </c>
    </row>
    <row r="365" spans="1:33" ht="26.25" thickBot="1" x14ac:dyDescent="0.3">
      <c r="A365" s="114" t="s">
        <v>109</v>
      </c>
      <c r="B365" s="302" t="s">
        <v>109</v>
      </c>
      <c r="C365" s="12" t="s">
        <v>109</v>
      </c>
      <c r="D365" s="336" t="s">
        <v>109</v>
      </c>
      <c r="E365" s="336" t="s">
        <v>109</v>
      </c>
      <c r="F365" s="127" t="s">
        <v>336</v>
      </c>
      <c r="G365" s="341">
        <f t="shared" ref="G365:Z365" si="27">SUM(G362:G364)</f>
        <v>39353.684719999997</v>
      </c>
      <c r="H365" s="341">
        <f t="shared" si="27"/>
        <v>6644.9322799999991</v>
      </c>
      <c r="I365" s="341">
        <f t="shared" si="27"/>
        <v>199.42009999999999</v>
      </c>
      <c r="J365" s="341">
        <f t="shared" si="27"/>
        <v>0</v>
      </c>
      <c r="K365" s="341">
        <f t="shared" si="27"/>
        <v>4043.7997020000007</v>
      </c>
      <c r="L365" s="341">
        <f t="shared" si="27"/>
        <v>0</v>
      </c>
      <c r="M365" s="341">
        <f t="shared" si="27"/>
        <v>9435.5326380000006</v>
      </c>
      <c r="N365" s="341">
        <f t="shared" si="27"/>
        <v>13479.332340000001</v>
      </c>
      <c r="O365" s="341">
        <f t="shared" si="27"/>
        <v>0</v>
      </c>
      <c r="P365" s="341">
        <f t="shared" si="27"/>
        <v>13479.332340000001</v>
      </c>
      <c r="Q365" s="341">
        <f t="shared" si="27"/>
        <v>19030</v>
      </c>
      <c r="R365" s="341">
        <f t="shared" si="27"/>
        <v>0</v>
      </c>
      <c r="S365" s="341">
        <f t="shared" si="27"/>
        <v>0</v>
      </c>
      <c r="T365" s="341">
        <f t="shared" si="27"/>
        <v>0</v>
      </c>
      <c r="U365" s="341">
        <f t="shared" si="27"/>
        <v>0</v>
      </c>
      <c r="V365" s="341">
        <f t="shared" si="27"/>
        <v>0</v>
      </c>
      <c r="W365" s="341">
        <f t="shared" si="27"/>
        <v>0</v>
      </c>
      <c r="X365" s="341">
        <f t="shared" si="27"/>
        <v>0</v>
      </c>
      <c r="Y365" s="341">
        <f t="shared" si="27"/>
        <v>0</v>
      </c>
      <c r="Z365" s="341">
        <f t="shared" si="27"/>
        <v>0</v>
      </c>
      <c r="AA365" s="14" t="s">
        <v>1239</v>
      </c>
      <c r="AB365" s="344" t="s">
        <v>109</v>
      </c>
      <c r="AC365" s="265" t="s">
        <v>109</v>
      </c>
      <c r="AD365" s="266" t="s">
        <v>109</v>
      </c>
      <c r="AE365" s="51" t="s">
        <v>109</v>
      </c>
      <c r="AF365" s="51" t="s">
        <v>109</v>
      </c>
      <c r="AG365" s="363" t="s">
        <v>109</v>
      </c>
    </row>
    <row r="366" spans="1:33" ht="26.25" outlineLevel="1" thickBot="1" x14ac:dyDescent="0.3">
      <c r="A366" s="1016" t="s">
        <v>472</v>
      </c>
      <c r="B366" s="1017" t="s">
        <v>1045</v>
      </c>
      <c r="C366" s="369" t="s">
        <v>159</v>
      </c>
      <c r="D366" s="369" t="s">
        <v>22</v>
      </c>
      <c r="E366" s="942" t="s">
        <v>22</v>
      </c>
      <c r="F366" s="1018" t="s">
        <v>23</v>
      </c>
      <c r="G366" s="676">
        <v>3828.72</v>
      </c>
      <c r="H366" s="984">
        <v>2964.35</v>
      </c>
      <c r="I366" s="2084">
        <v>0</v>
      </c>
      <c r="J366" s="945">
        <v>523.6</v>
      </c>
      <c r="K366" s="946">
        <v>102.23100000000002</v>
      </c>
      <c r="L366" s="946">
        <v>0</v>
      </c>
      <c r="M366" s="673">
        <v>238.53899999999996</v>
      </c>
      <c r="N366" s="734">
        <f>340.77+523.6</f>
        <v>864.37</v>
      </c>
      <c r="O366" s="759">
        <v>0</v>
      </c>
      <c r="P366" s="270">
        <f t="shared" ref="P366:P375" si="28">N366+O366</f>
        <v>864.37</v>
      </c>
      <c r="Q366" s="677">
        <v>0</v>
      </c>
      <c r="R366" s="1019">
        <v>0</v>
      </c>
      <c r="S366" s="945">
        <v>0</v>
      </c>
      <c r="T366" s="946">
        <v>0</v>
      </c>
      <c r="U366" s="673">
        <v>0</v>
      </c>
      <c r="V366" s="1020">
        <v>0</v>
      </c>
      <c r="W366" s="946">
        <v>0</v>
      </c>
      <c r="X366" s="1021">
        <v>0</v>
      </c>
      <c r="Y366" s="986">
        <v>0</v>
      </c>
      <c r="Z366" s="673">
        <v>0</v>
      </c>
      <c r="AA366" s="78" t="s">
        <v>109</v>
      </c>
      <c r="AB366" s="369" t="s">
        <v>16</v>
      </c>
      <c r="AC366" s="371" t="s">
        <v>1132</v>
      </c>
      <c r="AD366" s="371" t="s">
        <v>120</v>
      </c>
      <c r="AE366" s="513" t="s">
        <v>120</v>
      </c>
      <c r="AF366" s="371" t="s">
        <v>128</v>
      </c>
      <c r="AG366" s="942" t="s">
        <v>112</v>
      </c>
    </row>
    <row r="367" spans="1:33" ht="26.25" outlineLevel="1" thickBot="1" x14ac:dyDescent="0.3">
      <c r="A367" s="1016" t="s">
        <v>473</v>
      </c>
      <c r="B367" s="941" t="s">
        <v>112</v>
      </c>
      <c r="C367" s="369" t="s">
        <v>138</v>
      </c>
      <c r="D367" s="942" t="s">
        <v>22</v>
      </c>
      <c r="E367" s="942" t="s">
        <v>22</v>
      </c>
      <c r="F367" s="1018" t="s">
        <v>620</v>
      </c>
      <c r="G367" s="676">
        <v>700</v>
      </c>
      <c r="H367" s="984">
        <v>0</v>
      </c>
      <c r="I367" s="2084">
        <v>0</v>
      </c>
      <c r="J367" s="945">
        <v>0</v>
      </c>
      <c r="K367" s="946">
        <v>210.00000000000006</v>
      </c>
      <c r="L367" s="946">
        <v>0</v>
      </c>
      <c r="M367" s="673">
        <v>489.99999999999994</v>
      </c>
      <c r="N367" s="734">
        <v>700</v>
      </c>
      <c r="O367" s="760">
        <v>0</v>
      </c>
      <c r="P367" s="270">
        <f t="shared" si="28"/>
        <v>700</v>
      </c>
      <c r="Q367" s="677">
        <v>0</v>
      </c>
      <c r="R367" s="1019">
        <v>0</v>
      </c>
      <c r="S367" s="945">
        <v>0</v>
      </c>
      <c r="T367" s="946">
        <v>0</v>
      </c>
      <c r="U367" s="673">
        <v>0</v>
      </c>
      <c r="V367" s="1020">
        <v>0</v>
      </c>
      <c r="W367" s="946">
        <v>0</v>
      </c>
      <c r="X367" s="986">
        <v>0</v>
      </c>
      <c r="Y367" s="986">
        <v>0</v>
      </c>
      <c r="Z367" s="673">
        <v>0</v>
      </c>
      <c r="AA367" s="78" t="s">
        <v>109</v>
      </c>
      <c r="AB367" s="369" t="s">
        <v>13</v>
      </c>
      <c r="AC367" s="371" t="s">
        <v>1133</v>
      </c>
      <c r="AD367" s="371" t="s">
        <v>119</v>
      </c>
      <c r="AE367" s="371" t="s">
        <v>119</v>
      </c>
      <c r="AF367" s="371" t="s">
        <v>130</v>
      </c>
      <c r="AG367" s="942" t="s">
        <v>112</v>
      </c>
    </row>
    <row r="368" spans="1:33" ht="30" outlineLevel="1" x14ac:dyDescent="0.25">
      <c r="A368" s="1022" t="s">
        <v>353</v>
      </c>
      <c r="B368" s="1007" t="s">
        <v>1046</v>
      </c>
      <c r="C368" s="422" t="s">
        <v>385</v>
      </c>
      <c r="D368" s="579" t="s">
        <v>21</v>
      </c>
      <c r="E368" s="579" t="s">
        <v>21</v>
      </c>
      <c r="F368" s="1023" t="s">
        <v>354</v>
      </c>
      <c r="G368" s="634">
        <v>309.76</v>
      </c>
      <c r="H368" s="635">
        <v>0</v>
      </c>
      <c r="I368" s="2135">
        <v>309.76</v>
      </c>
      <c r="J368" s="637">
        <v>0</v>
      </c>
      <c r="K368" s="643">
        <v>0</v>
      </c>
      <c r="L368" s="636">
        <v>0</v>
      </c>
      <c r="M368" s="1024">
        <v>0</v>
      </c>
      <c r="N368" s="639">
        <v>0</v>
      </c>
      <c r="O368" s="784">
        <v>0</v>
      </c>
      <c r="P368" s="640">
        <f t="shared" si="28"/>
        <v>0</v>
      </c>
      <c r="Q368" s="1025">
        <v>0</v>
      </c>
      <c r="R368" s="1026">
        <v>0</v>
      </c>
      <c r="S368" s="637">
        <v>0</v>
      </c>
      <c r="T368" s="638">
        <v>0</v>
      </c>
      <c r="U368" s="641">
        <v>0</v>
      </c>
      <c r="V368" s="642">
        <v>0</v>
      </c>
      <c r="W368" s="638">
        <v>0</v>
      </c>
      <c r="X368" s="643">
        <v>0</v>
      </c>
      <c r="Y368" s="643">
        <v>0</v>
      </c>
      <c r="Z368" s="641">
        <v>0</v>
      </c>
      <c r="AA368" s="423" t="s">
        <v>109</v>
      </c>
      <c r="AB368" s="5" t="s">
        <v>123</v>
      </c>
      <c r="AC368" s="424" t="s">
        <v>214</v>
      </c>
      <c r="AD368" s="424" t="s">
        <v>120</v>
      </c>
      <c r="AE368" s="424" t="s">
        <v>120</v>
      </c>
      <c r="AF368" s="424" t="s">
        <v>128</v>
      </c>
      <c r="AG368" s="579" t="s">
        <v>112</v>
      </c>
    </row>
    <row r="369" spans="1:33" ht="30" outlineLevel="1" x14ac:dyDescent="0.25">
      <c r="A369" s="425" t="s">
        <v>355</v>
      </c>
      <c r="B369" s="13" t="s">
        <v>1047</v>
      </c>
      <c r="C369" s="5" t="s">
        <v>385</v>
      </c>
      <c r="D369" s="426" t="s">
        <v>21</v>
      </c>
      <c r="E369" s="426" t="s">
        <v>21</v>
      </c>
      <c r="F369" s="478" t="s">
        <v>356</v>
      </c>
      <c r="G369" s="1">
        <v>702.72685999999999</v>
      </c>
      <c r="H369" s="428">
        <v>0</v>
      </c>
      <c r="I369" s="2093">
        <v>702.72685999999999</v>
      </c>
      <c r="J369" s="429">
        <v>0</v>
      </c>
      <c r="K369" s="430">
        <v>0</v>
      </c>
      <c r="L369" s="430">
        <v>0</v>
      </c>
      <c r="M369" s="431">
        <v>0</v>
      </c>
      <c r="N369" s="524">
        <v>0</v>
      </c>
      <c r="O369" s="286">
        <v>0</v>
      </c>
      <c r="P369" s="272">
        <f t="shared" si="28"/>
        <v>0</v>
      </c>
      <c r="Q369" s="432">
        <v>0</v>
      </c>
      <c r="R369" s="581">
        <v>0</v>
      </c>
      <c r="S369" s="429">
        <v>0</v>
      </c>
      <c r="T369" s="430">
        <v>0</v>
      </c>
      <c r="U369" s="431">
        <v>0</v>
      </c>
      <c r="V369" s="433">
        <v>0</v>
      </c>
      <c r="W369" s="430">
        <v>0</v>
      </c>
      <c r="X369" s="434">
        <v>0</v>
      </c>
      <c r="Y369" s="434">
        <v>0</v>
      </c>
      <c r="Z369" s="431">
        <v>0</v>
      </c>
      <c r="AA369" s="43" t="s">
        <v>109</v>
      </c>
      <c r="AB369" s="5" t="s">
        <v>123</v>
      </c>
      <c r="AC369" s="435" t="s">
        <v>214</v>
      </c>
      <c r="AD369" s="435" t="s">
        <v>120</v>
      </c>
      <c r="AE369" s="435" t="s">
        <v>120</v>
      </c>
      <c r="AF369" s="435" t="s">
        <v>128</v>
      </c>
      <c r="AG369" s="426" t="s">
        <v>112</v>
      </c>
    </row>
    <row r="370" spans="1:33" ht="77.25" outlineLevel="1" thickBot="1" x14ac:dyDescent="0.3">
      <c r="A370" s="1029" t="s">
        <v>357</v>
      </c>
      <c r="B370" s="1030" t="s">
        <v>1111</v>
      </c>
      <c r="C370" s="1031" t="s">
        <v>385</v>
      </c>
      <c r="D370" s="1032" t="s">
        <v>21</v>
      </c>
      <c r="E370" s="1032" t="s">
        <v>21</v>
      </c>
      <c r="F370" s="1033" t="s">
        <v>553</v>
      </c>
      <c r="G370" s="1034">
        <f>68-0.878</f>
        <v>67.122</v>
      </c>
      <c r="H370" s="1035">
        <v>0</v>
      </c>
      <c r="I370" s="2137">
        <v>53.122</v>
      </c>
      <c r="J370" s="1036">
        <v>14</v>
      </c>
      <c r="K370" s="1036">
        <v>0</v>
      </c>
      <c r="L370" s="1036">
        <v>0</v>
      </c>
      <c r="M370" s="1037">
        <v>0</v>
      </c>
      <c r="N370" s="1038">
        <v>196.87799999999999</v>
      </c>
      <c r="O370" s="1039">
        <v>-182.87799999999999</v>
      </c>
      <c r="P370" s="540">
        <f t="shared" si="28"/>
        <v>14</v>
      </c>
      <c r="Q370" s="1040">
        <v>0</v>
      </c>
      <c r="R370" s="1041">
        <v>0</v>
      </c>
      <c r="S370" s="1042">
        <v>0</v>
      </c>
      <c r="T370" s="1036">
        <v>0</v>
      </c>
      <c r="U370" s="1037">
        <v>0</v>
      </c>
      <c r="V370" s="1043">
        <v>0</v>
      </c>
      <c r="W370" s="1036">
        <v>0</v>
      </c>
      <c r="X370" s="1044">
        <v>0</v>
      </c>
      <c r="Y370" s="1044">
        <v>0</v>
      </c>
      <c r="Z370" s="1037">
        <v>0</v>
      </c>
      <c r="AA370" s="416" t="s">
        <v>1135</v>
      </c>
      <c r="AB370" s="1031" t="s">
        <v>16</v>
      </c>
      <c r="AC370" s="1045" t="s">
        <v>1134</v>
      </c>
      <c r="AD370" s="1045" t="s">
        <v>120</v>
      </c>
      <c r="AE370" s="1045" t="s">
        <v>119</v>
      </c>
      <c r="AF370" s="1045" t="s">
        <v>128</v>
      </c>
      <c r="AG370" s="1032" t="s">
        <v>792</v>
      </c>
    </row>
    <row r="371" spans="1:33" ht="30" outlineLevel="1" x14ac:dyDescent="0.25">
      <c r="A371" s="1047" t="s">
        <v>505</v>
      </c>
      <c r="B371" s="803" t="s">
        <v>112</v>
      </c>
      <c r="C371" s="252" t="s">
        <v>534</v>
      </c>
      <c r="D371" s="253" t="s">
        <v>21</v>
      </c>
      <c r="E371" s="253" t="s">
        <v>21</v>
      </c>
      <c r="F371" s="1048" t="s">
        <v>506</v>
      </c>
      <c r="G371" s="690">
        <v>160</v>
      </c>
      <c r="H371" s="194">
        <v>0</v>
      </c>
      <c r="I371" s="198">
        <v>0</v>
      </c>
      <c r="J371" s="609">
        <v>0</v>
      </c>
      <c r="K371" s="601">
        <v>0</v>
      </c>
      <c r="L371" s="601">
        <v>48</v>
      </c>
      <c r="M371" s="1049">
        <v>112</v>
      </c>
      <c r="N371" s="731">
        <v>160</v>
      </c>
      <c r="O371" s="764">
        <v>0</v>
      </c>
      <c r="P371" s="271">
        <f t="shared" si="28"/>
        <v>160</v>
      </c>
      <c r="Q371" s="1050">
        <v>0</v>
      </c>
      <c r="R371" s="1051">
        <v>0</v>
      </c>
      <c r="S371" s="609">
        <v>0</v>
      </c>
      <c r="T371" s="601">
        <v>0</v>
      </c>
      <c r="U371" s="611">
        <v>0</v>
      </c>
      <c r="V371" s="612">
        <v>0</v>
      </c>
      <c r="W371" s="601">
        <v>0</v>
      </c>
      <c r="X371" s="600">
        <v>0</v>
      </c>
      <c r="Y371" s="600">
        <v>0</v>
      </c>
      <c r="Z371" s="574">
        <v>0</v>
      </c>
      <c r="AA371" s="252" t="s">
        <v>109</v>
      </c>
      <c r="AB371" s="252" t="s">
        <v>13</v>
      </c>
      <c r="AC371" s="1052" t="s">
        <v>303</v>
      </c>
      <c r="AD371" s="717" t="s">
        <v>119</v>
      </c>
      <c r="AE371" s="717" t="s">
        <v>119</v>
      </c>
      <c r="AF371" s="10" t="s">
        <v>128</v>
      </c>
      <c r="AG371" s="253" t="s">
        <v>507</v>
      </c>
    </row>
    <row r="372" spans="1:33" ht="38.25" outlineLevel="1" x14ac:dyDescent="0.25">
      <c r="A372" s="1053" t="s">
        <v>508</v>
      </c>
      <c r="B372" s="593" t="s">
        <v>112</v>
      </c>
      <c r="C372" s="35" t="s">
        <v>534</v>
      </c>
      <c r="D372" s="259" t="s">
        <v>21</v>
      </c>
      <c r="E372" s="259" t="s">
        <v>21</v>
      </c>
      <c r="F372" s="855" t="s">
        <v>509</v>
      </c>
      <c r="G372" s="36">
        <v>115</v>
      </c>
      <c r="H372" s="628">
        <v>0</v>
      </c>
      <c r="I372" s="2082">
        <v>0</v>
      </c>
      <c r="J372" s="605">
        <v>0</v>
      </c>
      <c r="K372" s="337">
        <v>0</v>
      </c>
      <c r="L372" s="337">
        <v>0</v>
      </c>
      <c r="M372" s="1055">
        <v>115</v>
      </c>
      <c r="N372" s="735">
        <v>115</v>
      </c>
      <c r="O372" s="761">
        <v>0</v>
      </c>
      <c r="P372" s="346">
        <f t="shared" si="28"/>
        <v>115</v>
      </c>
      <c r="Q372" s="632">
        <v>0</v>
      </c>
      <c r="R372" s="1056">
        <v>0</v>
      </c>
      <c r="S372" s="605">
        <v>0</v>
      </c>
      <c r="T372" s="337">
        <v>0</v>
      </c>
      <c r="U372" s="1057">
        <v>0</v>
      </c>
      <c r="V372" s="1058">
        <v>0</v>
      </c>
      <c r="W372" s="337">
        <v>0</v>
      </c>
      <c r="X372" s="489">
        <v>0</v>
      </c>
      <c r="Y372" s="489">
        <v>0</v>
      </c>
      <c r="Z372" s="257">
        <v>0</v>
      </c>
      <c r="AA372" s="33" t="s">
        <v>109</v>
      </c>
      <c r="AB372" s="35" t="s">
        <v>13</v>
      </c>
      <c r="AC372" s="342" t="s">
        <v>821</v>
      </c>
      <c r="AD372" s="448" t="s">
        <v>119</v>
      </c>
      <c r="AE372" s="448" t="s">
        <v>119</v>
      </c>
      <c r="AF372" s="342" t="s">
        <v>129</v>
      </c>
      <c r="AG372" s="259" t="s">
        <v>510</v>
      </c>
    </row>
    <row r="373" spans="1:33" ht="26.25" outlineLevel="1" thickBot="1" x14ac:dyDescent="0.3">
      <c r="A373" s="1059" t="s">
        <v>511</v>
      </c>
      <c r="B373" s="16" t="s">
        <v>112</v>
      </c>
      <c r="C373" s="39" t="s">
        <v>534</v>
      </c>
      <c r="D373" s="340" t="s">
        <v>21</v>
      </c>
      <c r="E373" s="340" t="s">
        <v>21</v>
      </c>
      <c r="F373" s="1060" t="s">
        <v>512</v>
      </c>
      <c r="G373" s="789">
        <v>181</v>
      </c>
      <c r="H373" s="1061">
        <v>0</v>
      </c>
      <c r="I373" s="2083">
        <v>0</v>
      </c>
      <c r="J373" s="978">
        <v>0</v>
      </c>
      <c r="K373" s="1062">
        <v>54.300000000000011</v>
      </c>
      <c r="L373" s="1062">
        <v>0</v>
      </c>
      <c r="M373" s="1063">
        <v>126.69999999999999</v>
      </c>
      <c r="N373" s="736">
        <v>181</v>
      </c>
      <c r="O373" s="700">
        <v>0</v>
      </c>
      <c r="P373" s="268">
        <f t="shared" si="28"/>
        <v>181</v>
      </c>
      <c r="Q373" s="1064">
        <v>0</v>
      </c>
      <c r="R373" s="1065">
        <v>0</v>
      </c>
      <c r="S373" s="978">
        <v>0</v>
      </c>
      <c r="T373" s="1062">
        <v>0</v>
      </c>
      <c r="U373" s="1066">
        <v>0</v>
      </c>
      <c r="V373" s="1067">
        <v>0</v>
      </c>
      <c r="W373" s="1062">
        <v>0</v>
      </c>
      <c r="X373" s="1068">
        <v>0</v>
      </c>
      <c r="Y373" s="1068">
        <v>0</v>
      </c>
      <c r="Z373" s="1069">
        <v>0</v>
      </c>
      <c r="AA373" s="240" t="s">
        <v>109</v>
      </c>
      <c r="AB373" s="39" t="s">
        <v>13</v>
      </c>
      <c r="AC373" s="115" t="s">
        <v>485</v>
      </c>
      <c r="AD373" s="30" t="s">
        <v>119</v>
      </c>
      <c r="AE373" s="30" t="s">
        <v>119</v>
      </c>
      <c r="AF373" s="18" t="s">
        <v>129</v>
      </c>
      <c r="AG373" s="340" t="s">
        <v>513</v>
      </c>
    </row>
    <row r="374" spans="1:33" ht="25.5" outlineLevel="1" x14ac:dyDescent="0.25">
      <c r="A374" s="1070" t="s">
        <v>621</v>
      </c>
      <c r="B374" s="837" t="s">
        <v>1059</v>
      </c>
      <c r="C374" s="71" t="s">
        <v>864</v>
      </c>
      <c r="D374" s="964" t="s">
        <v>21</v>
      </c>
      <c r="E374" s="964" t="s">
        <v>21</v>
      </c>
      <c r="F374" s="882" t="s">
        <v>622</v>
      </c>
      <c r="G374" s="80">
        <v>500</v>
      </c>
      <c r="H374" s="221">
        <v>0</v>
      </c>
      <c r="I374" s="221">
        <v>31.883500000000002</v>
      </c>
      <c r="J374" s="968">
        <v>0</v>
      </c>
      <c r="K374" s="969">
        <v>0</v>
      </c>
      <c r="L374" s="969">
        <v>0</v>
      </c>
      <c r="M374" s="1071">
        <v>0</v>
      </c>
      <c r="N374" s="208">
        <v>468.11649999999997</v>
      </c>
      <c r="O374" s="884">
        <v>-468.11649999999997</v>
      </c>
      <c r="P374" s="884">
        <f t="shared" si="28"/>
        <v>0</v>
      </c>
      <c r="Q374" s="208">
        <v>468.11649999999997</v>
      </c>
      <c r="R374" s="234">
        <v>0</v>
      </c>
      <c r="S374" s="968">
        <v>0</v>
      </c>
      <c r="T374" s="969">
        <v>0</v>
      </c>
      <c r="U374" s="1072">
        <v>0</v>
      </c>
      <c r="V374" s="1073">
        <v>0</v>
      </c>
      <c r="W374" s="969">
        <v>0</v>
      </c>
      <c r="X374" s="886">
        <v>0</v>
      </c>
      <c r="Y374" s="886">
        <v>0</v>
      </c>
      <c r="Z374" s="970">
        <v>0</v>
      </c>
      <c r="AA374" s="1721" t="s">
        <v>1136</v>
      </c>
      <c r="AB374" s="70" t="s">
        <v>13</v>
      </c>
      <c r="AC374" s="1074" t="s">
        <v>537</v>
      </c>
      <c r="AD374" s="1075" t="s">
        <v>119</v>
      </c>
      <c r="AE374" s="1075" t="s">
        <v>119</v>
      </c>
      <c r="AF374" s="181" t="s">
        <v>129</v>
      </c>
      <c r="AG374" s="964" t="s">
        <v>793</v>
      </c>
    </row>
    <row r="375" spans="1:33" s="323" customFormat="1" ht="25.5" outlineLevel="1" x14ac:dyDescent="0.25">
      <c r="A375" s="1077" t="s">
        <v>794</v>
      </c>
      <c r="B375" s="599" t="s">
        <v>112</v>
      </c>
      <c r="C375" s="33" t="s">
        <v>878</v>
      </c>
      <c r="D375" s="368" t="s">
        <v>21</v>
      </c>
      <c r="E375" s="368" t="s">
        <v>21</v>
      </c>
      <c r="F375" s="1078" t="s">
        <v>795</v>
      </c>
      <c r="G375" s="622">
        <v>2000</v>
      </c>
      <c r="H375" s="629">
        <v>0</v>
      </c>
      <c r="I375" s="629">
        <v>0</v>
      </c>
      <c r="J375" s="851">
        <v>0</v>
      </c>
      <c r="K375" s="950">
        <v>450</v>
      </c>
      <c r="L375" s="950">
        <v>0</v>
      </c>
      <c r="M375" s="626">
        <v>1050</v>
      </c>
      <c r="N375" s="732">
        <v>1500</v>
      </c>
      <c r="O375" s="773">
        <v>0</v>
      </c>
      <c r="P375" s="758">
        <f t="shared" si="28"/>
        <v>1500</v>
      </c>
      <c r="Q375" s="630">
        <v>500</v>
      </c>
      <c r="R375" s="648">
        <v>0</v>
      </c>
      <c r="S375" s="851">
        <v>0</v>
      </c>
      <c r="T375" s="950">
        <v>0</v>
      </c>
      <c r="U375" s="1079">
        <v>0</v>
      </c>
      <c r="V375" s="1080">
        <v>0</v>
      </c>
      <c r="W375" s="950">
        <v>0</v>
      </c>
      <c r="X375" s="852">
        <v>0</v>
      </c>
      <c r="Y375" s="852">
        <v>0</v>
      </c>
      <c r="Z375" s="626">
        <v>0</v>
      </c>
      <c r="AA375" s="385" t="s">
        <v>796</v>
      </c>
      <c r="AB375" s="33" t="s">
        <v>13</v>
      </c>
      <c r="AC375" s="786" t="s">
        <v>1133</v>
      </c>
      <c r="AD375" s="787" t="s">
        <v>119</v>
      </c>
      <c r="AE375" s="787" t="s">
        <v>119</v>
      </c>
      <c r="AF375" s="375" t="s">
        <v>127</v>
      </c>
      <c r="AG375" s="368" t="s">
        <v>361</v>
      </c>
    </row>
    <row r="376" spans="1:33" ht="15.75" outlineLevel="1" thickBot="1" x14ac:dyDescent="0.3">
      <c r="A376" s="218" t="s">
        <v>124</v>
      </c>
      <c r="B376" s="28" t="s">
        <v>124</v>
      </c>
      <c r="C376" s="258" t="s">
        <v>124</v>
      </c>
      <c r="D376" s="339" t="s">
        <v>124</v>
      </c>
      <c r="E376" s="339" t="s">
        <v>124</v>
      </c>
      <c r="F376" s="204" t="s">
        <v>124</v>
      </c>
      <c r="G376" s="243" t="s">
        <v>124</v>
      </c>
      <c r="H376" s="242" t="s">
        <v>124</v>
      </c>
      <c r="I376" s="288"/>
      <c r="J376" s="187" t="s">
        <v>124</v>
      </c>
      <c r="K376" s="136" t="s">
        <v>124</v>
      </c>
      <c r="L376" s="136" t="s">
        <v>124</v>
      </c>
      <c r="M376" s="128" t="s">
        <v>124</v>
      </c>
      <c r="N376" s="737" t="s">
        <v>124</v>
      </c>
      <c r="O376" s="763" t="s">
        <v>124</v>
      </c>
      <c r="P376" s="346" t="s">
        <v>124</v>
      </c>
      <c r="Q376" s="68" t="s">
        <v>124</v>
      </c>
      <c r="R376" s="188" t="s">
        <v>124</v>
      </c>
      <c r="S376" s="187" t="s">
        <v>124</v>
      </c>
      <c r="T376" s="136" t="s">
        <v>124</v>
      </c>
      <c r="U376" s="134" t="s">
        <v>124</v>
      </c>
      <c r="V376" s="187" t="s">
        <v>124</v>
      </c>
      <c r="W376" s="136" t="s">
        <v>124</v>
      </c>
      <c r="X376" s="138" t="s">
        <v>124</v>
      </c>
      <c r="Y376" s="138" t="s">
        <v>124</v>
      </c>
      <c r="Z376" s="128" t="s">
        <v>124</v>
      </c>
      <c r="AA376" s="396" t="s">
        <v>124</v>
      </c>
      <c r="AB376" s="258" t="s">
        <v>124</v>
      </c>
      <c r="AC376" s="115" t="s">
        <v>124</v>
      </c>
      <c r="AD376" s="31" t="s">
        <v>124</v>
      </c>
      <c r="AE376" s="31" t="s">
        <v>124</v>
      </c>
      <c r="AF376" s="27" t="s">
        <v>124</v>
      </c>
      <c r="AG376" s="339" t="s">
        <v>124</v>
      </c>
    </row>
    <row r="377" spans="1:33" ht="26.25" thickBot="1" x14ac:dyDescent="0.3">
      <c r="A377" s="114" t="s">
        <v>109</v>
      </c>
      <c r="B377" s="302" t="s">
        <v>109</v>
      </c>
      <c r="C377" s="12" t="s">
        <v>109</v>
      </c>
      <c r="D377" s="336" t="s">
        <v>109</v>
      </c>
      <c r="E377" s="336" t="s">
        <v>109</v>
      </c>
      <c r="F377" s="127" t="s">
        <v>335</v>
      </c>
      <c r="G377" s="341">
        <f>SUM(G366:G376)</f>
        <v>8564.3288599999996</v>
      </c>
      <c r="H377" s="341">
        <f t="shared" ref="H377:K377" si="29">SUM(H366:H376)</f>
        <v>2964.35</v>
      </c>
      <c r="I377" s="341">
        <f t="shared" si="29"/>
        <v>1097.49236</v>
      </c>
      <c r="J377" s="341">
        <f t="shared" si="29"/>
        <v>537.6</v>
      </c>
      <c r="K377" s="341">
        <f t="shared" si="29"/>
        <v>816.53100000000018</v>
      </c>
      <c r="L377" s="341">
        <f t="shared" ref="L377:Z377" si="30">SUM(L366:L376)</f>
        <v>48</v>
      </c>
      <c r="M377" s="341">
        <f t="shared" si="30"/>
        <v>2132.2389999999996</v>
      </c>
      <c r="N377" s="341">
        <f t="shared" si="30"/>
        <v>4185.3644999999997</v>
      </c>
      <c r="O377" s="341">
        <f t="shared" si="30"/>
        <v>-650.99450000000002</v>
      </c>
      <c r="P377" s="341">
        <f t="shared" si="30"/>
        <v>3534.37</v>
      </c>
      <c r="Q377" s="341">
        <f t="shared" si="30"/>
        <v>968.11649999999997</v>
      </c>
      <c r="R377" s="341">
        <f t="shared" si="30"/>
        <v>0</v>
      </c>
      <c r="S377" s="341">
        <f t="shared" si="30"/>
        <v>0</v>
      </c>
      <c r="T377" s="341">
        <f t="shared" si="30"/>
        <v>0</v>
      </c>
      <c r="U377" s="341">
        <f t="shared" si="30"/>
        <v>0</v>
      </c>
      <c r="V377" s="341">
        <f t="shared" si="30"/>
        <v>0</v>
      </c>
      <c r="W377" s="341">
        <f t="shared" si="30"/>
        <v>0</v>
      </c>
      <c r="X377" s="341">
        <f t="shared" si="30"/>
        <v>0</v>
      </c>
      <c r="Y377" s="341">
        <f t="shared" si="30"/>
        <v>0</v>
      </c>
      <c r="Z377" s="341">
        <f t="shared" si="30"/>
        <v>0</v>
      </c>
      <c r="AA377" s="14" t="s">
        <v>1240</v>
      </c>
      <c r="AB377" s="12" t="s">
        <v>109</v>
      </c>
      <c r="AC377" s="261" t="s">
        <v>109</v>
      </c>
      <c r="AD377" s="77" t="s">
        <v>109</v>
      </c>
      <c r="AE377" s="261" t="s">
        <v>109</v>
      </c>
      <c r="AF377" s="50" t="s">
        <v>109</v>
      </c>
      <c r="AG377" s="363" t="s">
        <v>109</v>
      </c>
    </row>
    <row r="378" spans="1:33" ht="51" outlineLevel="1" x14ac:dyDescent="0.25">
      <c r="A378" s="603" t="s">
        <v>1137</v>
      </c>
      <c r="B378" s="593" t="s">
        <v>1048</v>
      </c>
      <c r="C378" s="616" t="s">
        <v>841</v>
      </c>
      <c r="D378" s="259" t="s">
        <v>9</v>
      </c>
      <c r="E378" s="259" t="s">
        <v>112</v>
      </c>
      <c r="F378" s="615" t="s">
        <v>561</v>
      </c>
      <c r="G378" s="36">
        <v>8035.6</v>
      </c>
      <c r="H378" s="36">
        <v>0</v>
      </c>
      <c r="I378" s="57">
        <v>0</v>
      </c>
      <c r="J378" s="260">
        <v>0</v>
      </c>
      <c r="K378" s="21">
        <v>13.500000000000004</v>
      </c>
      <c r="L378" s="343">
        <v>0</v>
      </c>
      <c r="M378" s="256">
        <v>31.499999999999996</v>
      </c>
      <c r="N378" s="735">
        <v>0</v>
      </c>
      <c r="O378" s="777">
        <v>45</v>
      </c>
      <c r="P378" s="346">
        <f>N378+O378</f>
        <v>45</v>
      </c>
      <c r="Q378" s="37">
        <v>7990.6</v>
      </c>
      <c r="R378" s="338">
        <v>0</v>
      </c>
      <c r="S378" s="260">
        <v>0</v>
      </c>
      <c r="T378" s="343">
        <v>0</v>
      </c>
      <c r="U378" s="614">
        <v>0</v>
      </c>
      <c r="V378" s="605">
        <v>0</v>
      </c>
      <c r="W378" s="337">
        <v>0</v>
      </c>
      <c r="X378" s="489">
        <v>0</v>
      </c>
      <c r="Y378" s="489">
        <v>0</v>
      </c>
      <c r="Z378" s="257">
        <v>0</v>
      </c>
      <c r="AA378" s="492" t="s">
        <v>1144</v>
      </c>
      <c r="AB378" s="35" t="s">
        <v>13</v>
      </c>
      <c r="AC378" s="448" t="s">
        <v>110</v>
      </c>
      <c r="AD378" s="448" t="s">
        <v>119</v>
      </c>
      <c r="AE378" s="448" t="s">
        <v>119</v>
      </c>
      <c r="AF378" s="342" t="s">
        <v>129</v>
      </c>
      <c r="AG378" s="259" t="s">
        <v>389</v>
      </c>
    </row>
    <row r="379" spans="1:33" ht="15.75" outlineLevel="1" thickBot="1" x14ac:dyDescent="0.3">
      <c r="A379" s="218" t="s">
        <v>124</v>
      </c>
      <c r="B379" s="28" t="s">
        <v>124</v>
      </c>
      <c r="C379" s="258" t="s">
        <v>124</v>
      </c>
      <c r="D379" s="339" t="s">
        <v>124</v>
      </c>
      <c r="E379" s="339" t="s">
        <v>124</v>
      </c>
      <c r="F379" s="204" t="s">
        <v>124</v>
      </c>
      <c r="G379" s="243" t="s">
        <v>124</v>
      </c>
      <c r="H379" s="242" t="s">
        <v>124</v>
      </c>
      <c r="I379" s="288" t="s">
        <v>124</v>
      </c>
      <c r="J379" s="187" t="s">
        <v>124</v>
      </c>
      <c r="K379" s="136" t="s">
        <v>124</v>
      </c>
      <c r="L379" s="136" t="s">
        <v>124</v>
      </c>
      <c r="M379" s="128" t="s">
        <v>124</v>
      </c>
      <c r="N379" s="737" t="s">
        <v>124</v>
      </c>
      <c r="O379" s="763" t="s">
        <v>124</v>
      </c>
      <c r="P379" s="346" t="s">
        <v>124</v>
      </c>
      <c r="Q379" s="68" t="s">
        <v>124</v>
      </c>
      <c r="R379" s="188" t="s">
        <v>124</v>
      </c>
      <c r="S379" s="187" t="s">
        <v>124</v>
      </c>
      <c r="T379" s="136" t="s">
        <v>124</v>
      </c>
      <c r="U379" s="134" t="s">
        <v>124</v>
      </c>
      <c r="V379" s="187" t="s">
        <v>124</v>
      </c>
      <c r="W379" s="136" t="s">
        <v>124</v>
      </c>
      <c r="X379" s="138" t="s">
        <v>124</v>
      </c>
      <c r="Y379" s="138" t="s">
        <v>124</v>
      </c>
      <c r="Z379" s="128" t="s">
        <v>124</v>
      </c>
      <c r="AA379" s="240" t="s">
        <v>124</v>
      </c>
      <c r="AB379" s="258" t="s">
        <v>124</v>
      </c>
      <c r="AC379" s="115" t="s">
        <v>124</v>
      </c>
      <c r="AD379" s="31" t="s">
        <v>124</v>
      </c>
      <c r="AE379" s="31" t="s">
        <v>124</v>
      </c>
      <c r="AF379" s="27" t="s">
        <v>124</v>
      </c>
      <c r="AG379" s="339" t="s">
        <v>124</v>
      </c>
    </row>
    <row r="380" spans="1:33" ht="16.5" thickBot="1" x14ac:dyDescent="0.3">
      <c r="A380" s="114" t="s">
        <v>109</v>
      </c>
      <c r="B380" s="302" t="s">
        <v>109</v>
      </c>
      <c r="C380" s="12" t="s">
        <v>109</v>
      </c>
      <c r="D380" s="336" t="s">
        <v>109</v>
      </c>
      <c r="E380" s="336" t="s">
        <v>109</v>
      </c>
      <c r="F380" s="127" t="s">
        <v>871</v>
      </c>
      <c r="G380" s="341">
        <f>SUM(G378:G379)</f>
        <v>8035.6</v>
      </c>
      <c r="H380" s="341">
        <f t="shared" ref="H380:K380" si="31">SUM(H378:H379)</f>
        <v>0</v>
      </c>
      <c r="I380" s="341">
        <f t="shared" si="31"/>
        <v>0</v>
      </c>
      <c r="J380" s="341">
        <f t="shared" si="31"/>
        <v>0</v>
      </c>
      <c r="K380" s="341">
        <f t="shared" si="31"/>
        <v>13.500000000000004</v>
      </c>
      <c r="L380" s="341">
        <f t="shared" ref="L380:Z380" si="32">SUM(L378:L379)</f>
        <v>0</v>
      </c>
      <c r="M380" s="341">
        <f t="shared" si="32"/>
        <v>31.499999999999996</v>
      </c>
      <c r="N380" s="341">
        <f t="shared" si="32"/>
        <v>0</v>
      </c>
      <c r="O380" s="341">
        <f t="shared" si="32"/>
        <v>45</v>
      </c>
      <c r="P380" s="341">
        <f t="shared" si="32"/>
        <v>45</v>
      </c>
      <c r="Q380" s="341">
        <f t="shared" si="32"/>
        <v>7990.6</v>
      </c>
      <c r="R380" s="341">
        <f t="shared" si="32"/>
        <v>0</v>
      </c>
      <c r="S380" s="341">
        <f t="shared" si="32"/>
        <v>0</v>
      </c>
      <c r="T380" s="341">
        <f t="shared" si="32"/>
        <v>0</v>
      </c>
      <c r="U380" s="341">
        <f t="shared" si="32"/>
        <v>0</v>
      </c>
      <c r="V380" s="341">
        <f t="shared" si="32"/>
        <v>0</v>
      </c>
      <c r="W380" s="341">
        <f t="shared" si="32"/>
        <v>0</v>
      </c>
      <c r="X380" s="341">
        <f t="shared" si="32"/>
        <v>0</v>
      </c>
      <c r="Y380" s="341">
        <f t="shared" si="32"/>
        <v>0</v>
      </c>
      <c r="Z380" s="341">
        <f t="shared" si="32"/>
        <v>0</v>
      </c>
      <c r="AA380" s="14" t="s">
        <v>880</v>
      </c>
      <c r="AB380" s="12" t="s">
        <v>109</v>
      </c>
      <c r="AC380" s="261" t="s">
        <v>109</v>
      </c>
      <c r="AD380" s="77" t="s">
        <v>109</v>
      </c>
      <c r="AE380" s="261" t="s">
        <v>109</v>
      </c>
      <c r="AF380" s="50" t="s">
        <v>109</v>
      </c>
      <c r="AG380" s="336" t="s">
        <v>109</v>
      </c>
    </row>
    <row r="381" spans="1:33" ht="51" outlineLevel="1" x14ac:dyDescent="0.25">
      <c r="A381" s="606" t="s">
        <v>1139</v>
      </c>
      <c r="B381" s="803" t="s">
        <v>1049</v>
      </c>
      <c r="C381" s="826" t="s">
        <v>840</v>
      </c>
      <c r="D381" s="253" t="s">
        <v>9</v>
      </c>
      <c r="E381" s="253" t="s">
        <v>112</v>
      </c>
      <c r="F381" s="804" t="s">
        <v>558</v>
      </c>
      <c r="G381" s="690">
        <v>51573.8</v>
      </c>
      <c r="H381" s="690">
        <v>0</v>
      </c>
      <c r="I381" s="2129">
        <v>0</v>
      </c>
      <c r="J381" s="806">
        <v>2420</v>
      </c>
      <c r="K381" s="827">
        <v>0</v>
      </c>
      <c r="L381" s="807">
        <v>0</v>
      </c>
      <c r="M381" s="808">
        <v>0</v>
      </c>
      <c r="N381" s="731">
        <v>2420</v>
      </c>
      <c r="O381" s="762">
        <v>0</v>
      </c>
      <c r="P381" s="346">
        <f>N381+O381</f>
        <v>2420</v>
      </c>
      <c r="Q381" s="110">
        <v>49153.8</v>
      </c>
      <c r="R381" s="828">
        <v>0</v>
      </c>
      <c r="S381" s="806">
        <v>0</v>
      </c>
      <c r="T381" s="807">
        <v>0</v>
      </c>
      <c r="U381" s="805">
        <v>0</v>
      </c>
      <c r="V381" s="609">
        <v>0</v>
      </c>
      <c r="W381" s="601">
        <v>0</v>
      </c>
      <c r="X381" s="600">
        <v>0</v>
      </c>
      <c r="Y381" s="600">
        <v>0</v>
      </c>
      <c r="Z381" s="574">
        <v>0</v>
      </c>
      <c r="AA381" s="491" t="s">
        <v>797</v>
      </c>
      <c r="AB381" s="252" t="s">
        <v>13</v>
      </c>
      <c r="AC381" s="717" t="s">
        <v>110</v>
      </c>
      <c r="AD381" s="717" t="s">
        <v>119</v>
      </c>
      <c r="AE381" s="717" t="s">
        <v>119</v>
      </c>
      <c r="AF381" s="10" t="s">
        <v>129</v>
      </c>
      <c r="AG381" s="253" t="s">
        <v>112</v>
      </c>
    </row>
    <row r="382" spans="1:33" ht="51" outlineLevel="1" x14ac:dyDescent="0.25">
      <c r="A382" s="603" t="s">
        <v>1140</v>
      </c>
      <c r="B382" s="593" t="s">
        <v>1050</v>
      </c>
      <c r="C382" s="616" t="s">
        <v>841</v>
      </c>
      <c r="D382" s="259" t="s">
        <v>9</v>
      </c>
      <c r="E382" s="259" t="s">
        <v>112</v>
      </c>
      <c r="F382" s="615" t="s">
        <v>559</v>
      </c>
      <c r="G382" s="36">
        <v>95280.1</v>
      </c>
      <c r="H382" s="36">
        <v>0</v>
      </c>
      <c r="I382" s="57">
        <v>0</v>
      </c>
      <c r="J382" s="260">
        <v>2904</v>
      </c>
      <c r="K382" s="21">
        <v>0</v>
      </c>
      <c r="L382" s="343">
        <v>0</v>
      </c>
      <c r="M382" s="256">
        <v>0</v>
      </c>
      <c r="N382" s="735">
        <v>2904</v>
      </c>
      <c r="O382" s="777">
        <v>0</v>
      </c>
      <c r="P382" s="346">
        <f>N382+O382</f>
        <v>2904</v>
      </c>
      <c r="Q382" s="37">
        <v>92376.1</v>
      </c>
      <c r="R382" s="338">
        <v>0</v>
      </c>
      <c r="S382" s="260">
        <v>0</v>
      </c>
      <c r="T382" s="343">
        <v>0</v>
      </c>
      <c r="U382" s="614">
        <v>0</v>
      </c>
      <c r="V382" s="605">
        <v>0</v>
      </c>
      <c r="W382" s="337">
        <v>0</v>
      </c>
      <c r="X382" s="489">
        <v>0</v>
      </c>
      <c r="Y382" s="489">
        <v>0</v>
      </c>
      <c r="Z382" s="257">
        <v>0</v>
      </c>
      <c r="AA382" s="492" t="s">
        <v>798</v>
      </c>
      <c r="AB382" s="35" t="s">
        <v>13</v>
      </c>
      <c r="AC382" s="448" t="s">
        <v>110</v>
      </c>
      <c r="AD382" s="448" t="s">
        <v>119</v>
      </c>
      <c r="AE382" s="448" t="s">
        <v>119</v>
      </c>
      <c r="AF382" s="342" t="s">
        <v>129</v>
      </c>
      <c r="AG382" s="259" t="s">
        <v>112</v>
      </c>
    </row>
    <row r="383" spans="1:33" s="238" customFormat="1" ht="51" outlineLevel="1" x14ac:dyDescent="0.25">
      <c r="A383" s="603" t="s">
        <v>1141</v>
      </c>
      <c r="B383" s="593" t="s">
        <v>1051</v>
      </c>
      <c r="C383" s="616" t="s">
        <v>841</v>
      </c>
      <c r="D383" s="259" t="s">
        <v>9</v>
      </c>
      <c r="E383" s="259" t="s">
        <v>112</v>
      </c>
      <c r="F383" s="615" t="s">
        <v>560</v>
      </c>
      <c r="G383" s="36">
        <v>77038.5</v>
      </c>
      <c r="H383" s="36">
        <v>0</v>
      </c>
      <c r="I383" s="57">
        <v>0</v>
      </c>
      <c r="J383" s="260">
        <v>3630</v>
      </c>
      <c r="K383" s="21">
        <v>0</v>
      </c>
      <c r="L383" s="343">
        <v>0</v>
      </c>
      <c r="M383" s="256">
        <v>0</v>
      </c>
      <c r="N383" s="735">
        <v>3630</v>
      </c>
      <c r="O383" s="777">
        <v>0</v>
      </c>
      <c r="P383" s="346">
        <f>N383+O383</f>
        <v>3630</v>
      </c>
      <c r="Q383" s="37">
        <v>73408.5</v>
      </c>
      <c r="R383" s="338">
        <v>0</v>
      </c>
      <c r="S383" s="260">
        <v>0</v>
      </c>
      <c r="T383" s="343">
        <v>0</v>
      </c>
      <c r="U383" s="614">
        <v>0</v>
      </c>
      <c r="V383" s="605">
        <v>0</v>
      </c>
      <c r="W383" s="337">
        <v>0</v>
      </c>
      <c r="X383" s="489">
        <v>0</v>
      </c>
      <c r="Y383" s="489">
        <v>0</v>
      </c>
      <c r="Z383" s="257">
        <v>0</v>
      </c>
      <c r="AA383" s="492" t="s">
        <v>799</v>
      </c>
      <c r="AB383" s="35" t="s">
        <v>13</v>
      </c>
      <c r="AC383" s="448" t="s">
        <v>110</v>
      </c>
      <c r="AD383" s="448" t="s">
        <v>119</v>
      </c>
      <c r="AE383" s="448" t="s">
        <v>119</v>
      </c>
      <c r="AF383" s="342" t="s">
        <v>129</v>
      </c>
      <c r="AG383" s="259" t="s">
        <v>112</v>
      </c>
    </row>
    <row r="384" spans="1:33" ht="51" outlineLevel="1" x14ac:dyDescent="0.25">
      <c r="A384" s="17" t="s">
        <v>1142</v>
      </c>
      <c r="B384" s="13" t="s">
        <v>1048</v>
      </c>
      <c r="C384" s="829" t="s">
        <v>841</v>
      </c>
      <c r="D384" s="426" t="s">
        <v>9</v>
      </c>
      <c r="E384" s="426" t="s">
        <v>112</v>
      </c>
      <c r="F384" s="830" t="s">
        <v>561</v>
      </c>
      <c r="G384" s="1">
        <v>0</v>
      </c>
      <c r="H384" s="1">
        <v>0</v>
      </c>
      <c r="I384" s="553">
        <v>0</v>
      </c>
      <c r="J384" s="452">
        <v>0</v>
      </c>
      <c r="K384" s="832">
        <v>0</v>
      </c>
      <c r="L384" s="41">
        <v>0</v>
      </c>
      <c r="M384" s="479">
        <v>0</v>
      </c>
      <c r="N384" s="524">
        <v>45</v>
      </c>
      <c r="O384" s="1572">
        <v>-45</v>
      </c>
      <c r="P384" s="346">
        <f>N384+O384</f>
        <v>0</v>
      </c>
      <c r="Q384" s="833">
        <v>0</v>
      </c>
      <c r="R384" s="834">
        <v>0</v>
      </c>
      <c r="S384" s="452">
        <v>0</v>
      </c>
      <c r="T384" s="41">
        <v>0</v>
      </c>
      <c r="U384" s="831">
        <v>0</v>
      </c>
      <c r="V384" s="429">
        <v>0</v>
      </c>
      <c r="W384" s="430">
        <v>0</v>
      </c>
      <c r="X384" s="434">
        <v>0</v>
      </c>
      <c r="Y384" s="434">
        <v>0</v>
      </c>
      <c r="Z384" s="431">
        <v>0</v>
      </c>
      <c r="AA384" s="598" t="s">
        <v>1138</v>
      </c>
      <c r="AB384" s="5" t="s">
        <v>121</v>
      </c>
      <c r="AC384" s="526" t="s">
        <v>110</v>
      </c>
      <c r="AD384" s="526" t="s">
        <v>119</v>
      </c>
      <c r="AE384" s="526" t="s">
        <v>119</v>
      </c>
      <c r="AF384" s="435" t="s">
        <v>129</v>
      </c>
      <c r="AG384" s="426" t="s">
        <v>389</v>
      </c>
    </row>
    <row r="385" spans="1:33" s="316" customFormat="1" ht="51" outlineLevel="1" x14ac:dyDescent="0.25">
      <c r="A385" s="603" t="s">
        <v>1143</v>
      </c>
      <c r="B385" s="593" t="s">
        <v>1052</v>
      </c>
      <c r="C385" s="835" t="s">
        <v>841</v>
      </c>
      <c r="D385" s="259" t="s">
        <v>9</v>
      </c>
      <c r="E385" s="259" t="s">
        <v>112</v>
      </c>
      <c r="F385" s="615" t="s">
        <v>562</v>
      </c>
      <c r="G385" s="36">
        <v>25422.894</v>
      </c>
      <c r="H385" s="622">
        <v>0</v>
      </c>
      <c r="I385" s="182">
        <v>0</v>
      </c>
      <c r="J385" s="260">
        <v>1210</v>
      </c>
      <c r="K385" s="21">
        <v>0</v>
      </c>
      <c r="L385" s="343">
        <v>0</v>
      </c>
      <c r="M385" s="256">
        <v>0</v>
      </c>
      <c r="N385" s="735">
        <v>1210</v>
      </c>
      <c r="O385" s="777">
        <v>0</v>
      </c>
      <c r="P385" s="346">
        <f>N385+O385</f>
        <v>1210</v>
      </c>
      <c r="Q385" s="37">
        <v>24212.894</v>
      </c>
      <c r="R385" s="338">
        <v>0</v>
      </c>
      <c r="S385" s="260">
        <v>0</v>
      </c>
      <c r="T385" s="343">
        <v>0</v>
      </c>
      <c r="U385" s="614">
        <v>0</v>
      </c>
      <c r="V385" s="605">
        <v>0</v>
      </c>
      <c r="W385" s="337">
        <v>0</v>
      </c>
      <c r="X385" s="489">
        <v>0</v>
      </c>
      <c r="Y385" s="489">
        <v>0</v>
      </c>
      <c r="Z385" s="257">
        <v>0</v>
      </c>
      <c r="AA385" s="492" t="s">
        <v>800</v>
      </c>
      <c r="AB385" s="35" t="s">
        <v>13</v>
      </c>
      <c r="AC385" s="448" t="s">
        <v>110</v>
      </c>
      <c r="AD385" s="448" t="s">
        <v>119</v>
      </c>
      <c r="AE385" s="448" t="s">
        <v>119</v>
      </c>
      <c r="AF385" s="342" t="s">
        <v>129</v>
      </c>
      <c r="AG385" s="259" t="s">
        <v>112</v>
      </c>
    </row>
    <row r="386" spans="1:33" ht="15.75" outlineLevel="1" thickBot="1" x14ac:dyDescent="0.3">
      <c r="A386" s="18" t="s">
        <v>124</v>
      </c>
      <c r="B386" s="16" t="s">
        <v>124</v>
      </c>
      <c r="C386" s="39" t="s">
        <v>124</v>
      </c>
      <c r="D386" s="340" t="s">
        <v>124</v>
      </c>
      <c r="E386" s="340" t="s">
        <v>124</v>
      </c>
      <c r="F386" s="75" t="s">
        <v>124</v>
      </c>
      <c r="G386" s="242" t="s">
        <v>124</v>
      </c>
      <c r="H386" s="242" t="s">
        <v>124</v>
      </c>
      <c r="I386" s="289"/>
      <c r="J386" s="195" t="s">
        <v>124</v>
      </c>
      <c r="K386" s="135" t="s">
        <v>124</v>
      </c>
      <c r="L386" s="135" t="s">
        <v>124</v>
      </c>
      <c r="M386" s="255" t="s">
        <v>124</v>
      </c>
      <c r="N386" s="744" t="s">
        <v>124</v>
      </c>
      <c r="O386" s="779" t="s">
        <v>124</v>
      </c>
      <c r="P386" s="346" t="s">
        <v>124</v>
      </c>
      <c r="Q386" s="137" t="s">
        <v>124</v>
      </c>
      <c r="R386" s="199" t="s">
        <v>124</v>
      </c>
      <c r="S386" s="195" t="s">
        <v>124</v>
      </c>
      <c r="T386" s="135" t="s">
        <v>124</v>
      </c>
      <c r="U386" s="141" t="s">
        <v>124</v>
      </c>
      <c r="V386" s="195" t="s">
        <v>124</v>
      </c>
      <c r="W386" s="135" t="s">
        <v>124</v>
      </c>
      <c r="X386" s="145" t="s">
        <v>124</v>
      </c>
      <c r="Y386" s="145" t="s">
        <v>124</v>
      </c>
      <c r="Z386" s="255" t="s">
        <v>124</v>
      </c>
      <c r="AA386" s="141" t="s">
        <v>124</v>
      </c>
      <c r="AB386" s="258" t="s">
        <v>124</v>
      </c>
      <c r="AC386" s="31" t="s">
        <v>124</v>
      </c>
      <c r="AD386" s="31" t="s">
        <v>124</v>
      </c>
      <c r="AE386" s="31" t="s">
        <v>124</v>
      </c>
      <c r="AF386" s="18" t="s">
        <v>124</v>
      </c>
      <c r="AG386" s="340" t="s">
        <v>124</v>
      </c>
    </row>
    <row r="387" spans="1:33" ht="32.25" thickBot="1" x14ac:dyDescent="0.3">
      <c r="A387" s="114" t="s">
        <v>109</v>
      </c>
      <c r="B387" s="302" t="s">
        <v>109</v>
      </c>
      <c r="C387" s="12" t="s">
        <v>109</v>
      </c>
      <c r="D387" s="336" t="s">
        <v>109</v>
      </c>
      <c r="E387" s="336" t="s">
        <v>109</v>
      </c>
      <c r="F387" s="127" t="s">
        <v>869</v>
      </c>
      <c r="G387" s="341">
        <f t="shared" ref="G387:Z387" si="33">SUM(G381:G386)</f>
        <v>249315.29400000002</v>
      </c>
      <c r="H387" s="341">
        <f t="shared" si="33"/>
        <v>0</v>
      </c>
      <c r="I387" s="341">
        <f t="shared" si="33"/>
        <v>0</v>
      </c>
      <c r="J387" s="341">
        <f t="shared" si="33"/>
        <v>10164</v>
      </c>
      <c r="K387" s="341">
        <f t="shared" si="33"/>
        <v>0</v>
      </c>
      <c r="L387" s="341">
        <f t="shared" si="33"/>
        <v>0</v>
      </c>
      <c r="M387" s="341">
        <f t="shared" si="33"/>
        <v>0</v>
      </c>
      <c r="N387" s="341">
        <f t="shared" si="33"/>
        <v>10209</v>
      </c>
      <c r="O387" s="341">
        <f t="shared" si="33"/>
        <v>-45</v>
      </c>
      <c r="P387" s="341">
        <f t="shared" si="33"/>
        <v>10164</v>
      </c>
      <c r="Q387" s="341">
        <f t="shared" si="33"/>
        <v>239151.29400000002</v>
      </c>
      <c r="R387" s="341">
        <f t="shared" si="33"/>
        <v>0</v>
      </c>
      <c r="S387" s="341">
        <f t="shared" si="33"/>
        <v>0</v>
      </c>
      <c r="T387" s="341">
        <f t="shared" si="33"/>
        <v>0</v>
      </c>
      <c r="U387" s="341">
        <f t="shared" si="33"/>
        <v>0</v>
      </c>
      <c r="V387" s="341">
        <f t="shared" si="33"/>
        <v>0</v>
      </c>
      <c r="W387" s="341">
        <f t="shared" si="33"/>
        <v>0</v>
      </c>
      <c r="X387" s="341">
        <f t="shared" si="33"/>
        <v>0</v>
      </c>
      <c r="Y387" s="341">
        <f t="shared" si="33"/>
        <v>0</v>
      </c>
      <c r="Z387" s="341">
        <f t="shared" si="33"/>
        <v>0</v>
      </c>
      <c r="AA387" s="14" t="s">
        <v>881</v>
      </c>
      <c r="AB387" s="12" t="s">
        <v>109</v>
      </c>
      <c r="AC387" s="261" t="s">
        <v>109</v>
      </c>
      <c r="AD387" s="77" t="s">
        <v>109</v>
      </c>
      <c r="AE387" s="261" t="s">
        <v>109</v>
      </c>
      <c r="AF387" s="50" t="s">
        <v>109</v>
      </c>
      <c r="AG387" s="336" t="s">
        <v>109</v>
      </c>
    </row>
    <row r="388" spans="1:33" ht="39" thickBot="1" x14ac:dyDescent="0.3">
      <c r="A388" s="2219"/>
      <c r="B388" s="2219"/>
      <c r="C388" s="2219"/>
      <c r="D388" s="2219"/>
      <c r="E388" s="2220"/>
      <c r="F388" s="592" t="s">
        <v>91</v>
      </c>
      <c r="G388" s="341">
        <f t="shared" ref="G388:Z388" si="34">SUM(G20+G30+G135+G171+G257+G271+G275+G281+G285+G361+G365+G377+G380+G387)</f>
        <v>7976793.6896308009</v>
      </c>
      <c r="H388" s="341">
        <f t="shared" si="34"/>
        <v>1237848.2648100001</v>
      </c>
      <c r="I388" s="341">
        <f t="shared" si="34"/>
        <v>923381.86474000011</v>
      </c>
      <c r="J388" s="341">
        <f t="shared" si="34"/>
        <v>247025.32248150001</v>
      </c>
      <c r="K388" s="341">
        <f t="shared" si="34"/>
        <v>495044.81930949999</v>
      </c>
      <c r="L388" s="341">
        <f t="shared" si="34"/>
        <v>544550.61127650004</v>
      </c>
      <c r="M388" s="341">
        <f t="shared" si="34"/>
        <v>1321804.6653225</v>
      </c>
      <c r="N388" s="341">
        <f t="shared" si="34"/>
        <v>2995443.38222</v>
      </c>
      <c r="O388" s="341">
        <f t="shared" si="34"/>
        <v>-387017.96383000008</v>
      </c>
      <c r="P388" s="341">
        <f t="shared" si="34"/>
        <v>2608425.4183900002</v>
      </c>
      <c r="Q388" s="341">
        <f t="shared" si="34"/>
        <v>1764534.0166799999</v>
      </c>
      <c r="R388" s="341">
        <f t="shared" si="34"/>
        <v>1058553.96361</v>
      </c>
      <c r="S388" s="341">
        <f t="shared" si="34"/>
        <v>24375.995621800001</v>
      </c>
      <c r="T388" s="341">
        <f t="shared" si="34"/>
        <v>245701.24100000001</v>
      </c>
      <c r="U388" s="341">
        <f t="shared" si="34"/>
        <v>113972.92478</v>
      </c>
      <c r="V388" s="341">
        <f t="shared" si="34"/>
        <v>2475628.6030099997</v>
      </c>
      <c r="W388" s="341">
        <f t="shared" si="34"/>
        <v>563257.76123000006</v>
      </c>
      <c r="X388" s="341">
        <f t="shared" si="34"/>
        <v>0</v>
      </c>
      <c r="Y388" s="341">
        <f t="shared" si="34"/>
        <v>1306322.13781</v>
      </c>
      <c r="Z388" s="341">
        <f t="shared" si="34"/>
        <v>606048.70397000003</v>
      </c>
      <c r="AA388" s="14" t="s">
        <v>1241</v>
      </c>
      <c r="AB388" s="341"/>
      <c r="AC388" s="341"/>
      <c r="AD388" s="341"/>
      <c r="AE388" s="341"/>
      <c r="AF388" s="341"/>
      <c r="AG388" s="341"/>
    </row>
    <row r="389" spans="1:33" x14ac:dyDescent="0.25">
      <c r="A389" s="20"/>
      <c r="B389" s="9"/>
      <c r="C389" s="2"/>
      <c r="D389" s="3" t="s">
        <v>87</v>
      </c>
      <c r="E389" s="3"/>
      <c r="F389" s="4"/>
      <c r="G389" s="254"/>
      <c r="H389" s="254"/>
      <c r="I389" s="254"/>
      <c r="J389" s="254"/>
      <c r="K389" s="254"/>
      <c r="L389" s="254"/>
      <c r="M389" s="254"/>
      <c r="N389" s="254"/>
      <c r="O389" s="45"/>
      <c r="P389" s="45"/>
      <c r="Q389" s="19"/>
      <c r="R389" s="19"/>
      <c r="S389" s="254"/>
      <c r="T389" s="254"/>
      <c r="U389" s="254"/>
      <c r="V389" s="58"/>
      <c r="W389" s="58"/>
      <c r="X389" s="58"/>
      <c r="Y389" s="58"/>
      <c r="Z389" s="58"/>
      <c r="AA389" s="58"/>
      <c r="AB389" s="2"/>
      <c r="AC389" s="11"/>
      <c r="AD389" s="11"/>
      <c r="AE389" s="11"/>
      <c r="AF389" s="11"/>
      <c r="AG389" s="3"/>
    </row>
    <row r="390" spans="1:33" ht="15.75" thickBot="1" x14ac:dyDescent="0.3">
      <c r="A390" s="20"/>
      <c r="B390" s="9"/>
      <c r="C390" s="2"/>
      <c r="D390" s="3"/>
      <c r="E390" s="3"/>
      <c r="F390" s="250"/>
      <c r="G390" s="129"/>
      <c r="H390" s="303"/>
      <c r="I390" s="303"/>
      <c r="J390" s="282"/>
      <c r="K390" s="254"/>
      <c r="L390" s="254"/>
      <c r="M390" s="254"/>
      <c r="N390" s="254"/>
      <c r="O390" s="45"/>
      <c r="P390" s="45"/>
      <c r="Q390" s="19"/>
      <c r="R390" s="19"/>
      <c r="S390" s="254"/>
      <c r="T390" s="254"/>
      <c r="U390" s="254"/>
      <c r="V390" s="19"/>
      <c r="W390" s="19"/>
      <c r="X390" s="19"/>
      <c r="Y390" s="19"/>
      <c r="Z390" s="19"/>
      <c r="AA390" s="58"/>
      <c r="AB390" s="2"/>
      <c r="AC390" s="11"/>
      <c r="AD390" s="11"/>
      <c r="AE390" s="11"/>
      <c r="AF390" s="11"/>
      <c r="AG390" s="251"/>
    </row>
    <row r="391" spans="1:33" ht="27" thickBot="1" x14ac:dyDescent="0.3">
      <c r="A391" s="2207" t="s">
        <v>481</v>
      </c>
      <c r="B391" s="2208"/>
      <c r="C391" s="2208"/>
      <c r="D391" s="2209"/>
      <c r="E391" s="3" t="s">
        <v>87</v>
      </c>
      <c r="F391" s="251"/>
      <c r="G391" s="447"/>
      <c r="H391" s="447"/>
      <c r="I391" s="447"/>
      <c r="J391" s="447"/>
      <c r="K391" s="447"/>
      <c r="L391" s="447"/>
      <c r="M391" s="447"/>
      <c r="N391" s="447"/>
      <c r="O391" s="447"/>
      <c r="P391" s="447"/>
      <c r="Q391" s="447"/>
      <c r="R391" s="447"/>
      <c r="S391" s="447"/>
      <c r="T391" s="447"/>
      <c r="U391" s="133"/>
      <c r="V391" s="133"/>
      <c r="W391" s="133"/>
      <c r="X391" s="133"/>
      <c r="Y391" s="133"/>
      <c r="Z391" s="133"/>
      <c r="AA391" s="4"/>
      <c r="AB391" s="11"/>
      <c r="AC391" s="11"/>
      <c r="AD391" s="11"/>
      <c r="AE391" s="11"/>
      <c r="AF391" s="11"/>
      <c r="AG391" s="291" t="s">
        <v>87</v>
      </c>
    </row>
    <row r="392" spans="1:33" ht="39.75" customHeight="1" x14ac:dyDescent="0.25">
      <c r="A392" s="2225" t="s">
        <v>1431</v>
      </c>
      <c r="B392" s="2226"/>
      <c r="C392" s="2223" t="s">
        <v>88</v>
      </c>
      <c r="D392" s="2224"/>
      <c r="E392" s="3"/>
      <c r="F392" s="4" t="s">
        <v>87</v>
      </c>
      <c r="G392" s="447"/>
      <c r="H392" s="447"/>
      <c r="I392" s="447"/>
      <c r="J392" s="447"/>
      <c r="K392" s="447"/>
      <c r="L392" s="447"/>
      <c r="M392" s="447"/>
      <c r="N392" s="447"/>
      <c r="O392" s="275" t="s">
        <v>87</v>
      </c>
      <c r="P392" s="275"/>
      <c r="Q392" s="2204"/>
      <c r="R392" s="2204"/>
      <c r="S392" s="2204"/>
      <c r="T392" s="4"/>
      <c r="U392" s="4"/>
      <c r="V392" s="133"/>
      <c r="W392" s="357"/>
      <c r="X392" s="133"/>
      <c r="Y392" s="133"/>
      <c r="AA392" s="245"/>
      <c r="AB392" s="11"/>
      <c r="AC392" s="11" t="s">
        <v>87</v>
      </c>
      <c r="AD392" s="11"/>
      <c r="AE392" s="11"/>
      <c r="AF392" s="11"/>
      <c r="AG392" s="251"/>
    </row>
    <row r="393" spans="1:33" ht="39.75" customHeight="1" x14ac:dyDescent="0.25">
      <c r="A393" s="2193" t="s">
        <v>1432</v>
      </c>
      <c r="B393" s="2194"/>
      <c r="C393" s="2193" t="s">
        <v>101</v>
      </c>
      <c r="D393" s="2194"/>
      <c r="E393" s="3"/>
      <c r="F393" s="304"/>
      <c r="G393" s="129"/>
      <c r="J393" s="19"/>
      <c r="K393" s="19"/>
      <c r="L393" s="19"/>
      <c r="M393" s="19"/>
      <c r="N393" s="19" t="s">
        <v>87</v>
      </c>
      <c r="O393" s="276"/>
      <c r="P393" s="276"/>
      <c r="Q393" s="2" t="s">
        <v>87</v>
      </c>
      <c r="R393" s="2"/>
      <c r="S393" s="254"/>
      <c r="T393" s="254"/>
      <c r="U393" s="254"/>
      <c r="V393" s="19"/>
      <c r="W393" s="19" t="s">
        <v>87</v>
      </c>
      <c r="X393" s="19"/>
      <c r="Y393" s="19"/>
      <c r="Z393" s="19"/>
      <c r="AA393" s="58"/>
      <c r="AB393" s="11"/>
      <c r="AC393" s="11"/>
      <c r="AD393" s="11"/>
      <c r="AE393" s="11"/>
      <c r="AF393" s="11"/>
      <c r="AG393" s="251"/>
    </row>
    <row r="394" spans="1:33" ht="39.75" customHeight="1" x14ac:dyDescent="0.25">
      <c r="A394" s="2195" t="s">
        <v>1433</v>
      </c>
      <c r="B394" s="2196"/>
      <c r="C394" s="2195" t="s">
        <v>89</v>
      </c>
      <c r="D394" s="2196"/>
      <c r="E394" s="3"/>
      <c r="F394" s="4" t="s">
        <v>87</v>
      </c>
      <c r="G394" s="254"/>
      <c r="H394" s="254"/>
      <c r="I394" s="254"/>
      <c r="J394" s="254"/>
      <c r="K394" s="254"/>
      <c r="L394" s="254" t="s">
        <v>87</v>
      </c>
      <c r="M394" s="254"/>
      <c r="N394" s="254"/>
      <c r="O394" s="45"/>
      <c r="P394" s="45"/>
      <c r="Q394" s="254"/>
      <c r="R394" s="254"/>
      <c r="S394" s="254"/>
      <c r="T394" s="254"/>
      <c r="U394" s="254"/>
      <c r="V394" s="19"/>
      <c r="W394" s="19"/>
      <c r="X394" s="19"/>
      <c r="Y394" s="19"/>
      <c r="Z394" s="19"/>
      <c r="AA394" s="58"/>
      <c r="AB394" s="11"/>
      <c r="AC394" s="11"/>
      <c r="AD394" s="11"/>
      <c r="AE394" s="11"/>
      <c r="AF394" s="11"/>
      <c r="AG394" s="251"/>
    </row>
    <row r="395" spans="1:33" ht="39.75" customHeight="1" x14ac:dyDescent="0.25">
      <c r="A395" s="2197" t="s">
        <v>1434</v>
      </c>
      <c r="B395" s="2198"/>
      <c r="C395" s="2197" t="s">
        <v>90</v>
      </c>
      <c r="D395" s="2198"/>
      <c r="E395" s="3"/>
      <c r="F395" s="4"/>
      <c r="G395" s="254"/>
      <c r="H395" s="254"/>
      <c r="I395" s="254"/>
      <c r="J395" s="19" t="s">
        <v>87</v>
      </c>
      <c r="K395" s="19"/>
      <c r="L395" s="19"/>
      <c r="M395" s="19"/>
      <c r="N395" s="19"/>
      <c r="O395" s="276"/>
      <c r="P395" s="276"/>
      <c r="Q395" s="2"/>
      <c r="R395" s="2"/>
      <c r="S395" s="254"/>
      <c r="T395" s="254"/>
      <c r="U395" s="254"/>
      <c r="V395" s="19"/>
      <c r="W395" s="19"/>
      <c r="X395" s="19"/>
      <c r="Y395" s="19"/>
      <c r="Z395" s="19"/>
      <c r="AA395" s="58"/>
      <c r="AB395" s="11"/>
      <c r="AC395" s="11"/>
      <c r="AD395" s="11"/>
      <c r="AE395" s="11"/>
      <c r="AF395" s="11"/>
      <c r="AG395" s="251"/>
    </row>
    <row r="396" spans="1:33" ht="39.75" customHeight="1" thickBot="1" x14ac:dyDescent="0.3">
      <c r="A396" s="2199" t="s">
        <v>1435</v>
      </c>
      <c r="B396" s="2200"/>
      <c r="C396" s="2199" t="s">
        <v>1321</v>
      </c>
      <c r="D396" s="2200"/>
      <c r="E396" s="3"/>
      <c r="F396" s="4"/>
      <c r="G396" s="254"/>
      <c r="H396" s="254"/>
      <c r="I396" s="254"/>
      <c r="J396" s="19"/>
      <c r="K396" s="19"/>
      <c r="L396" s="19"/>
      <c r="M396" s="19"/>
      <c r="N396" s="19"/>
      <c r="O396" s="276"/>
      <c r="P396" s="276"/>
      <c r="Q396" s="2"/>
      <c r="R396" s="2"/>
      <c r="S396" s="254"/>
      <c r="T396" s="254"/>
      <c r="U396" s="254"/>
      <c r="V396" s="19"/>
      <c r="W396" s="19"/>
      <c r="X396" s="19"/>
      <c r="Y396" s="19"/>
      <c r="Z396" s="19"/>
      <c r="AA396" s="58"/>
      <c r="AB396" s="11"/>
      <c r="AC396" s="11"/>
      <c r="AD396" s="11"/>
      <c r="AE396" s="11"/>
      <c r="AF396" s="11"/>
      <c r="AG396" s="251"/>
    </row>
    <row r="397" spans="1:33" ht="39.75" customHeight="1" thickBot="1" x14ac:dyDescent="0.3">
      <c r="A397" s="2201" t="s">
        <v>328</v>
      </c>
      <c r="B397" s="2202"/>
      <c r="C397" s="2202"/>
      <c r="D397" s="2203"/>
      <c r="E397" s="3"/>
      <c r="F397" s="4"/>
      <c r="G397" s="254"/>
      <c r="H397" s="254"/>
      <c r="I397" s="254"/>
      <c r="J397" s="19"/>
      <c r="K397" s="19"/>
      <c r="L397" s="19"/>
      <c r="M397" s="19"/>
      <c r="N397" s="19"/>
      <c r="O397" s="276"/>
      <c r="P397" s="276"/>
      <c r="Q397" s="2"/>
      <c r="R397" s="2"/>
      <c r="S397" s="254"/>
      <c r="T397" s="254"/>
      <c r="U397" s="254"/>
      <c r="V397" s="19"/>
      <c r="W397" s="19"/>
      <c r="X397" s="19"/>
      <c r="Y397" s="19"/>
      <c r="Z397" s="19"/>
      <c r="AA397" s="58"/>
      <c r="AB397" s="11"/>
      <c r="AC397" s="11"/>
      <c r="AD397" s="11"/>
      <c r="AE397" s="11"/>
      <c r="AF397" s="11"/>
      <c r="AG397" s="251"/>
    </row>
    <row r="398" spans="1:33" x14ac:dyDescent="0.25">
      <c r="A398" s="351"/>
      <c r="B398" s="351"/>
      <c r="C398" s="351"/>
      <c r="D398" s="351"/>
      <c r="E398" s="3"/>
      <c r="F398" s="4"/>
      <c r="G398" s="254"/>
      <c r="H398" s="254"/>
      <c r="I398" s="254"/>
      <c r="J398" s="19"/>
      <c r="K398" s="19"/>
      <c r="L398" s="19"/>
      <c r="M398" s="19"/>
      <c r="N398" s="19" t="s">
        <v>87</v>
      </c>
      <c r="O398" s="276"/>
      <c r="P398" s="276"/>
      <c r="Q398" s="2"/>
      <c r="R398" s="2"/>
      <c r="S398" s="254"/>
      <c r="T398" s="254"/>
      <c r="U398" s="254"/>
      <c r="V398" s="19"/>
      <c r="W398" s="19"/>
      <c r="X398" s="19"/>
      <c r="Y398" s="19"/>
      <c r="Z398" s="19"/>
      <c r="AA398" s="58"/>
      <c r="AB398" s="11"/>
      <c r="AC398" s="11"/>
      <c r="AD398" s="11"/>
      <c r="AE398" s="11"/>
      <c r="AF398" s="11"/>
      <c r="AG398" s="251"/>
    </row>
    <row r="399" spans="1:33" ht="15.75" thickBot="1" x14ac:dyDescent="0.3"/>
    <row r="400" spans="1:33" ht="39" thickBot="1" x14ac:dyDescent="0.3">
      <c r="D400" s="2234" t="s">
        <v>1062</v>
      </c>
      <c r="E400" s="2235"/>
      <c r="F400" s="2236"/>
      <c r="G400" s="2155" t="s">
        <v>337</v>
      </c>
      <c r="H400" s="2156" t="s">
        <v>516</v>
      </c>
      <c r="I400" s="2157" t="s">
        <v>480</v>
      </c>
    </row>
    <row r="401" spans="4:10" ht="18.75" customHeight="1" x14ac:dyDescent="0.25">
      <c r="D401" s="2237" t="s">
        <v>1441</v>
      </c>
      <c r="E401" s="2238"/>
      <c r="F401" s="2238"/>
      <c r="G401" s="2158">
        <f>SUM(H401:I401)</f>
        <v>1896000</v>
      </c>
      <c r="H401" s="2159">
        <v>600000</v>
      </c>
      <c r="I401" s="2160">
        <v>1296000</v>
      </c>
    </row>
    <row r="402" spans="4:10" ht="18.75" customHeight="1" thickBot="1" x14ac:dyDescent="0.3">
      <c r="D402" s="2161" t="s">
        <v>1442</v>
      </c>
      <c r="E402" s="785"/>
      <c r="F402" s="2162"/>
      <c r="G402" s="2158">
        <v>208327</v>
      </c>
      <c r="H402" s="2163">
        <v>208327</v>
      </c>
      <c r="I402" s="2164">
        <v>0</v>
      </c>
    </row>
    <row r="403" spans="4:10" ht="18.75" customHeight="1" thickBot="1" x14ac:dyDescent="0.3">
      <c r="D403" s="2227" t="s">
        <v>1063</v>
      </c>
      <c r="E403" s="2228"/>
      <c r="F403" s="2228"/>
      <c r="G403" s="2165">
        <f>SUM(G401:G402)</f>
        <v>2104327</v>
      </c>
      <c r="H403" s="2165">
        <f>SUM(H401:H402)</f>
        <v>808327</v>
      </c>
      <c r="I403" s="2166">
        <f>SUM(I401:I402)</f>
        <v>1296000</v>
      </c>
    </row>
    <row r="404" spans="4:10" ht="18.75" customHeight="1" x14ac:dyDescent="0.25">
      <c r="D404" s="2229"/>
      <c r="E404" s="2230"/>
      <c r="F404" s="2231"/>
      <c r="G404" s="2167"/>
      <c r="H404" s="2168"/>
      <c r="I404" s="2169"/>
    </row>
    <row r="405" spans="4:10" ht="18.75" customHeight="1" thickBot="1" x14ac:dyDescent="0.3">
      <c r="D405" s="2232" t="s">
        <v>1061</v>
      </c>
      <c r="E405" s="2233"/>
      <c r="F405" s="2233"/>
      <c r="G405" s="2170">
        <f>P388</f>
        <v>2608425.4183900002</v>
      </c>
      <c r="H405" s="2171">
        <f>G405-I405</f>
        <v>1302103.2805800003</v>
      </c>
      <c r="I405" s="2172">
        <f>Y388</f>
        <v>1306322.13781</v>
      </c>
    </row>
    <row r="407" spans="4:10" x14ac:dyDescent="0.25">
      <c r="J407" s="74" t="s">
        <v>87</v>
      </c>
    </row>
    <row r="474" spans="12:12" x14ac:dyDescent="0.25">
      <c r="L474" s="74" t="s">
        <v>87</v>
      </c>
    </row>
  </sheetData>
  <autoFilter ref="A4:AG398" xr:uid="{00000000-0009-0000-0000-000006000000}"/>
  <mergeCells count="41">
    <mergeCell ref="D403:F403"/>
    <mergeCell ref="D404:F404"/>
    <mergeCell ref="D405:F405"/>
    <mergeCell ref="D400:F400"/>
    <mergeCell ref="D401:F401"/>
    <mergeCell ref="Q392:S392"/>
    <mergeCell ref="AB2:AB3"/>
    <mergeCell ref="A391:D391"/>
    <mergeCell ref="J2:M2"/>
    <mergeCell ref="V2:Z2"/>
    <mergeCell ref="R2:R3"/>
    <mergeCell ref="A2:A3"/>
    <mergeCell ref="I2:I3"/>
    <mergeCell ref="H2:H3"/>
    <mergeCell ref="E2:E3"/>
    <mergeCell ref="A388:E388"/>
    <mergeCell ref="B2:B3"/>
    <mergeCell ref="C2:C3"/>
    <mergeCell ref="D2:D3"/>
    <mergeCell ref="C392:D392"/>
    <mergeCell ref="A392:B392"/>
    <mergeCell ref="C393:D393"/>
    <mergeCell ref="C394:D394"/>
    <mergeCell ref="C395:D395"/>
    <mergeCell ref="C396:D396"/>
    <mergeCell ref="A397:D397"/>
    <mergeCell ref="A393:B393"/>
    <mergeCell ref="A394:B394"/>
    <mergeCell ref="A395:B395"/>
    <mergeCell ref="A396:B396"/>
    <mergeCell ref="AF2:AF3"/>
    <mergeCell ref="AG2:AG3"/>
    <mergeCell ref="F2:F3"/>
    <mergeCell ref="G2:G3"/>
    <mergeCell ref="N2:P2"/>
    <mergeCell ref="S2:U2"/>
    <mergeCell ref="Q2:Q3"/>
    <mergeCell ref="AD2:AD3"/>
    <mergeCell ref="AC2:AC3"/>
    <mergeCell ref="AA2:AA3"/>
    <mergeCell ref="AE2:AE3"/>
  </mergeCells>
  <phoneticPr fontId="39" type="noConversion"/>
  <pageMargins left="0.25" right="0.25" top="0.75" bottom="0.75" header="0.3" footer="0.3"/>
  <pageSetup paperSize="8" scale="36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č.1</vt:lpstr>
      <vt:lpstr>'AKTUÁLNÍ ZI zm. č.1'!Názvy_tisku</vt:lpstr>
      <vt:lpstr>'AKTUÁLNÍ ZI zm. č.1'!Oblast_tisku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2023-01-30T13:44:04Z</dcterms:modified>
</cp:coreProperties>
</file>